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mbeddings/oleObject1.bin" ContentType="application/vnd.openxmlformats-officedocument.oleObject"/>
  <Override PartName="/xl/drawings/drawing6.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709" codeName="{51196F13-6AD0-C1B8-E2B4-A1F9AE17003E}"/>
  <workbookPr codeName="ThisWorkbook"/>
  <mc:AlternateContent xmlns:mc="http://schemas.openxmlformats.org/markup-compatibility/2006">
    <mc:Choice Requires="x15">
      <x15ac:absPath xmlns:x15ac="http://schemas.microsoft.com/office/spreadsheetml/2010/11/ac" url="/Users/jstefanop/Desktop/FutureBit Pod Project Files/"/>
    </mc:Choice>
  </mc:AlternateContent>
  <xr:revisionPtr revIDLastSave="0" documentId="8_{08F6D042-AE83-C24F-88DF-A36A693CFD98}" xr6:coauthVersionLast="34" xr6:coauthVersionMax="34" xr10:uidLastSave="{00000000-0000-0000-0000-000000000000}"/>
  <workbookProtection workbookPassword="E1A4" lockStructure="1"/>
  <bookViews>
    <workbookView xWindow="39940" yWindow="2960" windowWidth="28180" windowHeight="20420" tabRatio="412" xr2:uid="{00000000-000D-0000-FFFF-FFFF00000000}"/>
  </bookViews>
  <sheets>
    <sheet name="Design Regulator" sheetId="1" r:id="rId1"/>
    <sheet name="BOM &amp; Schematic" sheetId="16" r:id="rId2"/>
    <sheet name="EVMs" sheetId="14" r:id="rId3"/>
    <sheet name="Variable Management" sheetId="2" state="hidden" r:id="rId4"/>
    <sheet name="Standard Value Calculator" sheetId="8" state="hidden" r:id="rId5"/>
    <sheet name="Bode Plots Calculations" sheetId="3" state="hidden" r:id="rId6"/>
    <sheet name="Power Calculations" sheetId="4" state="hidden" r:id="rId7"/>
    <sheet name="Snubber" sheetId="11" state="hidden" r:id="rId8"/>
    <sheet name="Parralell Output Caps" sheetId="6" state="hidden" r:id="rId9"/>
  </sheets>
  <externalReferences>
    <externalReference r:id="rId10"/>
    <externalReference r:id="rId11"/>
  </externalReferences>
  <definedNames>
    <definedName name="_Don1">'Variable Management'!$B$18</definedName>
    <definedName name="_Don2">'Variable Management'!$B$23</definedName>
    <definedName name="_Ren1">'Variable Management'!$B$73</definedName>
    <definedName name="_Ren2">'Variable Management'!#REF!</definedName>
    <definedName name="_Rfb1">'Variable Management'!$B$105</definedName>
    <definedName name="_Rfb2">'Variable Management'!$B$106</definedName>
    <definedName name="_Rs1">'Variable Management'!$B$44</definedName>
    <definedName name="_Rs2">'Variable Management'!$B$43</definedName>
    <definedName name="_Rs3">'Variable Management'!$B$42</definedName>
    <definedName name="AL">#REF!</definedName>
    <definedName name="Bias">[1]Calculations!$D$18</definedName>
    <definedName name="C_17">[1]Calculations!$D$38</definedName>
    <definedName name="C_6">[1]Calculations!$D$74</definedName>
    <definedName name="C_8">[1]Calculations!$D$75</definedName>
    <definedName name="C_f1">[1]Calculations!$AB$14</definedName>
    <definedName name="C_s1">[1]Calculations!$AA$3</definedName>
    <definedName name="Cb">'Variable Management'!$B$98</definedName>
    <definedName name="Cby">'Variable Management'!$B$97</definedName>
    <definedName name="Cc1ea">'Variable Management'!$B$110</definedName>
    <definedName name="Cc1ea_u">'Variable Management'!$B$117</definedName>
    <definedName name="Cc2ea">'Variable Management'!$B$111</definedName>
    <definedName name="Cc2ea_u">'Variable Management'!$B$118</definedName>
    <definedName name="Cc3ea">'Variable Management'!$B$113</definedName>
    <definedName name="Cc3ea_u">'Variable Management'!$B$120</definedName>
    <definedName name="Cdd">'Variable Management'!$B$94</definedName>
    <definedName name="Chb">[1]Calculations!$P$63</definedName>
    <definedName name="Cin">'Variable Management'!$B$60</definedName>
    <definedName name="CinEsrMax">'Variable Management'!$B$61</definedName>
    <definedName name="Cocs">'Variable Management'!#REF!</definedName>
    <definedName name="Con">'[2]LED Driver'!$C$9</definedName>
    <definedName name="Cout">'Variable Management'!$B$50</definedName>
    <definedName name="CoutEsr">'Variable Management'!$B$52</definedName>
    <definedName name="Coutmin">'Variable Management'!$B$49</definedName>
    <definedName name="CPFC">'[2]LED Driver'!#REF!</definedName>
    <definedName name="Cs">'Variable Management'!$B$39</definedName>
    <definedName name="Csb">'Variable Management'!$B$95</definedName>
    <definedName name="Csby">'Variable Management'!$B$96</definedName>
    <definedName name="Csideal">'Variable Management'!$B$38</definedName>
    <definedName name="Css">'Variable Management'!$B$69</definedName>
    <definedName name="Css_u">'Variable Management'!$B$70</definedName>
    <definedName name="D_max">[1]Calculations!$J$10</definedName>
    <definedName name="Deadtime">'Variable Management'!$B$158</definedName>
    <definedName name="DMAX">[2]Inputs!#REF!</definedName>
    <definedName name="Doff1">'Variable Management'!$B$19</definedName>
    <definedName name="Doff2">'Variable Management'!$B$24</definedName>
    <definedName name="E24_f">[1]Calculations!$Y$26</definedName>
    <definedName name="E24_s">[1]Calculations!$X$3</definedName>
    <definedName name="E48_f">[1]Calculations!$V$50</definedName>
    <definedName name="E48_s">[1]Calculations!$U$3</definedName>
    <definedName name="Eadcg">'Variable Management'!$B$101</definedName>
    <definedName name="Eff_boost">[1]Calculations!$D$9</definedName>
    <definedName name="Eff_buck">[1]Calculations!$J$9</definedName>
    <definedName name="Fcross">'Variable Management'!$B$103</definedName>
    <definedName name="Fesr">'Variable Management'!$B$125</definedName>
    <definedName name="fline">'[1]User Inputs'!$B$7</definedName>
    <definedName name="Fo">'Variable Management'!$B$123</definedName>
    <definedName name="Fp1_u">'Variable Management'!$B$128</definedName>
    <definedName name="Fp2_u">'Variable Management'!$B$129</definedName>
    <definedName name="FS">[2]Inputs!#REF!</definedName>
    <definedName name="fs_min">'[1]User Inputs'!$B$20</definedName>
    <definedName name="fsmax_buck">[1]Calculations!$K$12</definedName>
    <definedName name="fsmin_buck">[1]Calculations!$I$12</definedName>
    <definedName name="Fsw">'Variable Management'!$B$10</definedName>
    <definedName name="fsw_buck">'[1]User Inputs'!$B$25</definedName>
    <definedName name="fsw_HB">'[1]User Inputs'!$B$28</definedName>
    <definedName name="Fz1_u">'Variable Management'!$B$126</definedName>
    <definedName name="Fz2_u">'Variable Management'!$B$127</definedName>
    <definedName name="GBP">'Variable Management'!$B$102</definedName>
    <definedName name="GmTop">'Variable Management'!$B$168</definedName>
    <definedName name="Hi_V">[1]Calculations!$D$84</definedName>
    <definedName name="IBIAS">[2]Inputs!#REF!</definedName>
    <definedName name="Icinrms">'Variable Management'!$B$58</definedName>
    <definedName name="Icoutrms">'Variable Management'!$B$48</definedName>
    <definedName name="Ics">'Variable Management'!$B$35</definedName>
    <definedName name="IFET_rms">[1]Calculations!#REF!</definedName>
    <definedName name="IHOLD">[2]Inputs!#REF!</definedName>
    <definedName name="ILED">'[1]User Inputs'!$B$13</definedName>
    <definedName name="ILED_MAX">[2]Inputs!#REF!</definedName>
    <definedName name="ILED_MIN">[2]Inputs!#REF!</definedName>
    <definedName name="ILED_TYP">[2]Inputs!#REF!</definedName>
    <definedName name="ILimit">'Variable Management'!$B$34</definedName>
    <definedName name="Ilimit2">'Variable Management'!$B$45</definedName>
    <definedName name="Iout">'Variable Management'!$B$9</definedName>
    <definedName name="Ipp">'Power Calculations'!$B$69</definedName>
    <definedName name="Iq">'Variable Management'!$B$160</definedName>
    <definedName name="Ireverse">'Variable Management'!$B$185</definedName>
    <definedName name="Iripple1">'Variable Management'!$B$26</definedName>
    <definedName name="Iss">'Variable Management'!$B$68</definedName>
    <definedName name="Iuvlo_hys">'Variable Management'!$B$88</definedName>
    <definedName name="Iuvlo1">'Variable Management'!$B$86</definedName>
    <definedName name="Iuvlo2">'Variable Management'!$B$87</definedName>
    <definedName name="IVAC">[2]Inputs!#REF!</definedName>
    <definedName name="Kmidband">'Variable Management'!$B$104</definedName>
    <definedName name="L_boost">[1]Calculations!#REF!</definedName>
    <definedName name="L_buck">'[1]User Inputs'!$G$34</definedName>
    <definedName name="L_HB">'[1]User Inputs'!$G$28</definedName>
    <definedName name="L_pfc">'[1]User Inputs'!$G$6</definedName>
    <definedName name="Llkg">[1]Calculations!$P$26</definedName>
    <definedName name="Llkg_HB">'[1]User Inputs'!$G$30</definedName>
    <definedName name="LM">#REF!</definedName>
    <definedName name="Lout1">'Variable Management'!$B$20</definedName>
    <definedName name="Lout2">'Variable Management'!$B$21</definedName>
    <definedName name="Ltc">'Variable Management'!$B$146</definedName>
    <definedName name="n">'Variable Management'!#REF!</definedName>
    <definedName name="n_buck">'[1]User Inputs'!$G$35</definedName>
    <definedName name="n_HB">'[1]User Inputs'!$G$29</definedName>
    <definedName name="NA">#REF!</definedName>
    <definedName name="NLED_max">'[1]User Inputs'!$B$15</definedName>
    <definedName name="No_Strings">'[1]User Inputs'!$B$16</definedName>
    <definedName name="NP">#REF!</definedName>
    <definedName name="NS">#REF!</definedName>
    <definedName name="PFC_ripple">[1]Calculations!$D$10</definedName>
    <definedName name="PFET_con">[1]Calculations!#REF!</definedName>
    <definedName name="Pi">'Variable Management'!$B$131</definedName>
    <definedName name="PICTURE">INDIRECT(#REF!)</definedName>
    <definedName name="PIN">[2]Inputs!#REF!</definedName>
    <definedName name="Pout_boost">[1]Calculations!$E$8</definedName>
    <definedName name="Pout_boost_nom">[1]Calculations!$D$8</definedName>
    <definedName name="Pout_buck_max">[1]Calculations!$K$8</definedName>
    <definedName name="Pout_buck_nom">[1]Calculations!$J$8</definedName>
    <definedName name="POUTmin_buck">[1]Calculations!$I$8</definedName>
    <definedName name="_xlnm.Print_Area" localSheetId="1">'BOM &amp; Schematic'!$A$1:$J$75</definedName>
    <definedName name="_xlnm.Print_Area" localSheetId="0">'Design Regulator'!$A$1:$Q$105</definedName>
    <definedName name="Q">'Variable Management'!$B$124</definedName>
    <definedName name="QgBot">'Variable Management'!$B$176</definedName>
    <definedName name="QgdTop">'Variable Management'!$B$165</definedName>
    <definedName name="QgsTop">'Variable Management'!$B$166</definedName>
    <definedName name="QgTop">'Variable Management'!$B$164</definedName>
    <definedName name="QrrBot">'Variable Management'!$B$179</definedName>
    <definedName name="QrrSky">'Variable Management'!$B$184</definedName>
    <definedName name="R_10">[1]Calculations!$D$73</definedName>
    <definedName name="R_2">[1]Calculations!$D$68</definedName>
    <definedName name="R_20">'[1]User Inputs'!$F$12</definedName>
    <definedName name="R_21">'[1]User Inputs'!$F$13</definedName>
    <definedName name="R_39">[1]Calculations!$J$48</definedName>
    <definedName name="R_9">[1]Calculations!$D$69</definedName>
    <definedName name="R_led">'[1]User Inputs'!$B$14</definedName>
    <definedName name="Rcea1">'Variable Management'!$B$109</definedName>
    <definedName name="Rcea1_u">'Variable Management'!$B$116</definedName>
    <definedName name="Rcea2">'Variable Management'!$B$112</definedName>
    <definedName name="Rcea2_u">'Variable Management'!$B$119</definedName>
    <definedName name="RCinEsr">'Variable Management'!$B$62</definedName>
    <definedName name="RCoutEsr">'Variable Management'!$B$52</definedName>
    <definedName name="Rdcr">'Variable Management'!$B$22</definedName>
    <definedName name="RdsonBot">'Variable Management'!$B$174</definedName>
    <definedName name="RdsonBotTc">'Variable Management'!$B$175</definedName>
    <definedName name="RdsonDRB">'Variable Management'!$B$155</definedName>
    <definedName name="RdsonDRB2">'Variable Management'!$B$156</definedName>
    <definedName name="RdsonDRT">'Variable Management'!$B$152</definedName>
    <definedName name="RdsonDRT2">'Variable Management'!$B$153</definedName>
    <definedName name="RdsonTop">'Variable Management'!$B$162</definedName>
    <definedName name="RdsonTopTc">'Variable Management'!$B$163</definedName>
    <definedName name="Resrmax">'Variable Management'!$B$51</definedName>
    <definedName name="Rfadj">'Variable Management'!$B$12</definedName>
    <definedName name="Rfb2_u">'Variable Management'!$B$107</definedName>
    <definedName name="Rfets">'Variable Management'!$B$133</definedName>
    <definedName name="RGateBot">'Variable Management'!$B$177</definedName>
    <definedName name="RGateTop">'Variable Management'!$B$167</definedName>
    <definedName name="Rh">'Variable Management'!$B$92</definedName>
    <definedName name="Rl">'Variable Management'!$B$93</definedName>
    <definedName name="Ro">'Variable Management'!$B$130</definedName>
    <definedName name="Ron">'[2]LED Driver'!$C$6</definedName>
    <definedName name="Rotp">'Variable Management'!$B$93</definedName>
    <definedName name="Rotp_exact">'Variable Management'!$B$93</definedName>
    <definedName name="Rotp_ideal">'Variable Management'!$B$93</definedName>
    <definedName name="Rotpideal">'Variable Management'!$B$93</definedName>
    <definedName name="Rpg">'Variable Management'!$B$90</definedName>
    <definedName name="Rs">'Variable Management'!$B$41</definedName>
    <definedName name="Rsb">'Variable Management'!$B$91</definedName>
    <definedName name="Rset">'Variable Management'!$B$37</definedName>
    <definedName name="Rsetideal">'Variable Management'!$B$36</definedName>
    <definedName name="Rsideal">'Variable Management'!$B$40</definedName>
    <definedName name="Ruvlo1">'Variable Management'!$B$76</definedName>
    <definedName name="Ruvlo2">'Variable Management'!$B$77</definedName>
    <definedName name="SCHEM1">#REF!</definedName>
    <definedName name="SCHEM2">#REF!</definedName>
    <definedName name="Ta">'Variable Management'!$B$144</definedName>
    <definedName name="TBK">[2]Inputs!#REF!</definedName>
    <definedName name="tdead">'[1]User Inputs'!$B$29</definedName>
    <definedName name="Tf">'Variable Management'!$B$191</definedName>
    <definedName name="ThetaCa">'Variable Management'!$B$147</definedName>
    <definedName name="ThetaJaBot">'Variable Management'!$B$181</definedName>
    <definedName name="ThetaJaCtrl">'Variable Management'!$B$187</definedName>
    <definedName name="ThetaJaTop">'Variable Management'!$B$172</definedName>
    <definedName name="tholdup">[1]Calculations!$D$36</definedName>
    <definedName name="TL">'Variable Management'!$B$28</definedName>
    <definedName name="Totp">'Variable Management'!$B$13</definedName>
    <definedName name="Tr">'Variable Management'!$B$190</definedName>
    <definedName name="TrrBot">'Variable Management'!$B$180</definedName>
    <definedName name="Tss">'Variable Management'!$B$67</definedName>
    <definedName name="VADET">[2]Inputs!#REF!</definedName>
    <definedName name="Vboost_min">[1]Calculations!#REF!</definedName>
    <definedName name="Vdd">'Variable Management'!$B$150</definedName>
    <definedName name="Vdrop">[1]Calculations!#REF!</definedName>
    <definedName name="Vf">[1]Calculations!$Q$47</definedName>
    <definedName name="VfdSky">'Variable Management'!$B$183</definedName>
    <definedName name="VfLED_max">'[1]User Inputs'!$B$10</definedName>
    <definedName name="VfLED_min">'[1]User Inputs'!$B$12</definedName>
    <definedName name="VfLED_nom">'[1]User Inputs'!$B$11</definedName>
    <definedName name="Vin">'Variable Management'!$B$7</definedName>
    <definedName name="VIN_max">'[1]User Inputs'!$B$6</definedName>
    <definedName name="VIN_min">'[1]User Inputs'!$B$5</definedName>
    <definedName name="VIN_TYP">[2]Inputs!$H$6</definedName>
    <definedName name="VINmax_Buck">[1]Calculations!$K$4</definedName>
    <definedName name="VINmin_Buck">[1]Calculations!$I$4</definedName>
    <definedName name="Vinripple1">'Variable Management'!$B$57</definedName>
    <definedName name="Vinripple2">'Variable Management'!$B$63</definedName>
    <definedName name="VINuvlo_off">'Variable Management'!$B$75</definedName>
    <definedName name="VINuvlo_on">'Variable Management'!$B$74</definedName>
    <definedName name="Vout">'Variable Management'!$B$8</definedName>
    <definedName name="Vout_boost">[1]Calculations!$E$6</definedName>
    <definedName name="VOUT_boost_min">'[1]User Inputs'!$B$22</definedName>
    <definedName name="Vout_max">[1]Calculations!$K$6</definedName>
    <definedName name="Vout_min">[1]Calculations!$I$6</definedName>
    <definedName name="Vout_nom">[1]Calculations!$J$6</definedName>
    <definedName name="VOUT_TYP">[2]Inputs!$H$8</definedName>
    <definedName name="VOVP">[2]Inputs!#REF!</definedName>
    <definedName name="Vramp">'Variable Management'!$B$108</definedName>
    <definedName name="Vref">'Variable Management'!$B$11</definedName>
    <definedName name="Vripple1">'Variable Management'!$B$25</definedName>
    <definedName name="Vripple2">'Variable Management'!$B$53</definedName>
    <definedName name="VRMS_MAX">[2]Inputs!$I$6</definedName>
    <definedName name="VRMS_MIN">[2]Inputs!$G$6</definedName>
    <definedName name="VsdBot">'Variable Management'!$B$178</definedName>
    <definedName name="VsdTop">'Variable Management'!$B$171</definedName>
    <definedName name="VspTop">'Variable Management'!$B$170</definedName>
    <definedName name="VthTop">'Variable Management'!$B$169</definedName>
    <definedName name="Vuvlo_hys">'Variable Management'!$B$85</definedName>
    <definedName name="Vuvlo_off">'Variable Management'!$B$84</definedName>
    <definedName name="Vuvlo_on">'Variable Management'!$B$83</definedName>
  </definedNames>
  <calcPr calcId="179021"/>
  <fileRecoveryPr repairLoad="1"/>
</workbook>
</file>

<file path=xl/calcChain.xml><?xml version="1.0" encoding="utf-8"?>
<calcChain xmlns="http://schemas.openxmlformats.org/spreadsheetml/2006/main">
  <c r="B10" i="2" l="1"/>
  <c r="B12" i="2" l="1"/>
  <c r="D54" i="16"/>
  <c r="I55" i="16" l="1"/>
  <c r="I54" i="16"/>
  <c r="A47" i="16" l="1"/>
  <c r="B217" i="2"/>
  <c r="A46" i="16"/>
  <c r="B221" i="2"/>
  <c r="B213" i="2"/>
  <c r="A213" i="2"/>
  <c r="D45" i="16"/>
  <c r="D55" i="16"/>
  <c r="C61" i="16"/>
  <c r="D61" i="16" s="1"/>
  <c r="D63" i="16"/>
  <c r="D68" i="16"/>
  <c r="C53" i="16"/>
  <c r="D51" i="16"/>
  <c r="D48" i="16"/>
  <c r="D47" i="16"/>
  <c r="D46" i="16"/>
  <c r="D50" i="16"/>
  <c r="D44" i="16"/>
  <c r="D40" i="16"/>
  <c r="B229" i="2"/>
  <c r="B74" i="2"/>
  <c r="B85" i="2"/>
  <c r="B88" i="2"/>
  <c r="B75" i="2"/>
  <c r="A65" i="1"/>
  <c r="B76" i="2" l="1"/>
  <c r="F64" i="1"/>
  <c r="F59" i="1"/>
  <c r="F65" i="1"/>
  <c r="F67" i="1"/>
  <c r="F66" i="1"/>
  <c r="R15" i="8" l="1"/>
  <c r="S15" i="8" s="1"/>
  <c r="D76" i="2" s="1"/>
  <c r="G76" i="2" s="1"/>
  <c r="D70" i="1"/>
  <c r="F76" i="2" l="1"/>
  <c r="B77" i="2"/>
  <c r="R16" i="8" s="1"/>
  <c r="S16" i="8" s="1"/>
  <c r="D77" i="2" s="1"/>
  <c r="B80" i="2" s="1"/>
  <c r="B689" i="3"/>
  <c r="N688" i="3"/>
  <c r="F77" i="2" l="1"/>
  <c r="E53" i="1" s="1"/>
  <c r="C67" i="16" s="1"/>
  <c r="D67" i="16" s="1"/>
  <c r="E52" i="1"/>
  <c r="C66" i="16" s="1"/>
  <c r="D66" i="16" s="1"/>
  <c r="G77" i="2"/>
  <c r="B79" i="2"/>
  <c r="B13" i="2"/>
  <c r="B93" i="2" s="1"/>
  <c r="B31" i="2"/>
  <c r="B38" i="2"/>
  <c r="B52" i="2" l="1"/>
  <c r="E122" i="2" s="1"/>
  <c r="B103" i="2"/>
  <c r="B8" i="2"/>
  <c r="B9" i="2"/>
  <c r="H10" i="4" s="1"/>
  <c r="B50" i="2"/>
  <c r="B218" i="2" s="1"/>
  <c r="B21" i="2"/>
  <c r="B10" i="3"/>
  <c r="B11" i="3"/>
  <c r="B12" i="3"/>
  <c r="B13" i="3"/>
  <c r="B14" i="3"/>
  <c r="B15" i="3"/>
  <c r="B16" i="3"/>
  <c r="B17" i="3"/>
  <c r="B18" i="3"/>
  <c r="B9" i="3"/>
  <c r="B57" i="2"/>
  <c r="B184" i="2"/>
  <c r="B59" i="4" s="1"/>
  <c r="B167" i="2"/>
  <c r="J176" i="2" s="1"/>
  <c r="B212" i="2"/>
  <c r="B216" i="2"/>
  <c r="B22" i="2"/>
  <c r="B7" i="2"/>
  <c r="B60" i="2"/>
  <c r="B222" i="2" s="1"/>
  <c r="B162" i="2"/>
  <c r="B37" i="4" s="1"/>
  <c r="B174" i="2"/>
  <c r="B49" i="4" s="1"/>
  <c r="B105" i="2"/>
  <c r="AJ350" i="3" s="1"/>
  <c r="B181" i="2"/>
  <c r="B56" i="4" s="1"/>
  <c r="B183" i="2"/>
  <c r="B58" i="4" s="1"/>
  <c r="B178" i="2"/>
  <c r="AC3" i="4" s="1"/>
  <c r="B67" i="2"/>
  <c r="B69" i="2" s="1"/>
  <c r="B3" i="8" s="1"/>
  <c r="B164" i="2"/>
  <c r="B176" i="2"/>
  <c r="B51" i="4" s="1"/>
  <c r="B179" i="2"/>
  <c r="B171" i="2"/>
  <c r="B46" i="4" s="1"/>
  <c r="B60" i="4"/>
  <c r="B165" i="2"/>
  <c r="B40" i="4" s="1"/>
  <c r="B166" i="2"/>
  <c r="B41" i="4" s="1"/>
  <c r="B169" i="2"/>
  <c r="B44" i="4" s="1"/>
  <c r="B168" i="2"/>
  <c r="B43" i="4" s="1"/>
  <c r="B243" i="2"/>
  <c r="B172" i="2"/>
  <c r="B47" i="4" s="1"/>
  <c r="B146" i="2"/>
  <c r="B62" i="2"/>
  <c r="B23" i="4" s="1"/>
  <c r="B163" i="2"/>
  <c r="B38" i="4" s="1"/>
  <c r="B175" i="2"/>
  <c r="B50" i="4" s="1"/>
  <c r="D6" i="6"/>
  <c r="D7" i="6"/>
  <c r="D9" i="6"/>
  <c r="D10" i="6"/>
  <c r="D2" i="11"/>
  <c r="D3" i="11"/>
  <c r="B5" i="11"/>
  <c r="D5" i="11" s="1"/>
  <c r="B15" i="4"/>
  <c r="B20" i="4"/>
  <c r="B21" i="4"/>
  <c r="B27" i="4"/>
  <c r="B28" i="4"/>
  <c r="B30" i="4"/>
  <c r="B31" i="4"/>
  <c r="B33" i="4"/>
  <c r="B35" i="4"/>
  <c r="B52" i="4"/>
  <c r="B55" i="4"/>
  <c r="AR9" i="3"/>
  <c r="A34" i="8"/>
  <c r="A35" i="8"/>
  <c r="A36" i="8"/>
  <c r="A37" i="8"/>
  <c r="A49" i="8" s="1"/>
  <c r="A61" i="8" s="1"/>
  <c r="A73" i="8" s="1"/>
  <c r="A85" i="8" s="1"/>
  <c r="A97" i="8" s="1"/>
  <c r="A109" i="8" s="1"/>
  <c r="A121" i="8" s="1"/>
  <c r="A133" i="8" s="1"/>
  <c r="A145" i="8" s="1"/>
  <c r="A157" i="8" s="1"/>
  <c r="A38" i="8"/>
  <c r="A50" i="8" s="1"/>
  <c r="A62" i="8" s="1"/>
  <c r="A74" i="8" s="1"/>
  <c r="A86" i="8" s="1"/>
  <c r="A98" i="8" s="1"/>
  <c r="A110" i="8" s="1"/>
  <c r="A122" i="8" s="1"/>
  <c r="A134" i="8" s="1"/>
  <c r="A146" i="8" s="1"/>
  <c r="A158" i="8" s="1"/>
  <c r="A39" i="8"/>
  <c r="A51" i="8" s="1"/>
  <c r="A63" i="8" s="1"/>
  <c r="A75" i="8" s="1"/>
  <c r="A87" i="8" s="1"/>
  <c r="A99" i="8" s="1"/>
  <c r="A111" i="8" s="1"/>
  <c r="A123" i="8" s="1"/>
  <c r="A135" i="8" s="1"/>
  <c r="A147" i="8" s="1"/>
  <c r="A159" i="8" s="1"/>
  <c r="A40" i="8"/>
  <c r="A52" i="8" s="1"/>
  <c r="A64" i="8" s="1"/>
  <c r="A76" i="8" s="1"/>
  <c r="A88" i="8" s="1"/>
  <c r="A100" i="8" s="1"/>
  <c r="A112" i="8" s="1"/>
  <c r="A124" i="8" s="1"/>
  <c r="A136" i="8" s="1"/>
  <c r="A148" i="8" s="1"/>
  <c r="A41" i="8"/>
  <c r="A42" i="8"/>
  <c r="A43" i="8"/>
  <c r="A44" i="8"/>
  <c r="A45" i="8"/>
  <c r="A57" i="8" s="1"/>
  <c r="A69" i="8" s="1"/>
  <c r="A81" i="8" s="1"/>
  <c r="A93" i="8" s="1"/>
  <c r="A105" i="8" s="1"/>
  <c r="A117" i="8" s="1"/>
  <c r="A129" i="8" s="1"/>
  <c r="A141" i="8" s="1"/>
  <c r="A153" i="8" s="1"/>
  <c r="A46" i="8"/>
  <c r="A58" i="8" s="1"/>
  <c r="A70" i="8" s="1"/>
  <c r="A82" i="8" s="1"/>
  <c r="A94" i="8" s="1"/>
  <c r="A106" i="8" s="1"/>
  <c r="A118" i="8" s="1"/>
  <c r="A130" i="8" s="1"/>
  <c r="A142" i="8" s="1"/>
  <c r="A154" i="8" s="1"/>
  <c r="A47" i="8"/>
  <c r="A59" i="8" s="1"/>
  <c r="A71" i="8" s="1"/>
  <c r="A83" i="8" s="1"/>
  <c r="A95" i="8" s="1"/>
  <c r="A107" i="8" s="1"/>
  <c r="A119" i="8" s="1"/>
  <c r="A131" i="8" s="1"/>
  <c r="A143" i="8" s="1"/>
  <c r="A155" i="8" s="1"/>
  <c r="A48" i="8"/>
  <c r="A60" i="8" s="1"/>
  <c r="A72" i="8" s="1"/>
  <c r="A84" i="8" s="1"/>
  <c r="A96" i="8" s="1"/>
  <c r="A108" i="8" s="1"/>
  <c r="A120" i="8" s="1"/>
  <c r="A132" i="8" s="1"/>
  <c r="A144" i="8" s="1"/>
  <c r="A156" i="8" s="1"/>
  <c r="A53" i="8"/>
  <c r="A65" i="8" s="1"/>
  <c r="A77" i="8" s="1"/>
  <c r="A89" i="8" s="1"/>
  <c r="A101" i="8" s="1"/>
  <c r="A113" i="8" s="1"/>
  <c r="A125" i="8" s="1"/>
  <c r="A137" i="8" s="1"/>
  <c r="A149" i="8" s="1"/>
  <c r="A54" i="8"/>
  <c r="A66" i="8" s="1"/>
  <c r="A78" i="8" s="1"/>
  <c r="A90" i="8" s="1"/>
  <c r="A102" i="8" s="1"/>
  <c r="A114" i="8" s="1"/>
  <c r="A126" i="8" s="1"/>
  <c r="A138" i="8" s="1"/>
  <c r="A150" i="8" s="1"/>
  <c r="A55" i="8"/>
  <c r="A67" i="8" s="1"/>
  <c r="A79" i="8" s="1"/>
  <c r="A91" i="8" s="1"/>
  <c r="A103" i="8" s="1"/>
  <c r="A115" i="8" s="1"/>
  <c r="A127" i="8" s="1"/>
  <c r="A139" i="8" s="1"/>
  <c r="A151" i="8" s="1"/>
  <c r="A56" i="8"/>
  <c r="A68" i="8" s="1"/>
  <c r="A80" i="8" s="1"/>
  <c r="A92" i="8" s="1"/>
  <c r="A104" i="8" s="1"/>
  <c r="A116" i="8" s="1"/>
  <c r="A128" i="8" s="1"/>
  <c r="A140" i="8" s="1"/>
  <c r="A152" i="8" s="1"/>
  <c r="AQ9" i="3"/>
  <c r="AR10" i="3"/>
  <c r="AQ10" i="3"/>
  <c r="AR11" i="3"/>
  <c r="AQ11" i="3"/>
  <c r="AR12" i="3"/>
  <c r="AQ12" i="3"/>
  <c r="AR13" i="3"/>
  <c r="AQ13" i="3"/>
  <c r="AR14" i="3"/>
  <c r="AQ14" i="3"/>
  <c r="AR15" i="3"/>
  <c r="AQ15" i="3"/>
  <c r="AR16" i="3"/>
  <c r="AQ16" i="3"/>
  <c r="AR17" i="3"/>
  <c r="AQ17" i="3"/>
  <c r="AR18" i="3"/>
  <c r="AQ18" i="3"/>
  <c r="A19" i="3"/>
  <c r="B19" i="3" s="1"/>
  <c r="A20" i="3"/>
  <c r="B20" i="3" s="1"/>
  <c r="AR20" i="3"/>
  <c r="A21" i="3"/>
  <c r="A30" i="3" s="1"/>
  <c r="B21" i="3"/>
  <c r="AR21" i="3"/>
  <c r="A22" i="3"/>
  <c r="A31" i="3" s="1"/>
  <c r="A23" i="3"/>
  <c r="AQ23" i="3" s="1"/>
  <c r="A24" i="3"/>
  <c r="B24" i="3" s="1"/>
  <c r="A25" i="3"/>
  <c r="A34" i="3" s="1"/>
  <c r="A26" i="3"/>
  <c r="AQ26" i="3" s="1"/>
  <c r="A27" i="3"/>
  <c r="A36" i="3" s="1"/>
  <c r="AQ36" i="3" s="1"/>
  <c r="A28" i="3"/>
  <c r="B28" i="3" s="1"/>
  <c r="N9" i="3"/>
  <c r="N10" i="3"/>
  <c r="N11" i="3"/>
  <c r="N12" i="3"/>
  <c r="N13" i="3"/>
  <c r="N14" i="3"/>
  <c r="N15" i="3"/>
  <c r="N16" i="3"/>
  <c r="N17" i="3"/>
  <c r="N18" i="3"/>
  <c r="N19" i="3"/>
  <c r="N20" i="3"/>
  <c r="N21" i="3"/>
  <c r="N22" i="3"/>
  <c r="N23" i="3"/>
  <c r="N24" i="3"/>
  <c r="N25" i="3"/>
  <c r="N26" i="3"/>
  <c r="N27" i="3"/>
  <c r="N28" i="3"/>
  <c r="N29" i="3"/>
  <c r="N30" i="3"/>
  <c r="N31" i="3"/>
  <c r="N32" i="3"/>
  <c r="N33" i="3"/>
  <c r="N34" i="3"/>
  <c r="N35" i="3"/>
  <c r="N36" i="3"/>
  <c r="N37" i="3"/>
  <c r="N38" i="3"/>
  <c r="N39" i="3"/>
  <c r="N40" i="3"/>
  <c r="AA40" i="3"/>
  <c r="N41" i="3"/>
  <c r="N42" i="3"/>
  <c r="N43" i="3"/>
  <c r="N44" i="3"/>
  <c r="N45" i="3"/>
  <c r="N46" i="3"/>
  <c r="N47" i="3"/>
  <c r="N48" i="3"/>
  <c r="N49" i="3"/>
  <c r="N50" i="3"/>
  <c r="N51" i="3"/>
  <c r="N52" i="3"/>
  <c r="N53" i="3"/>
  <c r="N54" i="3"/>
  <c r="N55" i="3"/>
  <c r="N56" i="3"/>
  <c r="N57" i="3"/>
  <c r="N58" i="3"/>
  <c r="N59" i="3"/>
  <c r="N60" i="3"/>
  <c r="N61" i="3"/>
  <c r="N62" i="3"/>
  <c r="N63" i="3"/>
  <c r="N64" i="3"/>
  <c r="N65" i="3"/>
  <c r="N66" i="3"/>
  <c r="N67" i="3"/>
  <c r="N68" i="3"/>
  <c r="N69" i="3"/>
  <c r="N70" i="3"/>
  <c r="N71" i="3"/>
  <c r="N72" i="3"/>
  <c r="N73" i="3"/>
  <c r="N74" i="3"/>
  <c r="N75" i="3"/>
  <c r="N76" i="3"/>
  <c r="N77" i="3"/>
  <c r="N78" i="3"/>
  <c r="N79" i="3"/>
  <c r="N80" i="3"/>
  <c r="N81" i="3"/>
  <c r="N82" i="3"/>
  <c r="N83" i="3"/>
  <c r="N84" i="3"/>
  <c r="N85" i="3"/>
  <c r="N86" i="3"/>
  <c r="N87" i="3"/>
  <c r="N88" i="3"/>
  <c r="N89" i="3"/>
  <c r="N90" i="3"/>
  <c r="N91" i="3"/>
  <c r="N92" i="3"/>
  <c r="N93" i="3"/>
  <c r="N94" i="3"/>
  <c r="N95" i="3"/>
  <c r="N96" i="3"/>
  <c r="N97" i="3"/>
  <c r="N98" i="3"/>
  <c r="N99" i="3"/>
  <c r="N100" i="3"/>
  <c r="N101" i="3"/>
  <c r="N102" i="3"/>
  <c r="N103" i="3"/>
  <c r="N104" i="3"/>
  <c r="N105" i="3"/>
  <c r="N106" i="3"/>
  <c r="N107" i="3"/>
  <c r="N108" i="3"/>
  <c r="N109" i="3"/>
  <c r="N110" i="3"/>
  <c r="N111" i="3"/>
  <c r="N112" i="3"/>
  <c r="N113" i="3"/>
  <c r="N114" i="3"/>
  <c r="N115" i="3"/>
  <c r="N116" i="3"/>
  <c r="N117" i="3"/>
  <c r="N118" i="3"/>
  <c r="N119" i="3"/>
  <c r="N120" i="3"/>
  <c r="N121" i="3"/>
  <c r="N122" i="3"/>
  <c r="N123" i="3"/>
  <c r="N124" i="3"/>
  <c r="N125" i="3"/>
  <c r="N126" i="3"/>
  <c r="N127" i="3"/>
  <c r="N128" i="3"/>
  <c r="N129" i="3"/>
  <c r="N130" i="3"/>
  <c r="N131" i="3"/>
  <c r="N132" i="3"/>
  <c r="N133" i="3"/>
  <c r="N134" i="3"/>
  <c r="N135" i="3"/>
  <c r="N136" i="3"/>
  <c r="N137" i="3"/>
  <c r="N138" i="3"/>
  <c r="N139" i="3"/>
  <c r="N140" i="3"/>
  <c r="N141" i="3"/>
  <c r="N142" i="3"/>
  <c r="N143" i="3"/>
  <c r="N144" i="3"/>
  <c r="N145" i="3"/>
  <c r="N146" i="3"/>
  <c r="N147" i="3"/>
  <c r="N148" i="3"/>
  <c r="N149" i="3"/>
  <c r="N150" i="3"/>
  <c r="N151" i="3"/>
  <c r="N152" i="3"/>
  <c r="N153" i="3"/>
  <c r="N154" i="3"/>
  <c r="N155" i="3"/>
  <c r="N156" i="3"/>
  <c r="N157" i="3"/>
  <c r="N158" i="3"/>
  <c r="N159" i="3"/>
  <c r="N160" i="3"/>
  <c r="N161" i="3"/>
  <c r="N162" i="3"/>
  <c r="N163" i="3"/>
  <c r="N164" i="3"/>
  <c r="N165" i="3"/>
  <c r="N166" i="3"/>
  <c r="N167" i="3"/>
  <c r="N168" i="3"/>
  <c r="N169" i="3"/>
  <c r="N170" i="3"/>
  <c r="N171" i="3"/>
  <c r="N172" i="3"/>
  <c r="N173" i="3"/>
  <c r="N174" i="3"/>
  <c r="N175" i="3"/>
  <c r="N176" i="3"/>
  <c r="N177" i="3"/>
  <c r="N178" i="3"/>
  <c r="N179" i="3"/>
  <c r="N180" i="3"/>
  <c r="N181" i="3"/>
  <c r="N182" i="3"/>
  <c r="N183" i="3"/>
  <c r="N184" i="3"/>
  <c r="N185" i="3"/>
  <c r="N186" i="3"/>
  <c r="N187" i="3"/>
  <c r="N188" i="3"/>
  <c r="N189" i="3"/>
  <c r="N190" i="3"/>
  <c r="N191" i="3"/>
  <c r="N192" i="3"/>
  <c r="N193" i="3"/>
  <c r="N194" i="3"/>
  <c r="N195" i="3"/>
  <c r="N196" i="3"/>
  <c r="N197" i="3"/>
  <c r="N198" i="3"/>
  <c r="N199" i="3"/>
  <c r="N200" i="3"/>
  <c r="N201" i="3"/>
  <c r="N202" i="3"/>
  <c r="N203" i="3"/>
  <c r="N204" i="3"/>
  <c r="N205" i="3"/>
  <c r="N206" i="3"/>
  <c r="N207" i="3"/>
  <c r="N208" i="3"/>
  <c r="N209" i="3"/>
  <c r="N210" i="3"/>
  <c r="N211" i="3"/>
  <c r="N212" i="3"/>
  <c r="N213" i="3"/>
  <c r="N214" i="3"/>
  <c r="N215" i="3"/>
  <c r="N216" i="3"/>
  <c r="N217" i="3"/>
  <c r="N218" i="3"/>
  <c r="N219" i="3"/>
  <c r="N220" i="3"/>
  <c r="N221" i="3"/>
  <c r="N222" i="3"/>
  <c r="N223" i="3"/>
  <c r="N224" i="3"/>
  <c r="N225" i="3"/>
  <c r="N226" i="3"/>
  <c r="N227" i="3"/>
  <c r="N228" i="3"/>
  <c r="N229" i="3"/>
  <c r="N230" i="3"/>
  <c r="N231" i="3"/>
  <c r="N232" i="3"/>
  <c r="N233" i="3"/>
  <c r="N234" i="3"/>
  <c r="N235" i="3"/>
  <c r="N236" i="3"/>
  <c r="N237" i="3"/>
  <c r="N238" i="3"/>
  <c r="N239" i="3"/>
  <c r="N240" i="3"/>
  <c r="N241" i="3"/>
  <c r="N242" i="3"/>
  <c r="N243" i="3"/>
  <c r="N244" i="3"/>
  <c r="N245" i="3"/>
  <c r="N246" i="3"/>
  <c r="N247" i="3"/>
  <c r="N248" i="3"/>
  <c r="N249" i="3"/>
  <c r="N250" i="3"/>
  <c r="N251" i="3"/>
  <c r="N252" i="3"/>
  <c r="N253" i="3"/>
  <c r="N254" i="3"/>
  <c r="N255" i="3"/>
  <c r="N256" i="3"/>
  <c r="N257" i="3"/>
  <c r="N258" i="3"/>
  <c r="N259" i="3"/>
  <c r="N260" i="3"/>
  <c r="N261" i="3"/>
  <c r="N262" i="3"/>
  <c r="N263" i="3"/>
  <c r="N264" i="3"/>
  <c r="N265" i="3"/>
  <c r="N266" i="3"/>
  <c r="N267" i="3"/>
  <c r="N268" i="3"/>
  <c r="N269" i="3"/>
  <c r="N270" i="3"/>
  <c r="N271" i="3"/>
  <c r="N272" i="3"/>
  <c r="N273" i="3"/>
  <c r="N274" i="3"/>
  <c r="N275" i="3"/>
  <c r="N276" i="3"/>
  <c r="N277" i="3"/>
  <c r="N278" i="3"/>
  <c r="N279" i="3"/>
  <c r="N280" i="3"/>
  <c r="N281" i="3"/>
  <c r="N282" i="3"/>
  <c r="N283" i="3"/>
  <c r="N284" i="3"/>
  <c r="N285" i="3"/>
  <c r="N286" i="3"/>
  <c r="N287" i="3"/>
  <c r="N288" i="3"/>
  <c r="N289" i="3"/>
  <c r="N290" i="3"/>
  <c r="N291" i="3"/>
  <c r="N292" i="3"/>
  <c r="N293" i="3"/>
  <c r="N294" i="3"/>
  <c r="N295" i="3"/>
  <c r="N296" i="3"/>
  <c r="N297" i="3"/>
  <c r="N298" i="3"/>
  <c r="N299" i="3"/>
  <c r="N300" i="3"/>
  <c r="N301" i="3"/>
  <c r="N302" i="3"/>
  <c r="N303" i="3"/>
  <c r="N304" i="3"/>
  <c r="N305" i="3"/>
  <c r="N306" i="3"/>
  <c r="N307" i="3"/>
  <c r="N308" i="3"/>
  <c r="N309" i="3"/>
  <c r="N310" i="3"/>
  <c r="N311" i="3"/>
  <c r="N312" i="3"/>
  <c r="N313" i="3"/>
  <c r="N314" i="3"/>
  <c r="N315" i="3"/>
  <c r="N316" i="3"/>
  <c r="N317" i="3"/>
  <c r="N318" i="3"/>
  <c r="N319" i="3"/>
  <c r="N320" i="3"/>
  <c r="N321" i="3"/>
  <c r="N322" i="3"/>
  <c r="N323" i="3"/>
  <c r="N324" i="3"/>
  <c r="N325" i="3"/>
  <c r="N326" i="3"/>
  <c r="N327" i="3"/>
  <c r="N328" i="3"/>
  <c r="N329" i="3"/>
  <c r="N330" i="3"/>
  <c r="N331" i="3"/>
  <c r="N332" i="3"/>
  <c r="N333" i="3"/>
  <c r="N334" i="3"/>
  <c r="N335" i="3"/>
  <c r="N336" i="3"/>
  <c r="N337" i="3"/>
  <c r="N338" i="3"/>
  <c r="N339" i="3"/>
  <c r="N340" i="3"/>
  <c r="N341" i="3"/>
  <c r="N342" i="3"/>
  <c r="N343" i="3"/>
  <c r="N344" i="3"/>
  <c r="N345" i="3"/>
  <c r="N346" i="3"/>
  <c r="N347" i="3"/>
  <c r="N348" i="3"/>
  <c r="N349" i="3"/>
  <c r="N350" i="3"/>
  <c r="N351" i="3"/>
  <c r="N352" i="3"/>
  <c r="N353" i="3"/>
  <c r="N354" i="3"/>
  <c r="N355" i="3"/>
  <c r="N356" i="3"/>
  <c r="N357" i="3"/>
  <c r="N358" i="3"/>
  <c r="N359" i="3"/>
  <c r="N360" i="3"/>
  <c r="N361" i="3"/>
  <c r="N362" i="3"/>
  <c r="N363" i="3"/>
  <c r="N364" i="3"/>
  <c r="N365" i="3"/>
  <c r="N366" i="3"/>
  <c r="N367" i="3"/>
  <c r="N368" i="3"/>
  <c r="N369" i="3"/>
  <c r="N370" i="3"/>
  <c r="N371" i="3"/>
  <c r="N372" i="3"/>
  <c r="N373" i="3"/>
  <c r="N374" i="3"/>
  <c r="N375" i="3"/>
  <c r="N376" i="3"/>
  <c r="N377" i="3"/>
  <c r="N378" i="3"/>
  <c r="N379" i="3"/>
  <c r="N380" i="3"/>
  <c r="N381" i="3"/>
  <c r="N382" i="3"/>
  <c r="N383" i="3"/>
  <c r="N384" i="3"/>
  <c r="N385" i="3"/>
  <c r="N386" i="3"/>
  <c r="N387" i="3"/>
  <c r="N388" i="3"/>
  <c r="N389" i="3"/>
  <c r="N390" i="3"/>
  <c r="N391" i="3"/>
  <c r="N392" i="3"/>
  <c r="N393" i="3"/>
  <c r="N394" i="3"/>
  <c r="N395" i="3"/>
  <c r="N396" i="3"/>
  <c r="N397" i="3"/>
  <c r="N398" i="3"/>
  <c r="N399" i="3"/>
  <c r="N400" i="3"/>
  <c r="N401" i="3"/>
  <c r="N402" i="3"/>
  <c r="N403" i="3"/>
  <c r="N404" i="3"/>
  <c r="N405" i="3"/>
  <c r="N406" i="3"/>
  <c r="N407" i="3"/>
  <c r="N408" i="3"/>
  <c r="N409" i="3"/>
  <c r="N410" i="3"/>
  <c r="N411" i="3"/>
  <c r="N412" i="3"/>
  <c r="N413" i="3"/>
  <c r="N414" i="3"/>
  <c r="N415" i="3"/>
  <c r="N416" i="3"/>
  <c r="N417" i="3"/>
  <c r="N418" i="3"/>
  <c r="N419" i="3"/>
  <c r="N420" i="3"/>
  <c r="N421" i="3"/>
  <c r="N422" i="3"/>
  <c r="N423" i="3"/>
  <c r="N424" i="3"/>
  <c r="N425" i="3"/>
  <c r="N426" i="3"/>
  <c r="N427" i="3"/>
  <c r="N428" i="3"/>
  <c r="N429" i="3"/>
  <c r="N430" i="3"/>
  <c r="N431" i="3"/>
  <c r="N432" i="3"/>
  <c r="N433" i="3"/>
  <c r="N434" i="3"/>
  <c r="N435" i="3"/>
  <c r="N436" i="3"/>
  <c r="N437" i="3"/>
  <c r="N438" i="3"/>
  <c r="N439" i="3"/>
  <c r="N440" i="3"/>
  <c r="N441" i="3"/>
  <c r="N442" i="3"/>
  <c r="N443" i="3"/>
  <c r="N444" i="3"/>
  <c r="N445" i="3"/>
  <c r="N446" i="3"/>
  <c r="N447" i="3"/>
  <c r="N448" i="3"/>
  <c r="N449" i="3"/>
  <c r="N450" i="3"/>
  <c r="N451" i="3"/>
  <c r="N452" i="3"/>
  <c r="N453" i="3"/>
  <c r="N454" i="3"/>
  <c r="N455" i="3"/>
  <c r="N456" i="3"/>
  <c r="N457" i="3"/>
  <c r="N458" i="3"/>
  <c r="N459" i="3"/>
  <c r="N460" i="3"/>
  <c r="N461" i="3"/>
  <c r="N462" i="3"/>
  <c r="N463" i="3"/>
  <c r="N464" i="3"/>
  <c r="N465" i="3"/>
  <c r="N466" i="3"/>
  <c r="N467" i="3"/>
  <c r="N468" i="3"/>
  <c r="N469" i="3"/>
  <c r="N470" i="3"/>
  <c r="N471" i="3"/>
  <c r="N472" i="3"/>
  <c r="N473" i="3"/>
  <c r="N474" i="3"/>
  <c r="N475" i="3"/>
  <c r="N476" i="3"/>
  <c r="N477" i="3"/>
  <c r="N478" i="3"/>
  <c r="N479" i="3"/>
  <c r="N480" i="3"/>
  <c r="N481" i="3"/>
  <c r="N482" i="3"/>
  <c r="N483" i="3"/>
  <c r="N484" i="3"/>
  <c r="N485" i="3"/>
  <c r="N486" i="3"/>
  <c r="N487" i="3"/>
  <c r="N488" i="3"/>
  <c r="N489" i="3"/>
  <c r="N490" i="3"/>
  <c r="N491" i="3"/>
  <c r="N492" i="3"/>
  <c r="N493" i="3"/>
  <c r="N494" i="3"/>
  <c r="N495" i="3"/>
  <c r="N496" i="3"/>
  <c r="N497" i="3"/>
  <c r="N498" i="3"/>
  <c r="N499" i="3"/>
  <c r="N500" i="3"/>
  <c r="N501" i="3"/>
  <c r="N502" i="3"/>
  <c r="N503" i="3"/>
  <c r="N504" i="3"/>
  <c r="N505" i="3"/>
  <c r="N506" i="3"/>
  <c r="N507" i="3"/>
  <c r="N508" i="3"/>
  <c r="N509" i="3"/>
  <c r="N510" i="3"/>
  <c r="N511" i="3"/>
  <c r="N512" i="3"/>
  <c r="N513" i="3"/>
  <c r="N514" i="3"/>
  <c r="N515" i="3"/>
  <c r="N516" i="3"/>
  <c r="N517" i="3"/>
  <c r="N518" i="3"/>
  <c r="N519" i="3"/>
  <c r="N520" i="3"/>
  <c r="N521" i="3"/>
  <c r="N522" i="3"/>
  <c r="N523" i="3"/>
  <c r="N524" i="3"/>
  <c r="N525" i="3"/>
  <c r="N526" i="3"/>
  <c r="N527" i="3"/>
  <c r="N528" i="3"/>
  <c r="N529" i="3"/>
  <c r="N530" i="3"/>
  <c r="N531" i="3"/>
  <c r="N532" i="3"/>
  <c r="N533" i="3"/>
  <c r="N534" i="3"/>
  <c r="N535" i="3"/>
  <c r="N536" i="3"/>
  <c r="N537" i="3"/>
  <c r="N538" i="3"/>
  <c r="N539" i="3"/>
  <c r="N540" i="3"/>
  <c r="N541" i="3"/>
  <c r="N542" i="3"/>
  <c r="N543" i="3"/>
  <c r="N544" i="3"/>
  <c r="N545" i="3"/>
  <c r="N546" i="3"/>
  <c r="N547" i="3"/>
  <c r="N548" i="3"/>
  <c r="N549" i="3"/>
  <c r="N550" i="3"/>
  <c r="N551" i="3"/>
  <c r="N552" i="3"/>
  <c r="N553" i="3"/>
  <c r="N554" i="3"/>
  <c r="N555" i="3"/>
  <c r="N556" i="3"/>
  <c r="N557" i="3"/>
  <c r="N558" i="3"/>
  <c r="N559" i="3"/>
  <c r="N560" i="3"/>
  <c r="N561" i="3"/>
  <c r="N562" i="3"/>
  <c r="N563" i="3"/>
  <c r="N564" i="3"/>
  <c r="N565" i="3"/>
  <c r="N566" i="3"/>
  <c r="N567" i="3"/>
  <c r="N568" i="3"/>
  <c r="N569" i="3"/>
  <c r="N570" i="3"/>
  <c r="N571" i="3"/>
  <c r="N572" i="3"/>
  <c r="N573" i="3"/>
  <c r="N574" i="3"/>
  <c r="N575" i="3"/>
  <c r="N576" i="3"/>
  <c r="N577" i="3"/>
  <c r="N578" i="3"/>
  <c r="N579" i="3"/>
  <c r="N580" i="3"/>
  <c r="N581" i="3"/>
  <c r="N582" i="3"/>
  <c r="N583" i="3"/>
  <c r="N584" i="3"/>
  <c r="N585" i="3"/>
  <c r="N586" i="3"/>
  <c r="N587" i="3"/>
  <c r="N588" i="3"/>
  <c r="N589" i="3"/>
  <c r="N590" i="3"/>
  <c r="N591" i="3"/>
  <c r="N592" i="3"/>
  <c r="N593" i="3"/>
  <c r="N594" i="3"/>
  <c r="N595" i="3"/>
  <c r="N596" i="3"/>
  <c r="N597" i="3"/>
  <c r="N598" i="3"/>
  <c r="N599" i="3"/>
  <c r="N600" i="3"/>
  <c r="N601" i="3"/>
  <c r="N602" i="3"/>
  <c r="N603" i="3"/>
  <c r="N604" i="3"/>
  <c r="N605" i="3"/>
  <c r="N606" i="3"/>
  <c r="N607" i="3"/>
  <c r="N608" i="3"/>
  <c r="N609" i="3"/>
  <c r="N610" i="3"/>
  <c r="N611" i="3"/>
  <c r="N612" i="3"/>
  <c r="N613" i="3"/>
  <c r="N614" i="3"/>
  <c r="N615" i="3"/>
  <c r="N616" i="3"/>
  <c r="N617" i="3"/>
  <c r="N618" i="3"/>
  <c r="N619" i="3"/>
  <c r="N620" i="3"/>
  <c r="N621" i="3"/>
  <c r="N622" i="3"/>
  <c r="N623" i="3"/>
  <c r="N624" i="3"/>
  <c r="N625" i="3"/>
  <c r="N626" i="3"/>
  <c r="N627" i="3"/>
  <c r="N628" i="3"/>
  <c r="N629" i="3"/>
  <c r="N630" i="3"/>
  <c r="N631" i="3"/>
  <c r="N632" i="3"/>
  <c r="N633" i="3"/>
  <c r="N634" i="3"/>
  <c r="N635" i="3"/>
  <c r="N636" i="3"/>
  <c r="N637" i="3"/>
  <c r="N638" i="3"/>
  <c r="N639" i="3"/>
  <c r="N640" i="3"/>
  <c r="N641" i="3"/>
  <c r="N642" i="3"/>
  <c r="N643" i="3"/>
  <c r="N644" i="3"/>
  <c r="N645" i="3"/>
  <c r="N646" i="3"/>
  <c r="N647" i="3"/>
  <c r="N648" i="3"/>
  <c r="N649" i="3"/>
  <c r="N650" i="3"/>
  <c r="N651" i="3"/>
  <c r="N652" i="3"/>
  <c r="N653" i="3"/>
  <c r="N654" i="3"/>
  <c r="N655" i="3"/>
  <c r="N656" i="3"/>
  <c r="N657" i="3"/>
  <c r="N658" i="3"/>
  <c r="N659" i="3"/>
  <c r="N660" i="3"/>
  <c r="N661" i="3"/>
  <c r="N662" i="3"/>
  <c r="N663" i="3"/>
  <c r="N664" i="3"/>
  <c r="N665" i="3"/>
  <c r="N666" i="3"/>
  <c r="N667" i="3"/>
  <c r="N668" i="3"/>
  <c r="N669" i="3"/>
  <c r="N670" i="3"/>
  <c r="N671" i="3"/>
  <c r="N672" i="3"/>
  <c r="N673" i="3"/>
  <c r="N674" i="3"/>
  <c r="N675" i="3"/>
  <c r="N676" i="3"/>
  <c r="BD677" i="3"/>
  <c r="BD678" i="3"/>
  <c r="BK679" i="3"/>
  <c r="N682" i="3"/>
  <c r="N683" i="3"/>
  <c r="N684" i="3"/>
  <c r="N685" i="3"/>
  <c r="N686" i="3"/>
  <c r="N687" i="3"/>
  <c r="I3" i="8"/>
  <c r="J3" i="8"/>
  <c r="K3" i="8"/>
  <c r="L3" i="8"/>
  <c r="M3" i="8"/>
  <c r="N3" i="8"/>
  <c r="N4" i="8" s="1"/>
  <c r="B25" i="2"/>
  <c r="A212" i="2"/>
  <c r="A214" i="2"/>
  <c r="B214" i="2"/>
  <c r="A216" i="2"/>
  <c r="A229" i="2"/>
  <c r="AQ27" i="3"/>
  <c r="AQ25" i="3"/>
  <c r="AQ21" i="3"/>
  <c r="AQ19" i="3"/>
  <c r="R13" i="8"/>
  <c r="R12" i="8"/>
  <c r="R11" i="8"/>
  <c r="B242" i="2"/>
  <c r="B31" i="3"/>
  <c r="B25" i="3"/>
  <c r="A32" i="3"/>
  <c r="AQ32" i="3" s="1"/>
  <c r="AR25" i="3"/>
  <c r="AR22" i="3"/>
  <c r="AQ20" i="3"/>
  <c r="B22" i="3"/>
  <c r="A29" i="3"/>
  <c r="AQ29" i="3" s="1"/>
  <c r="AR24" i="3"/>
  <c r="AQ22" i="3"/>
  <c r="AR19" i="3"/>
  <c r="B32" i="3"/>
  <c r="AR32" i="3"/>
  <c r="AR26" i="3"/>
  <c r="B23" i="3"/>
  <c r="A35" i="3"/>
  <c r="B35" i="3" s="1"/>
  <c r="AR23" i="3"/>
  <c r="AQ35" i="3"/>
  <c r="AQ30" i="3" l="1"/>
  <c r="B30" i="3"/>
  <c r="AR30" i="3"/>
  <c r="B108" i="2"/>
  <c r="AF10" i="4"/>
  <c r="AG10" i="4"/>
  <c r="AI10" i="4" s="1"/>
  <c r="AH10" i="4"/>
  <c r="B26" i="3"/>
  <c r="AR27" i="3"/>
  <c r="AQ28" i="3"/>
  <c r="AR28" i="3"/>
  <c r="A37" i="3"/>
  <c r="AR37" i="3" s="1"/>
  <c r="B4" i="11"/>
  <c r="D4" i="11" s="1"/>
  <c r="B6" i="11" s="1"/>
  <c r="D6" i="11" s="1"/>
  <c r="A33" i="3"/>
  <c r="AR35" i="3"/>
  <c r="G3" i="8"/>
  <c r="G159" i="8" s="1"/>
  <c r="G158" i="8" s="1"/>
  <c r="G157" i="8" s="1"/>
  <c r="G156" i="8" s="1"/>
  <c r="G155" i="8" s="1"/>
  <c r="G154" i="8" s="1"/>
  <c r="G153" i="8" s="1"/>
  <c r="G152" i="8" s="1"/>
  <c r="G151" i="8" s="1"/>
  <c r="G150" i="8" s="1"/>
  <c r="G149" i="8" s="1"/>
  <c r="G148" i="8" s="1"/>
  <c r="G147" i="8" s="1"/>
  <c r="G146" i="8" s="1"/>
  <c r="G145" i="8" s="1"/>
  <c r="G144" i="8" s="1"/>
  <c r="G143" i="8" s="1"/>
  <c r="G142" i="8" s="1"/>
  <c r="G141" i="8" s="1"/>
  <c r="G140" i="8" s="1"/>
  <c r="G139" i="8" s="1"/>
  <c r="G138" i="8" s="1"/>
  <c r="G137" i="8" s="1"/>
  <c r="G136" i="8" s="1"/>
  <c r="G135" i="8" s="1"/>
  <c r="G134" i="8" s="1"/>
  <c r="G133" i="8" s="1"/>
  <c r="G132" i="8" s="1"/>
  <c r="G131" i="8" s="1"/>
  <c r="G130" i="8" s="1"/>
  <c r="G129" i="8" s="1"/>
  <c r="G128" i="8" s="1"/>
  <c r="G127" i="8" s="1"/>
  <c r="G126" i="8" s="1"/>
  <c r="G125" i="8" s="1"/>
  <c r="G124" i="8" s="1"/>
  <c r="G123" i="8" s="1"/>
  <c r="G122" i="8" s="1"/>
  <c r="G121" i="8" s="1"/>
  <c r="G120" i="8" s="1"/>
  <c r="G119" i="8" s="1"/>
  <c r="G118" i="8" s="1"/>
  <c r="G117" i="8" s="1"/>
  <c r="G116" i="8" s="1"/>
  <c r="G115" i="8" s="1"/>
  <c r="G114" i="8" s="1"/>
  <c r="G113" i="8" s="1"/>
  <c r="G112" i="8" s="1"/>
  <c r="G111" i="8" s="1"/>
  <c r="G110" i="8" s="1"/>
  <c r="G109" i="8" s="1"/>
  <c r="G108" i="8" s="1"/>
  <c r="G107" i="8" s="1"/>
  <c r="G106" i="8" s="1"/>
  <c r="G105" i="8" s="1"/>
  <c r="G104" i="8" s="1"/>
  <c r="G103" i="8" s="1"/>
  <c r="G102" i="8" s="1"/>
  <c r="G101" i="8" s="1"/>
  <c r="G100" i="8" s="1"/>
  <c r="G99" i="8" s="1"/>
  <c r="G98" i="8" s="1"/>
  <c r="G97" i="8" s="1"/>
  <c r="G96" i="8" s="1"/>
  <c r="G95" i="8" s="1"/>
  <c r="G94" i="8" s="1"/>
  <c r="G93" i="8" s="1"/>
  <c r="G92" i="8" s="1"/>
  <c r="G91" i="8" s="1"/>
  <c r="G90" i="8" s="1"/>
  <c r="G89" i="8" s="1"/>
  <c r="G88" i="8" s="1"/>
  <c r="G87" i="8" s="1"/>
  <c r="G86" i="8" s="1"/>
  <c r="G85" i="8" s="1"/>
  <c r="G84" i="8" s="1"/>
  <c r="G83" i="8" s="1"/>
  <c r="G82" i="8" s="1"/>
  <c r="G81" i="8" s="1"/>
  <c r="G80" i="8" s="1"/>
  <c r="G79" i="8" s="1"/>
  <c r="G78" i="8" s="1"/>
  <c r="G77" i="8" s="1"/>
  <c r="G76" i="8" s="1"/>
  <c r="G75" i="8" s="1"/>
  <c r="G74" i="8" s="1"/>
  <c r="G73" i="8" s="1"/>
  <c r="G72" i="8" s="1"/>
  <c r="G71" i="8" s="1"/>
  <c r="G70" i="8" s="1"/>
  <c r="G69" i="8" s="1"/>
  <c r="G68" i="8" s="1"/>
  <c r="G67" i="8" s="1"/>
  <c r="G66" i="8" s="1"/>
  <c r="G65" i="8" s="1"/>
  <c r="G64" i="8" s="1"/>
  <c r="G63" i="8" s="1"/>
  <c r="G62" i="8" s="1"/>
  <c r="G61" i="8" s="1"/>
  <c r="G60" i="8" s="1"/>
  <c r="G59" i="8" s="1"/>
  <c r="G58" i="8" s="1"/>
  <c r="G57" i="8" s="1"/>
  <c r="G56" i="8" s="1"/>
  <c r="G55" i="8" s="1"/>
  <c r="G54" i="8" s="1"/>
  <c r="G53" i="8" s="1"/>
  <c r="G52" i="8" s="1"/>
  <c r="G51" i="8" s="1"/>
  <c r="G50" i="8" s="1"/>
  <c r="G49" i="8" s="1"/>
  <c r="G48" i="8" s="1"/>
  <c r="G47" i="8" s="1"/>
  <c r="G46" i="8" s="1"/>
  <c r="G45" i="8" s="1"/>
  <c r="G44" i="8" s="1"/>
  <c r="G43" i="8" s="1"/>
  <c r="G42" i="8" s="1"/>
  <c r="G41" i="8" s="1"/>
  <c r="G40" i="8" s="1"/>
  <c r="G39" i="8" s="1"/>
  <c r="G38" i="8" s="1"/>
  <c r="G37" i="8" s="1"/>
  <c r="G36" i="8" s="1"/>
  <c r="G35" i="8" s="1"/>
  <c r="G34" i="8" s="1"/>
  <c r="G33" i="8" s="1"/>
  <c r="G32" i="8" s="1"/>
  <c r="G31" i="8" s="1"/>
  <c r="G30" i="8" s="1"/>
  <c r="G29" i="8" s="1"/>
  <c r="G28" i="8" s="1"/>
  <c r="G27" i="8" s="1"/>
  <c r="G26" i="8" s="1"/>
  <c r="G25" i="8" s="1"/>
  <c r="G24" i="8" s="1"/>
  <c r="G23" i="8" s="1"/>
  <c r="G22" i="8" s="1"/>
  <c r="G21" i="8" s="1"/>
  <c r="G20" i="8" s="1"/>
  <c r="G19" i="8" s="1"/>
  <c r="G18" i="8" s="1"/>
  <c r="G17" i="8" s="1"/>
  <c r="G16" i="8" s="1"/>
  <c r="G15" i="8" s="1"/>
  <c r="G14" i="8" s="1"/>
  <c r="G13" i="8" s="1"/>
  <c r="G12" i="8" s="1"/>
  <c r="G11" i="8" s="1"/>
  <c r="G10" i="8" s="1"/>
  <c r="G9" i="8" s="1"/>
  <c r="G8" i="8" s="1"/>
  <c r="G7" i="8" s="1"/>
  <c r="G6" i="8" s="1"/>
  <c r="G4" i="8" s="1"/>
  <c r="AK10" i="4"/>
  <c r="AD10" i="4"/>
  <c r="AE10" i="4"/>
  <c r="B19" i="4"/>
  <c r="I10" i="4"/>
  <c r="J10" i="4" s="1"/>
  <c r="B34" i="3"/>
  <c r="AR34" i="3"/>
  <c r="AQ34" i="3"/>
  <c r="AQ24" i="3"/>
  <c r="H45" i="4"/>
  <c r="AE45" i="4" s="1"/>
  <c r="B220" i="2"/>
  <c r="B18" i="4"/>
  <c r="AF24" i="4"/>
  <c r="E49" i="1"/>
  <c r="AJ173" i="3"/>
  <c r="AJ565" i="3"/>
  <c r="AF57" i="4"/>
  <c r="R21" i="8"/>
  <c r="S21" i="8" s="1"/>
  <c r="R24" i="8"/>
  <c r="S24" i="8" s="1"/>
  <c r="C237" i="2" s="1"/>
  <c r="C65" i="16" s="1"/>
  <c r="AJ19" i="3"/>
  <c r="AJ175" i="3"/>
  <c r="AJ150" i="3"/>
  <c r="H14" i="4"/>
  <c r="AD14" i="4" s="1"/>
  <c r="R4" i="8"/>
  <c r="S4" i="8" s="1"/>
  <c r="E11" i="1" s="1"/>
  <c r="B18" i="2"/>
  <c r="B64" i="2" s="1"/>
  <c r="AJ264" i="3"/>
  <c r="AJ522" i="3"/>
  <c r="AJ512" i="3"/>
  <c r="AJ71" i="3"/>
  <c r="AJ553" i="3"/>
  <c r="H67" i="4"/>
  <c r="AE67" i="4" s="1"/>
  <c r="H58" i="4"/>
  <c r="AK58" i="4" s="1"/>
  <c r="H32" i="4"/>
  <c r="AD32" i="4" s="1"/>
  <c r="AJ136" i="3"/>
  <c r="AJ545" i="3"/>
  <c r="AJ195" i="3"/>
  <c r="AJ281" i="3"/>
  <c r="AJ634" i="3"/>
  <c r="AJ384" i="3"/>
  <c r="AJ475" i="3"/>
  <c r="AJ322" i="3"/>
  <c r="H63" i="4"/>
  <c r="AK63" i="4" s="1"/>
  <c r="AJ434" i="3"/>
  <c r="AG39" i="4"/>
  <c r="H68" i="4"/>
  <c r="AK68" i="4" s="1"/>
  <c r="H55" i="4"/>
  <c r="I55" i="4" s="1"/>
  <c r="J55" i="4" s="1"/>
  <c r="U55" i="4" s="1"/>
  <c r="V55" i="4" s="1"/>
  <c r="H18" i="4"/>
  <c r="AK18" i="4" s="1"/>
  <c r="H91" i="4"/>
  <c r="AE91" i="4" s="1"/>
  <c r="H96" i="4"/>
  <c r="AE96" i="4" s="1"/>
  <c r="AJ463" i="3"/>
  <c r="AJ328" i="3"/>
  <c r="AJ200" i="3"/>
  <c r="AJ72" i="3"/>
  <c r="AJ241" i="3"/>
  <c r="AJ639" i="3"/>
  <c r="AJ394" i="3"/>
  <c r="AJ511" i="3"/>
  <c r="AJ105" i="3"/>
  <c r="AJ437" i="3"/>
  <c r="AJ666" i="3"/>
  <c r="AJ576" i="3"/>
  <c r="AJ448" i="3"/>
  <c r="AJ303" i="3"/>
  <c r="AJ603" i="3"/>
  <c r="AJ347" i="3"/>
  <c r="H54" i="4"/>
  <c r="AE54" i="4" s="1"/>
  <c r="AJ236" i="3"/>
  <c r="AJ66" i="3"/>
  <c r="AJ18" i="3"/>
  <c r="AJ606" i="3"/>
  <c r="AJ187" i="3"/>
  <c r="H89" i="4"/>
  <c r="AD89" i="4" s="1"/>
  <c r="H53" i="4"/>
  <c r="AK53" i="4" s="1"/>
  <c r="H36" i="4"/>
  <c r="AE36" i="4" s="1"/>
  <c r="H100" i="4"/>
  <c r="AD100" i="4" s="1"/>
  <c r="H29" i="4"/>
  <c r="AE29" i="4" s="1"/>
  <c r="H28" i="4"/>
  <c r="AD28" i="4" s="1"/>
  <c r="H90" i="4"/>
  <c r="AD90" i="4" s="1"/>
  <c r="H15" i="4"/>
  <c r="AK15" i="4" s="1"/>
  <c r="H27" i="4"/>
  <c r="I27" i="4" s="1"/>
  <c r="J27" i="4" s="1"/>
  <c r="AB27" i="4" s="1"/>
  <c r="H64" i="4"/>
  <c r="AE64" i="4" s="1"/>
  <c r="AJ253" i="3"/>
  <c r="AJ296" i="3"/>
  <c r="AJ232" i="3"/>
  <c r="AJ168" i="3"/>
  <c r="AJ104" i="3"/>
  <c r="AJ40" i="3"/>
  <c r="AJ85" i="3"/>
  <c r="AJ417" i="3"/>
  <c r="AJ671" i="3"/>
  <c r="AJ586" i="3"/>
  <c r="AJ458" i="3"/>
  <c r="AJ323" i="3"/>
  <c r="R9" i="8"/>
  <c r="S9" i="8" s="1"/>
  <c r="AJ383" i="3"/>
  <c r="AJ41" i="3"/>
  <c r="AJ153" i="3"/>
  <c r="AJ373" i="3"/>
  <c r="AJ501" i="3"/>
  <c r="AJ674" i="3"/>
  <c r="AJ650" i="3"/>
  <c r="AJ608" i="3"/>
  <c r="AJ544" i="3"/>
  <c r="AJ480" i="3"/>
  <c r="AJ416" i="3"/>
  <c r="AJ352" i="3"/>
  <c r="AJ239" i="3"/>
  <c r="AJ91" i="3"/>
  <c r="AJ539" i="3"/>
  <c r="AJ411" i="3"/>
  <c r="AJ229" i="3"/>
  <c r="H86" i="4"/>
  <c r="AD86" i="4" s="1"/>
  <c r="H24" i="4"/>
  <c r="AK24" i="4" s="1"/>
  <c r="AJ278" i="3"/>
  <c r="AJ194" i="3"/>
  <c r="AJ108" i="3"/>
  <c r="AJ28" i="3"/>
  <c r="H77" i="4"/>
  <c r="AK77" i="4" s="1"/>
  <c r="AJ377" i="3"/>
  <c r="AJ659" i="3"/>
  <c r="AJ518" i="3"/>
  <c r="AJ141" i="3"/>
  <c r="AJ688" i="3"/>
  <c r="AF25" i="4"/>
  <c r="H99" i="4"/>
  <c r="I99" i="4" s="1"/>
  <c r="J99" i="4" s="1"/>
  <c r="AB99" i="4" s="1"/>
  <c r="H35" i="4"/>
  <c r="AK35" i="4" s="1"/>
  <c r="H52" i="4"/>
  <c r="AE52" i="4" s="1"/>
  <c r="H84" i="4"/>
  <c r="AE84" i="4" s="1"/>
  <c r="H49" i="4"/>
  <c r="AK49" i="4" s="1"/>
  <c r="H93" i="4"/>
  <c r="AK93" i="4" s="1"/>
  <c r="H87" i="4"/>
  <c r="AE87" i="4" s="1"/>
  <c r="H23" i="4"/>
  <c r="AK23" i="4" s="1"/>
  <c r="H42" i="4"/>
  <c r="AE42" i="4" s="1"/>
  <c r="H74" i="4"/>
  <c r="I74" i="4" s="1"/>
  <c r="H104" i="4"/>
  <c r="AK104" i="4" s="1"/>
  <c r="H73" i="4"/>
  <c r="AK73" i="4" s="1"/>
  <c r="H69" i="4"/>
  <c r="AK69" i="4" s="1"/>
  <c r="H59" i="4"/>
  <c r="AD59" i="4" s="1"/>
  <c r="H16" i="4"/>
  <c r="I16" i="4" s="1"/>
  <c r="J16" i="4" s="1"/>
  <c r="K16" i="4" s="1"/>
  <c r="L16" i="4" s="1"/>
  <c r="N16" i="4" s="1"/>
  <c r="H48" i="4"/>
  <c r="AD48" i="4" s="1"/>
  <c r="H80" i="4"/>
  <c r="AE80" i="4" s="1"/>
  <c r="H102" i="4"/>
  <c r="AD102" i="4" s="1"/>
  <c r="H70" i="4"/>
  <c r="AD70" i="4" s="1"/>
  <c r="H38" i="4"/>
  <c r="AD38" i="4" s="1"/>
  <c r="H31" i="4"/>
  <c r="AK31" i="4" s="1"/>
  <c r="H95" i="4"/>
  <c r="AE95" i="4" s="1"/>
  <c r="H17" i="4"/>
  <c r="AK17" i="4" s="1"/>
  <c r="AG23" i="4"/>
  <c r="F62" i="1"/>
  <c r="N159" i="8"/>
  <c r="N158" i="8" s="1"/>
  <c r="N157" i="8" s="1"/>
  <c r="N156" i="8" s="1"/>
  <c r="N155" i="8" s="1"/>
  <c r="N154" i="8" s="1"/>
  <c r="N153" i="8" s="1"/>
  <c r="N152" i="8" s="1"/>
  <c r="N151" i="8" s="1"/>
  <c r="N150" i="8" s="1"/>
  <c r="N149" i="8" s="1"/>
  <c r="N148" i="8" s="1"/>
  <c r="N147" i="8" s="1"/>
  <c r="N146" i="8" s="1"/>
  <c r="N145" i="8" s="1"/>
  <c r="N144" i="8" s="1"/>
  <c r="N143" i="8" s="1"/>
  <c r="N142" i="8" s="1"/>
  <c r="N141" i="8" s="1"/>
  <c r="N140" i="8" s="1"/>
  <c r="N139" i="8" s="1"/>
  <c r="N138" i="8" s="1"/>
  <c r="N137" i="8" s="1"/>
  <c r="N136" i="8" s="1"/>
  <c r="N135" i="8" s="1"/>
  <c r="N134" i="8" s="1"/>
  <c r="N133" i="8" s="1"/>
  <c r="N132" i="8" s="1"/>
  <c r="N131" i="8" s="1"/>
  <c r="N130" i="8" s="1"/>
  <c r="N129" i="8" s="1"/>
  <c r="N128" i="8" s="1"/>
  <c r="N127" i="8" s="1"/>
  <c r="N126" i="8" s="1"/>
  <c r="N125" i="8" s="1"/>
  <c r="N124" i="8" s="1"/>
  <c r="N123" i="8" s="1"/>
  <c r="N122" i="8" s="1"/>
  <c r="N121" i="8" s="1"/>
  <c r="N120" i="8" s="1"/>
  <c r="N119" i="8" s="1"/>
  <c r="N118" i="8" s="1"/>
  <c r="N117" i="8" s="1"/>
  <c r="N116" i="8" s="1"/>
  <c r="N115" i="8" s="1"/>
  <c r="N114" i="8" s="1"/>
  <c r="N113" i="8" s="1"/>
  <c r="N112" i="8" s="1"/>
  <c r="N111" i="8" s="1"/>
  <c r="N110" i="8" s="1"/>
  <c r="N109" i="8" s="1"/>
  <c r="N108" i="8" s="1"/>
  <c r="N107" i="8" s="1"/>
  <c r="N106" i="8" s="1"/>
  <c r="N105" i="8" s="1"/>
  <c r="N104" i="8" s="1"/>
  <c r="N103" i="8" s="1"/>
  <c r="N102" i="8" s="1"/>
  <c r="N101" i="8" s="1"/>
  <c r="N100" i="8" s="1"/>
  <c r="N99" i="8" s="1"/>
  <c r="N98" i="8" s="1"/>
  <c r="N97" i="8" s="1"/>
  <c r="N96" i="8" s="1"/>
  <c r="N95" i="8" s="1"/>
  <c r="N94" i="8" s="1"/>
  <c r="N93" i="8" s="1"/>
  <c r="N92" i="8" s="1"/>
  <c r="N91" i="8" s="1"/>
  <c r="N90" i="8" s="1"/>
  <c r="N89" i="8" s="1"/>
  <c r="N88" i="8" s="1"/>
  <c r="N87" i="8" s="1"/>
  <c r="N86" i="8" s="1"/>
  <c r="N85" i="8" s="1"/>
  <c r="N84" i="8" s="1"/>
  <c r="N83" i="8" s="1"/>
  <c r="N82" i="8" s="1"/>
  <c r="N81" i="8" s="1"/>
  <c r="N80" i="8" s="1"/>
  <c r="N79" i="8" s="1"/>
  <c r="N78" i="8" s="1"/>
  <c r="N77" i="8" s="1"/>
  <c r="N76" i="8" s="1"/>
  <c r="N75" i="8" s="1"/>
  <c r="N74" i="8" s="1"/>
  <c r="N73" i="8" s="1"/>
  <c r="N72" i="8" s="1"/>
  <c r="N71" i="8" s="1"/>
  <c r="N70" i="8" s="1"/>
  <c r="N69" i="8" s="1"/>
  <c r="N68" i="8" s="1"/>
  <c r="N67" i="8" s="1"/>
  <c r="N66" i="8" s="1"/>
  <c r="N65" i="8" s="1"/>
  <c r="N64" i="8" s="1"/>
  <c r="N63" i="8" s="1"/>
  <c r="N62" i="8" s="1"/>
  <c r="N61" i="8" s="1"/>
  <c r="N60" i="8" s="1"/>
  <c r="N59" i="8" s="1"/>
  <c r="N58" i="8" s="1"/>
  <c r="N57" i="8" s="1"/>
  <c r="N56" i="8" s="1"/>
  <c r="N55" i="8" s="1"/>
  <c r="N54" i="8" s="1"/>
  <c r="N53" i="8" s="1"/>
  <c r="N52" i="8" s="1"/>
  <c r="N51" i="8" s="1"/>
  <c r="N50" i="8" s="1"/>
  <c r="N49" i="8" s="1"/>
  <c r="N48" i="8" s="1"/>
  <c r="N47" i="8" s="1"/>
  <c r="N46" i="8" s="1"/>
  <c r="N45" i="8" s="1"/>
  <c r="N44" i="8" s="1"/>
  <c r="N43" i="8" s="1"/>
  <c r="N42" i="8" s="1"/>
  <c r="N41" i="8" s="1"/>
  <c r="N40" i="8" s="1"/>
  <c r="N39" i="8" s="1"/>
  <c r="N38" i="8" s="1"/>
  <c r="N37" i="8" s="1"/>
  <c r="N36" i="8" s="1"/>
  <c r="N35" i="8" s="1"/>
  <c r="N34" i="8" s="1"/>
  <c r="N33" i="8" s="1"/>
  <c r="N32" i="8" s="1"/>
  <c r="N31" i="8" s="1"/>
  <c r="N30" i="8" s="1"/>
  <c r="N29" i="8" s="1"/>
  <c r="N28" i="8" s="1"/>
  <c r="N27" i="8" s="1"/>
  <c r="N26" i="8" s="1"/>
  <c r="N25" i="8" s="1"/>
  <c r="N24" i="8" s="1"/>
  <c r="N23" i="8" s="1"/>
  <c r="N22" i="8" s="1"/>
  <c r="N21" i="8" s="1"/>
  <c r="N20" i="8" s="1"/>
  <c r="N19" i="8" s="1"/>
  <c r="N18" i="8" s="1"/>
  <c r="N17" i="8" s="1"/>
  <c r="N16" i="8" s="1"/>
  <c r="N15" i="8" s="1"/>
  <c r="N14" i="8" s="1"/>
  <c r="N13" i="8" s="1"/>
  <c r="N12" i="8" s="1"/>
  <c r="N11" i="8" s="1"/>
  <c r="N10" i="8" s="1"/>
  <c r="N9" i="8" s="1"/>
  <c r="N8" i="8" s="1"/>
  <c r="N7" i="8" s="1"/>
  <c r="N6" i="8" s="1"/>
  <c r="AG46" i="4"/>
  <c r="B53" i="4"/>
  <c r="B22" i="4"/>
  <c r="AK45" i="4"/>
  <c r="H57" i="4"/>
  <c r="AE57" i="4" s="1"/>
  <c r="H12" i="4"/>
  <c r="AK12" i="4" s="1"/>
  <c r="H85" i="4"/>
  <c r="AK85" i="4" s="1"/>
  <c r="H21" i="4"/>
  <c r="AD21" i="4" s="1"/>
  <c r="H83" i="4"/>
  <c r="AE83" i="4" s="1"/>
  <c r="H51" i="4"/>
  <c r="I51" i="4" s="1"/>
  <c r="H22" i="4"/>
  <c r="AK22" i="4" s="1"/>
  <c r="H44" i="4"/>
  <c r="AE44" i="4" s="1"/>
  <c r="H60" i="4"/>
  <c r="AD60" i="4" s="1"/>
  <c r="H76" i="4"/>
  <c r="AK76" i="4" s="1"/>
  <c r="H92" i="4"/>
  <c r="AK92" i="4" s="1"/>
  <c r="H13" i="4"/>
  <c r="AE13" i="4" s="1"/>
  <c r="H81" i="4"/>
  <c r="AD81" i="4" s="1"/>
  <c r="B170" i="2"/>
  <c r="B45" i="4" s="1"/>
  <c r="H61" i="4"/>
  <c r="AE61" i="4" s="1"/>
  <c r="H103" i="4"/>
  <c r="AD103" i="4" s="1"/>
  <c r="H71" i="4"/>
  <c r="AE71" i="4" s="1"/>
  <c r="H39" i="4"/>
  <c r="AE39" i="4" s="1"/>
  <c r="H19" i="4"/>
  <c r="AE19" i="4" s="1"/>
  <c r="H34" i="4"/>
  <c r="AD34" i="4" s="1"/>
  <c r="H50" i="4"/>
  <c r="AE50" i="4" s="1"/>
  <c r="H66" i="4"/>
  <c r="AK66" i="4" s="1"/>
  <c r="H82" i="4"/>
  <c r="AD82" i="4" s="1"/>
  <c r="H98" i="4"/>
  <c r="AK98" i="4" s="1"/>
  <c r="B14" i="4"/>
  <c r="H41" i="4"/>
  <c r="AE41" i="4" s="1"/>
  <c r="H97" i="4"/>
  <c r="AE97" i="4" s="1"/>
  <c r="H20" i="4"/>
  <c r="I20" i="4" s="1"/>
  <c r="H101" i="4"/>
  <c r="AE101" i="4" s="1"/>
  <c r="H37" i="4"/>
  <c r="I37" i="4" s="1"/>
  <c r="J37" i="4" s="1"/>
  <c r="U37" i="4" s="1"/>
  <c r="V37" i="4" s="1"/>
  <c r="H75" i="4"/>
  <c r="I75" i="4" s="1"/>
  <c r="J75" i="4" s="1"/>
  <c r="O75" i="4" s="1"/>
  <c r="P75" i="4" s="1"/>
  <c r="Q75" i="4" s="1"/>
  <c r="H43" i="4"/>
  <c r="AE43" i="4" s="1"/>
  <c r="AG96" i="4"/>
  <c r="H26" i="4"/>
  <c r="AD26" i="4" s="1"/>
  <c r="H40" i="4"/>
  <c r="AE40" i="4" s="1"/>
  <c r="H56" i="4"/>
  <c r="AK56" i="4" s="1"/>
  <c r="H72" i="4"/>
  <c r="I72" i="4" s="1"/>
  <c r="J72" i="4" s="1"/>
  <c r="R72" i="4" s="1"/>
  <c r="S72" i="4" s="1"/>
  <c r="T72" i="4" s="1"/>
  <c r="H88" i="4"/>
  <c r="AK88" i="4" s="1"/>
  <c r="H9" i="4"/>
  <c r="AD9" i="4" s="1"/>
  <c r="AG107" i="4"/>
  <c r="AJ375" i="3"/>
  <c r="AJ551" i="3"/>
  <c r="B106" i="2"/>
  <c r="B130" i="2" s="1"/>
  <c r="B123" i="2" s="1"/>
  <c r="AJ312" i="3"/>
  <c r="AJ280" i="3"/>
  <c r="AJ248" i="3"/>
  <c r="AJ216" i="3"/>
  <c r="AJ184" i="3"/>
  <c r="AJ152" i="3"/>
  <c r="AJ120" i="3"/>
  <c r="AJ88" i="3"/>
  <c r="AJ56" i="3"/>
  <c r="AJ29" i="3"/>
  <c r="AJ16" i="3"/>
  <c r="AJ95" i="3"/>
  <c r="AJ353" i="3"/>
  <c r="AJ481" i="3"/>
  <c r="AJ609" i="3"/>
  <c r="AJ655" i="3"/>
  <c r="AJ618" i="3"/>
  <c r="AJ554" i="3"/>
  <c r="AJ490" i="3"/>
  <c r="AJ426" i="3"/>
  <c r="AJ362" i="3"/>
  <c r="AJ259" i="3"/>
  <c r="AJ131" i="3"/>
  <c r="AJ575" i="3"/>
  <c r="AJ447" i="3"/>
  <c r="AJ301" i="3"/>
  <c r="AG57" i="4"/>
  <c r="AJ73" i="3"/>
  <c r="AJ47" i="3"/>
  <c r="AJ217" i="3"/>
  <c r="AJ341" i="3"/>
  <c r="AJ405" i="3"/>
  <c r="AJ469" i="3"/>
  <c r="AJ533" i="3"/>
  <c r="AJ597" i="3"/>
  <c r="AJ687" i="3"/>
  <c r="AJ658" i="3"/>
  <c r="AJ642" i="3"/>
  <c r="AJ624" i="3"/>
  <c r="AJ592" i="3"/>
  <c r="AJ560" i="3"/>
  <c r="AJ528" i="3"/>
  <c r="AJ496" i="3"/>
  <c r="AJ464" i="3"/>
  <c r="AJ432" i="3"/>
  <c r="AJ400" i="3"/>
  <c r="AJ368" i="3"/>
  <c r="AJ335" i="3"/>
  <c r="AJ271" i="3"/>
  <c r="AJ207" i="3"/>
  <c r="AJ143" i="3"/>
  <c r="AJ14" i="3"/>
  <c r="AJ571" i="3"/>
  <c r="AJ507" i="3"/>
  <c r="AJ443" i="3"/>
  <c r="AJ379" i="3"/>
  <c r="AJ293" i="3"/>
  <c r="AJ165" i="3"/>
  <c r="H94" i="4"/>
  <c r="AE94" i="4" s="1"/>
  <c r="H78" i="4"/>
  <c r="AE78" i="4" s="1"/>
  <c r="H62" i="4"/>
  <c r="AK62" i="4" s="1"/>
  <c r="H46" i="4"/>
  <c r="AD46" i="4" s="1"/>
  <c r="H30" i="4"/>
  <c r="I30" i="4" s="1"/>
  <c r="J30" i="4" s="1"/>
  <c r="AB30" i="4" s="1"/>
  <c r="H11" i="4"/>
  <c r="AK11" i="4" s="1"/>
  <c r="AJ300" i="3"/>
  <c r="AJ258" i="3"/>
  <c r="AJ214" i="3"/>
  <c r="AJ172" i="3"/>
  <c r="AJ130" i="3"/>
  <c r="AJ86" i="3"/>
  <c r="AJ44" i="3"/>
  <c r="AJ13" i="3"/>
  <c r="H47" i="4"/>
  <c r="H79" i="4"/>
  <c r="AE79" i="4" s="1"/>
  <c r="AJ61" i="3"/>
  <c r="AJ257" i="3"/>
  <c r="AJ465" i="3"/>
  <c r="AJ675" i="3"/>
  <c r="AJ637" i="3"/>
  <c r="AJ562" i="3"/>
  <c r="AJ478" i="3"/>
  <c r="AJ390" i="3"/>
  <c r="AJ275" i="3"/>
  <c r="AJ83" i="3"/>
  <c r="AF67" i="4"/>
  <c r="AF89" i="4"/>
  <c r="AG19" i="4"/>
  <c r="AF15" i="4"/>
  <c r="AJ583" i="3"/>
  <c r="B25" i="4"/>
  <c r="B148" i="2"/>
  <c r="AG47" i="4"/>
  <c r="AG38" i="4"/>
  <c r="AG70" i="4"/>
  <c r="AG68" i="4"/>
  <c r="AG26" i="4"/>
  <c r="AG92" i="4"/>
  <c r="AJ333" i="3"/>
  <c r="AJ423" i="3"/>
  <c r="AJ503" i="3"/>
  <c r="AJ591" i="3"/>
  <c r="AJ336" i="3"/>
  <c r="AJ320" i="3"/>
  <c r="AJ304" i="3"/>
  <c r="AJ288" i="3"/>
  <c r="AJ272" i="3"/>
  <c r="AJ256" i="3"/>
  <c r="AJ240" i="3"/>
  <c r="AJ224" i="3"/>
  <c r="AJ208" i="3"/>
  <c r="AJ192" i="3"/>
  <c r="AJ176" i="3"/>
  <c r="AJ160" i="3"/>
  <c r="AJ144" i="3"/>
  <c r="AJ128" i="3"/>
  <c r="AJ112" i="3"/>
  <c r="AJ96" i="3"/>
  <c r="AJ80" i="3"/>
  <c r="AJ64" i="3"/>
  <c r="AJ48" i="3"/>
  <c r="AJ35" i="3"/>
  <c r="AJ24" i="3"/>
  <c r="AJ11" i="3"/>
  <c r="AJ53" i="3"/>
  <c r="AJ117" i="3"/>
  <c r="AJ177" i="3"/>
  <c r="AJ305" i="3"/>
  <c r="AJ385" i="3"/>
  <c r="AJ449" i="3"/>
  <c r="AJ513" i="3"/>
  <c r="AJ577" i="3"/>
  <c r="AJ682" i="3"/>
  <c r="AJ663" i="3"/>
  <c r="AJ647" i="3"/>
  <c r="AJ631" i="3"/>
  <c r="AJ602" i="3"/>
  <c r="AJ570" i="3"/>
  <c r="AJ538" i="3"/>
  <c r="AJ506" i="3"/>
  <c r="AJ474" i="3"/>
  <c r="AJ442" i="3"/>
  <c r="AJ410" i="3"/>
  <c r="AJ378" i="3"/>
  <c r="AJ346" i="3"/>
  <c r="AJ291" i="3"/>
  <c r="AJ227" i="3"/>
  <c r="AJ163" i="3"/>
  <c r="AJ67" i="3"/>
  <c r="AJ607" i="3"/>
  <c r="AJ543" i="3"/>
  <c r="AJ479" i="3"/>
  <c r="AJ415" i="3"/>
  <c r="AJ351" i="3"/>
  <c r="AJ237" i="3"/>
  <c r="AJ87" i="3"/>
  <c r="AG45" i="4"/>
  <c r="AJ57" i="3"/>
  <c r="AJ89" i="3"/>
  <c r="AJ121" i="3"/>
  <c r="AJ111" i="3"/>
  <c r="AJ185" i="3"/>
  <c r="AJ249" i="3"/>
  <c r="AJ313" i="3"/>
  <c r="AJ357" i="3"/>
  <c r="AJ389" i="3"/>
  <c r="AJ421" i="3"/>
  <c r="AJ453" i="3"/>
  <c r="AJ485" i="3"/>
  <c r="AJ517" i="3"/>
  <c r="AJ549" i="3"/>
  <c r="AJ581" i="3"/>
  <c r="AJ613" i="3"/>
  <c r="AJ683" i="3"/>
  <c r="AJ670" i="3"/>
  <c r="AJ662" i="3"/>
  <c r="AJ654" i="3"/>
  <c r="AJ646" i="3"/>
  <c r="AJ638" i="3"/>
  <c r="AJ630" i="3"/>
  <c r="AJ616" i="3"/>
  <c r="AJ600" i="3"/>
  <c r="AJ584" i="3"/>
  <c r="AJ568" i="3"/>
  <c r="AJ552" i="3"/>
  <c r="AJ536" i="3"/>
  <c r="AJ520" i="3"/>
  <c r="AJ504" i="3"/>
  <c r="AJ488" i="3"/>
  <c r="AJ472" i="3"/>
  <c r="AJ456" i="3"/>
  <c r="AJ440" i="3"/>
  <c r="AJ424" i="3"/>
  <c r="AJ408" i="3"/>
  <c r="AJ392" i="3"/>
  <c r="AJ376" i="3"/>
  <c r="AJ360" i="3"/>
  <c r="AJ344" i="3"/>
  <c r="AJ319" i="3"/>
  <c r="AJ287" i="3"/>
  <c r="AJ255" i="3"/>
  <c r="AJ223" i="3"/>
  <c r="AJ191" i="3"/>
  <c r="AJ159" i="3"/>
  <c r="AJ123" i="3"/>
  <c r="AJ59" i="3"/>
  <c r="AJ619" i="3"/>
  <c r="AJ587" i="3"/>
  <c r="AJ555" i="3"/>
  <c r="AJ523" i="3"/>
  <c r="AJ491" i="3"/>
  <c r="AJ459" i="3"/>
  <c r="AJ427" i="3"/>
  <c r="AJ395" i="3"/>
  <c r="AJ363" i="3"/>
  <c r="AJ325" i="3"/>
  <c r="AJ261" i="3"/>
  <c r="AJ197" i="3"/>
  <c r="AJ133" i="3"/>
  <c r="AJ34" i="3"/>
  <c r="AF98" i="4"/>
  <c r="AJ332" i="3"/>
  <c r="AJ310" i="3"/>
  <c r="AJ290" i="3"/>
  <c r="AJ268" i="3"/>
  <c r="AJ246" i="3"/>
  <c r="AJ226" i="3"/>
  <c r="AJ204" i="3"/>
  <c r="AJ182" i="3"/>
  <c r="AJ162" i="3"/>
  <c r="AJ140" i="3"/>
  <c r="AJ118" i="3"/>
  <c r="AJ98" i="3"/>
  <c r="AJ76" i="3"/>
  <c r="AJ54" i="3"/>
  <c r="AJ36" i="3"/>
  <c r="AJ21" i="3"/>
  <c r="AG79" i="4"/>
  <c r="AJ101" i="3"/>
  <c r="AJ161" i="3"/>
  <c r="AJ337" i="3"/>
  <c r="AJ425" i="3"/>
  <c r="AJ505" i="3"/>
  <c r="AJ593" i="3"/>
  <c r="AJ669" i="3"/>
  <c r="AJ649" i="3"/>
  <c r="AJ626" i="3"/>
  <c r="AJ582" i="3"/>
  <c r="AJ542" i="3"/>
  <c r="AJ498" i="3"/>
  <c r="AJ454" i="3"/>
  <c r="AJ414" i="3"/>
  <c r="AJ370" i="3"/>
  <c r="AJ315" i="3"/>
  <c r="AJ235" i="3"/>
  <c r="AJ147" i="3"/>
  <c r="AF77" i="4"/>
  <c r="AF45" i="4"/>
  <c r="AF90" i="4"/>
  <c r="J136" i="3"/>
  <c r="AF78" i="4"/>
  <c r="AF36" i="4"/>
  <c r="AJ359" i="3"/>
  <c r="H25" i="4"/>
  <c r="AD25" i="4" s="1"/>
  <c r="H106" i="4"/>
  <c r="AK106" i="4" s="1"/>
  <c r="H108" i="4"/>
  <c r="H105" i="4"/>
  <c r="AK105" i="4" s="1"/>
  <c r="H107" i="4"/>
  <c r="I107" i="4" s="1"/>
  <c r="J107" i="4" s="1"/>
  <c r="R107" i="4" s="1"/>
  <c r="S107" i="4" s="1"/>
  <c r="T107" i="4" s="1"/>
  <c r="H109" i="4"/>
  <c r="AK109" i="4" s="1"/>
  <c r="AJ471" i="3"/>
  <c r="AG40" i="4"/>
  <c r="AG11" i="4"/>
  <c r="AG72" i="4"/>
  <c r="AG42" i="4"/>
  <c r="AG27" i="4"/>
  <c r="AG30" i="4"/>
  <c r="AF106" i="4"/>
  <c r="AG21" i="4"/>
  <c r="AG86" i="4"/>
  <c r="AF38" i="4"/>
  <c r="AF108" i="4"/>
  <c r="AF14" i="4"/>
  <c r="AF35" i="4"/>
  <c r="AF56" i="4"/>
  <c r="AF79" i="4"/>
  <c r="AF100" i="4"/>
  <c r="AF42" i="4"/>
  <c r="AF34" i="4"/>
  <c r="AF96" i="4"/>
  <c r="AF68" i="4"/>
  <c r="AF47" i="4"/>
  <c r="AG90" i="4"/>
  <c r="AG66" i="4"/>
  <c r="AG35" i="4"/>
  <c r="AG29" i="4"/>
  <c r="AG106" i="4"/>
  <c r="AG105" i="4"/>
  <c r="AG59" i="4"/>
  <c r="AG12" i="4"/>
  <c r="AG74" i="4"/>
  <c r="AG78" i="4"/>
  <c r="AG61" i="4"/>
  <c r="AG85" i="4"/>
  <c r="AG44" i="4"/>
  <c r="AG36" i="4"/>
  <c r="AG48" i="4"/>
  <c r="AG9" i="4"/>
  <c r="AG76" i="4"/>
  <c r="AG17" i="4"/>
  <c r="AG98" i="4"/>
  <c r="AG37" i="4"/>
  <c r="AG95" i="4"/>
  <c r="AG64" i="4"/>
  <c r="AG102" i="4"/>
  <c r="AG104" i="4"/>
  <c r="AG28" i="4"/>
  <c r="AG13" i="4"/>
  <c r="AG33" i="4"/>
  <c r="AG69" i="4"/>
  <c r="AG18" i="4"/>
  <c r="AG100" i="4"/>
  <c r="AG73" i="4"/>
  <c r="AG82" i="4"/>
  <c r="AG67" i="4"/>
  <c r="AG56" i="4"/>
  <c r="AG49" i="4"/>
  <c r="AG53" i="4"/>
  <c r="AG83" i="4"/>
  <c r="AG62" i="4"/>
  <c r="AG94" i="4"/>
  <c r="AG24" i="4"/>
  <c r="AG25" i="4"/>
  <c r="AG71" i="4"/>
  <c r="AG99" i="4"/>
  <c r="AG109" i="4"/>
  <c r="AG75" i="4"/>
  <c r="AG81" i="4"/>
  <c r="AG89" i="4"/>
  <c r="AG60" i="4"/>
  <c r="AG41" i="4"/>
  <c r="AG52" i="4"/>
  <c r="AG84" i="4"/>
  <c r="AG31" i="4"/>
  <c r="B54" i="4"/>
  <c r="B198" i="2"/>
  <c r="B39" i="4"/>
  <c r="B77" i="4"/>
  <c r="B197" i="2"/>
  <c r="AJ55" i="3"/>
  <c r="AJ205" i="3"/>
  <c r="AJ317" i="3"/>
  <c r="AJ391" i="3"/>
  <c r="AJ439" i="3"/>
  <c r="AJ495" i="3"/>
  <c r="AJ559" i="3"/>
  <c r="AJ615" i="3"/>
  <c r="AJ26" i="3"/>
  <c r="AJ115" i="3"/>
  <c r="AJ171" i="3"/>
  <c r="AJ211" i="3"/>
  <c r="AJ251" i="3"/>
  <c r="AJ299" i="3"/>
  <c r="AJ338" i="3"/>
  <c r="AJ358" i="3"/>
  <c r="AJ382" i="3"/>
  <c r="AJ402" i="3"/>
  <c r="AJ422" i="3"/>
  <c r="AJ446" i="3"/>
  <c r="AJ466" i="3"/>
  <c r="AJ486" i="3"/>
  <c r="AJ510" i="3"/>
  <c r="AJ530" i="3"/>
  <c r="AJ550" i="3"/>
  <c r="AJ574" i="3"/>
  <c r="AJ594" i="3"/>
  <c r="AJ614" i="3"/>
  <c r="AJ633" i="3"/>
  <c r="AJ643" i="3"/>
  <c r="AJ653" i="3"/>
  <c r="AJ665" i="3"/>
  <c r="AJ686" i="3"/>
  <c r="AJ617" i="3"/>
  <c r="AJ569" i="3"/>
  <c r="AJ529" i="3"/>
  <c r="AJ489" i="3"/>
  <c r="AJ441" i="3"/>
  <c r="AJ401" i="3"/>
  <c r="AJ361" i="3"/>
  <c r="AJ289" i="3"/>
  <c r="AJ209" i="3"/>
  <c r="AJ127" i="3"/>
  <c r="AJ125" i="3"/>
  <c r="AJ77" i="3"/>
  <c r="AJ30" i="3"/>
  <c r="AJ17" i="3"/>
  <c r="AJ25" i="3"/>
  <c r="AJ32" i="3"/>
  <c r="AJ38" i="3"/>
  <c r="AJ50" i="3"/>
  <c r="AJ60" i="3"/>
  <c r="AJ70" i="3"/>
  <c r="AJ82" i="3"/>
  <c r="AJ92" i="3"/>
  <c r="AJ102" i="3"/>
  <c r="AJ114" i="3"/>
  <c r="AJ124" i="3"/>
  <c r="AJ134" i="3"/>
  <c r="AJ146" i="3"/>
  <c r="AJ156" i="3"/>
  <c r="AJ166" i="3"/>
  <c r="AJ178" i="3"/>
  <c r="AJ188" i="3"/>
  <c r="AJ198" i="3"/>
  <c r="AJ210" i="3"/>
  <c r="AJ220" i="3"/>
  <c r="AJ230" i="3"/>
  <c r="AJ242" i="3"/>
  <c r="AJ252" i="3"/>
  <c r="AJ262" i="3"/>
  <c r="AJ274" i="3"/>
  <c r="AJ284" i="3"/>
  <c r="AJ294" i="3"/>
  <c r="AJ306" i="3"/>
  <c r="AJ316" i="3"/>
  <c r="AJ326" i="3"/>
  <c r="AJ39" i="3"/>
  <c r="AJ103" i="3"/>
  <c r="AJ149" i="3"/>
  <c r="AJ181" i="3"/>
  <c r="AJ213" i="3"/>
  <c r="AJ245" i="3"/>
  <c r="AJ277" i="3"/>
  <c r="AJ309" i="3"/>
  <c r="AJ339" i="3"/>
  <c r="AJ355" i="3"/>
  <c r="AJ371" i="3"/>
  <c r="AJ387" i="3"/>
  <c r="AJ403" i="3"/>
  <c r="AJ419" i="3"/>
  <c r="AJ435" i="3"/>
  <c r="AJ451" i="3"/>
  <c r="AJ467" i="3"/>
  <c r="AJ483" i="3"/>
  <c r="AJ499" i="3"/>
  <c r="AJ515" i="3"/>
  <c r="AJ531" i="3"/>
  <c r="AJ547" i="3"/>
  <c r="AJ563" i="3"/>
  <c r="AJ579" i="3"/>
  <c r="AJ595" i="3"/>
  <c r="AJ611" i="3"/>
  <c r="AJ627" i="3"/>
  <c r="AJ43" i="3"/>
  <c r="AJ75" i="3"/>
  <c r="AJ107" i="3"/>
  <c r="AJ135" i="3"/>
  <c r="AJ151" i="3"/>
  <c r="AJ167" i="3"/>
  <c r="AJ183" i="3"/>
  <c r="AJ199" i="3"/>
  <c r="AJ215" i="3"/>
  <c r="AJ231" i="3"/>
  <c r="AJ247" i="3"/>
  <c r="AJ263" i="3"/>
  <c r="AJ279" i="3"/>
  <c r="AJ295" i="3"/>
  <c r="AJ311" i="3"/>
  <c r="AJ327" i="3"/>
  <c r="AJ340" i="3"/>
  <c r="AJ348" i="3"/>
  <c r="AJ356" i="3"/>
  <c r="AJ364" i="3"/>
  <c r="AJ372" i="3"/>
  <c r="AJ380" i="3"/>
  <c r="AJ388" i="3"/>
  <c r="AJ396" i="3"/>
  <c r="AJ404" i="3"/>
  <c r="AJ412" i="3"/>
  <c r="AJ420" i="3"/>
  <c r="AJ428" i="3"/>
  <c r="AJ436" i="3"/>
  <c r="AJ444" i="3"/>
  <c r="AJ452" i="3"/>
  <c r="AJ460" i="3"/>
  <c r="AJ468" i="3"/>
  <c r="AJ476" i="3"/>
  <c r="AJ484" i="3"/>
  <c r="AJ492" i="3"/>
  <c r="AJ500" i="3"/>
  <c r="AJ508" i="3"/>
  <c r="AJ516" i="3"/>
  <c r="AJ524" i="3"/>
  <c r="AJ532" i="3"/>
  <c r="AJ540" i="3"/>
  <c r="AJ548" i="3"/>
  <c r="AJ556" i="3"/>
  <c r="AJ564" i="3"/>
  <c r="AJ572" i="3"/>
  <c r="AJ580" i="3"/>
  <c r="AJ588" i="3"/>
  <c r="AJ596" i="3"/>
  <c r="AJ604" i="3"/>
  <c r="AJ612" i="3"/>
  <c r="AJ620" i="3"/>
  <c r="AJ628" i="3"/>
  <c r="AJ632" i="3"/>
  <c r="AJ636" i="3"/>
  <c r="AJ640" i="3"/>
  <c r="AJ644" i="3"/>
  <c r="AJ648" i="3"/>
  <c r="AJ652" i="3"/>
  <c r="AJ656" i="3"/>
  <c r="AJ660" i="3"/>
  <c r="AJ664" i="3"/>
  <c r="AJ668" i="3"/>
  <c r="AJ672" i="3"/>
  <c r="AJ685" i="3"/>
  <c r="AJ676" i="3"/>
  <c r="AJ621" i="3"/>
  <c r="AJ605" i="3"/>
  <c r="AJ589" i="3"/>
  <c r="AJ573" i="3"/>
  <c r="AJ557" i="3"/>
  <c r="AJ541" i="3"/>
  <c r="AJ525" i="3"/>
  <c r="AJ509" i="3"/>
  <c r="AJ493" i="3"/>
  <c r="AJ477" i="3"/>
  <c r="AJ461" i="3"/>
  <c r="AJ445" i="3"/>
  <c r="AJ429" i="3"/>
  <c r="AJ413" i="3"/>
  <c r="AJ397" i="3"/>
  <c r="AJ381" i="3"/>
  <c r="AJ365" i="3"/>
  <c r="AJ349" i="3"/>
  <c r="AJ329" i="3"/>
  <c r="AJ297" i="3"/>
  <c r="AJ265" i="3"/>
  <c r="AJ233" i="3"/>
  <c r="AJ201" i="3"/>
  <c r="AJ169" i="3"/>
  <c r="AJ137" i="3"/>
  <c r="AJ79" i="3"/>
  <c r="AJ129" i="3"/>
  <c r="AJ113" i="3"/>
  <c r="AJ97" i="3"/>
  <c r="AJ81" i="3"/>
  <c r="AJ65" i="3"/>
  <c r="AJ49" i="3"/>
  <c r="AF74" i="4"/>
  <c r="AF20" i="4"/>
  <c r="AF31" i="4"/>
  <c r="AF41" i="4"/>
  <c r="AF52" i="4"/>
  <c r="AF63" i="4"/>
  <c r="AF73" i="4"/>
  <c r="AF84" i="4"/>
  <c r="AF101" i="4"/>
  <c r="AF58" i="4"/>
  <c r="AF18" i="4"/>
  <c r="AF22" i="4"/>
  <c r="AF82" i="4"/>
  <c r="AF107" i="4"/>
  <c r="AF95" i="4"/>
  <c r="AF83" i="4"/>
  <c r="AF72" i="4"/>
  <c r="AF61" i="4"/>
  <c r="AF51" i="4"/>
  <c r="AF40" i="4"/>
  <c r="AF29" i="4"/>
  <c r="AF19" i="4"/>
  <c r="AF103" i="4"/>
  <c r="AG58" i="4"/>
  <c r="AG22" i="4"/>
  <c r="AF104" i="4"/>
  <c r="AF87" i="4"/>
  <c r="AF66" i="4"/>
  <c r="AG65" i="4"/>
  <c r="AG77" i="4"/>
  <c r="AG16" i="4"/>
  <c r="AG88" i="4"/>
  <c r="AG43" i="4"/>
  <c r="AG103" i="4"/>
  <c r="AG14" i="4"/>
  <c r="AG55" i="4"/>
  <c r="AG54" i="4"/>
  <c r="AG20" i="4"/>
  <c r="AG32" i="4"/>
  <c r="AG50" i="4"/>
  <c r="AG97" i="4"/>
  <c r="D122" i="2"/>
  <c r="B24" i="4"/>
  <c r="B23" i="2"/>
  <c r="B12" i="4"/>
  <c r="AJ527" i="3"/>
  <c r="AJ407" i="3"/>
  <c r="AJ269" i="3"/>
  <c r="M159" i="8"/>
  <c r="M158" i="8" s="1"/>
  <c r="M157" i="8" s="1"/>
  <c r="M156" i="8" s="1"/>
  <c r="M155" i="8" s="1"/>
  <c r="M154" i="8" s="1"/>
  <c r="M153" i="8" s="1"/>
  <c r="M152" i="8" s="1"/>
  <c r="M151" i="8" s="1"/>
  <c r="M150" i="8" s="1"/>
  <c r="M149" i="8" s="1"/>
  <c r="M148" i="8" s="1"/>
  <c r="M147" i="8" s="1"/>
  <c r="M146" i="8" s="1"/>
  <c r="M145" i="8" s="1"/>
  <c r="M144" i="8" s="1"/>
  <c r="M143" i="8" s="1"/>
  <c r="M142" i="8" s="1"/>
  <c r="M141" i="8" s="1"/>
  <c r="M140" i="8" s="1"/>
  <c r="M139" i="8" s="1"/>
  <c r="M138" i="8" s="1"/>
  <c r="M137" i="8" s="1"/>
  <c r="M136" i="8" s="1"/>
  <c r="M135" i="8" s="1"/>
  <c r="M134" i="8" s="1"/>
  <c r="M133" i="8" s="1"/>
  <c r="M132" i="8" s="1"/>
  <c r="M131" i="8" s="1"/>
  <c r="M130" i="8" s="1"/>
  <c r="M129" i="8" s="1"/>
  <c r="M128" i="8" s="1"/>
  <c r="M127" i="8" s="1"/>
  <c r="M126" i="8" s="1"/>
  <c r="M125" i="8" s="1"/>
  <c r="M124" i="8" s="1"/>
  <c r="M123" i="8" s="1"/>
  <c r="M122" i="8" s="1"/>
  <c r="M121" i="8" s="1"/>
  <c r="M120" i="8" s="1"/>
  <c r="M119" i="8" s="1"/>
  <c r="M118" i="8" s="1"/>
  <c r="M117" i="8" s="1"/>
  <c r="M116" i="8" s="1"/>
  <c r="M115" i="8" s="1"/>
  <c r="M114" i="8" s="1"/>
  <c r="M113" i="8" s="1"/>
  <c r="M112" i="8" s="1"/>
  <c r="M111" i="8" s="1"/>
  <c r="M110" i="8" s="1"/>
  <c r="M109" i="8" s="1"/>
  <c r="M108" i="8" s="1"/>
  <c r="M107" i="8" s="1"/>
  <c r="M106" i="8" s="1"/>
  <c r="M105" i="8" s="1"/>
  <c r="M104" i="8" s="1"/>
  <c r="M103" i="8" s="1"/>
  <c r="M102" i="8" s="1"/>
  <c r="M101" i="8" s="1"/>
  <c r="M100" i="8" s="1"/>
  <c r="M99" i="8" s="1"/>
  <c r="M98" i="8" s="1"/>
  <c r="M97" i="8" s="1"/>
  <c r="M96" i="8" s="1"/>
  <c r="M95" i="8" s="1"/>
  <c r="M94" i="8" s="1"/>
  <c r="M93" i="8" s="1"/>
  <c r="M92" i="8" s="1"/>
  <c r="M91" i="8" s="1"/>
  <c r="M90" i="8" s="1"/>
  <c r="M89" i="8" s="1"/>
  <c r="M88" i="8" s="1"/>
  <c r="M87" i="8" s="1"/>
  <c r="M86" i="8" s="1"/>
  <c r="M85" i="8" s="1"/>
  <c r="M84" i="8" s="1"/>
  <c r="M83" i="8" s="1"/>
  <c r="M82" i="8" s="1"/>
  <c r="M81" i="8" s="1"/>
  <c r="M80" i="8" s="1"/>
  <c r="M79" i="8" s="1"/>
  <c r="M78" i="8" s="1"/>
  <c r="M77" i="8" s="1"/>
  <c r="M76" i="8" s="1"/>
  <c r="M75" i="8" s="1"/>
  <c r="M74" i="8" s="1"/>
  <c r="M73" i="8" s="1"/>
  <c r="M72" i="8" s="1"/>
  <c r="M71" i="8" s="1"/>
  <c r="M70" i="8" s="1"/>
  <c r="M69" i="8" s="1"/>
  <c r="M68" i="8" s="1"/>
  <c r="M67" i="8" s="1"/>
  <c r="M66" i="8" s="1"/>
  <c r="M65" i="8" s="1"/>
  <c r="M64" i="8" s="1"/>
  <c r="M63" i="8" s="1"/>
  <c r="M62" i="8" s="1"/>
  <c r="M61" i="8" s="1"/>
  <c r="M60" i="8" s="1"/>
  <c r="M59" i="8" s="1"/>
  <c r="M58" i="8" s="1"/>
  <c r="M57" i="8" s="1"/>
  <c r="M56" i="8" s="1"/>
  <c r="M55" i="8" s="1"/>
  <c r="M54" i="8" s="1"/>
  <c r="M53" i="8" s="1"/>
  <c r="M52" i="8" s="1"/>
  <c r="M51" i="8" s="1"/>
  <c r="M50" i="8" s="1"/>
  <c r="M49" i="8" s="1"/>
  <c r="M48" i="8" s="1"/>
  <c r="M47" i="8" s="1"/>
  <c r="M46" i="8" s="1"/>
  <c r="M45" i="8" s="1"/>
  <c r="M44" i="8" s="1"/>
  <c r="M43" i="8" s="1"/>
  <c r="M42" i="8" s="1"/>
  <c r="M41" i="8" s="1"/>
  <c r="M40" i="8" s="1"/>
  <c r="M39" i="8" s="1"/>
  <c r="M38" i="8" s="1"/>
  <c r="M37" i="8" s="1"/>
  <c r="M36" i="8" s="1"/>
  <c r="M35" i="8" s="1"/>
  <c r="M34" i="8" s="1"/>
  <c r="M33" i="8" s="1"/>
  <c r="M32" i="8" s="1"/>
  <c r="M31" i="8" s="1"/>
  <c r="M30" i="8" s="1"/>
  <c r="M29" i="8" s="1"/>
  <c r="M28" i="8" s="1"/>
  <c r="M27" i="8" s="1"/>
  <c r="M26" i="8" s="1"/>
  <c r="M25" i="8" s="1"/>
  <c r="M24" i="8" s="1"/>
  <c r="M23" i="8" s="1"/>
  <c r="M22" i="8" s="1"/>
  <c r="M21" i="8" s="1"/>
  <c r="M20" i="8" s="1"/>
  <c r="M19" i="8" s="1"/>
  <c r="M18" i="8" s="1"/>
  <c r="M17" i="8" s="1"/>
  <c r="M16" i="8" s="1"/>
  <c r="M15" i="8" s="1"/>
  <c r="M14" i="8" s="1"/>
  <c r="M13" i="8" s="1"/>
  <c r="M12" i="8" s="1"/>
  <c r="M11" i="8" s="1"/>
  <c r="M10" i="8" s="1"/>
  <c r="M9" i="8" s="1"/>
  <c r="M8" i="8" s="1"/>
  <c r="M7" i="8" s="1"/>
  <c r="M6" i="8" s="1"/>
  <c r="M4" i="8" s="1"/>
  <c r="J159" i="8"/>
  <c r="J158" i="8" s="1"/>
  <c r="J157" i="8" s="1"/>
  <c r="J156" i="8" s="1"/>
  <c r="J155" i="8" s="1"/>
  <c r="J154" i="8" s="1"/>
  <c r="J153" i="8" s="1"/>
  <c r="J152" i="8" s="1"/>
  <c r="J151" i="8" s="1"/>
  <c r="J150" i="8" s="1"/>
  <c r="J149" i="8" s="1"/>
  <c r="J148" i="8" s="1"/>
  <c r="J147" i="8" s="1"/>
  <c r="J146" i="8" s="1"/>
  <c r="J145" i="8" s="1"/>
  <c r="J144" i="8" s="1"/>
  <c r="J143" i="8" s="1"/>
  <c r="J142" i="8" s="1"/>
  <c r="J141" i="8" s="1"/>
  <c r="J140" i="8" s="1"/>
  <c r="J139" i="8" s="1"/>
  <c r="J138" i="8" s="1"/>
  <c r="J137" i="8" s="1"/>
  <c r="J136" i="8" s="1"/>
  <c r="J135" i="8" s="1"/>
  <c r="J134" i="8" s="1"/>
  <c r="J133" i="8" s="1"/>
  <c r="J132" i="8" s="1"/>
  <c r="J131" i="8" s="1"/>
  <c r="J130" i="8" s="1"/>
  <c r="J129" i="8" s="1"/>
  <c r="J128" i="8" s="1"/>
  <c r="J127" i="8" s="1"/>
  <c r="J126" i="8" s="1"/>
  <c r="J125" i="8" s="1"/>
  <c r="J124" i="8" s="1"/>
  <c r="J123" i="8" s="1"/>
  <c r="J122" i="8" s="1"/>
  <c r="J121" i="8" s="1"/>
  <c r="J120" i="8" s="1"/>
  <c r="J119" i="8" s="1"/>
  <c r="J118" i="8" s="1"/>
  <c r="J117" i="8" s="1"/>
  <c r="J116" i="8" s="1"/>
  <c r="J115" i="8" s="1"/>
  <c r="J114" i="8" s="1"/>
  <c r="J113" i="8" s="1"/>
  <c r="J112" i="8" s="1"/>
  <c r="J111" i="8" s="1"/>
  <c r="J110" i="8" s="1"/>
  <c r="J109" i="8" s="1"/>
  <c r="J108" i="8" s="1"/>
  <c r="J107" i="8" s="1"/>
  <c r="J106" i="8" s="1"/>
  <c r="J105" i="8" s="1"/>
  <c r="J104" i="8" s="1"/>
  <c r="J103" i="8" s="1"/>
  <c r="J102" i="8" s="1"/>
  <c r="J101" i="8" s="1"/>
  <c r="J100" i="8" s="1"/>
  <c r="J99" i="8" s="1"/>
  <c r="J98" i="8" s="1"/>
  <c r="J97" i="8" s="1"/>
  <c r="J96" i="8" s="1"/>
  <c r="J95" i="8" s="1"/>
  <c r="J94" i="8" s="1"/>
  <c r="J93" i="8" s="1"/>
  <c r="J92" i="8" s="1"/>
  <c r="J91" i="8" s="1"/>
  <c r="J90" i="8" s="1"/>
  <c r="J89" i="8" s="1"/>
  <c r="J88" i="8" s="1"/>
  <c r="J87" i="8" s="1"/>
  <c r="J86" i="8" s="1"/>
  <c r="J85" i="8" s="1"/>
  <c r="J84" i="8" s="1"/>
  <c r="J83" i="8" s="1"/>
  <c r="J82" i="8" s="1"/>
  <c r="J81" i="8" s="1"/>
  <c r="J80" i="8" s="1"/>
  <c r="J79" i="8" s="1"/>
  <c r="J78" i="8" s="1"/>
  <c r="J77" i="8" s="1"/>
  <c r="J76" i="8" s="1"/>
  <c r="J75" i="8" s="1"/>
  <c r="J74" i="8" s="1"/>
  <c r="J73" i="8" s="1"/>
  <c r="J72" i="8" s="1"/>
  <c r="J71" i="8" s="1"/>
  <c r="J70" i="8" s="1"/>
  <c r="J69" i="8" s="1"/>
  <c r="J68" i="8" s="1"/>
  <c r="J67" i="8" s="1"/>
  <c r="J66" i="8" s="1"/>
  <c r="J65" i="8" s="1"/>
  <c r="J64" i="8" s="1"/>
  <c r="J63" i="8" s="1"/>
  <c r="J62" i="8" s="1"/>
  <c r="J61" i="8" s="1"/>
  <c r="J60" i="8" s="1"/>
  <c r="J59" i="8" s="1"/>
  <c r="J58" i="8" s="1"/>
  <c r="J57" i="8" s="1"/>
  <c r="J56" i="8" s="1"/>
  <c r="J55" i="8" s="1"/>
  <c r="J54" i="8" s="1"/>
  <c r="J53" i="8" s="1"/>
  <c r="J52" i="8" s="1"/>
  <c r="J51" i="8" s="1"/>
  <c r="J50" i="8" s="1"/>
  <c r="J49" i="8" s="1"/>
  <c r="J48" i="8" s="1"/>
  <c r="J47" i="8" s="1"/>
  <c r="J46" i="8" s="1"/>
  <c r="J45" i="8" s="1"/>
  <c r="J44" i="8" s="1"/>
  <c r="J43" i="8" s="1"/>
  <c r="J42" i="8" s="1"/>
  <c r="J41" i="8" s="1"/>
  <c r="J40" i="8" s="1"/>
  <c r="J39" i="8" s="1"/>
  <c r="J38" i="8" s="1"/>
  <c r="J37" i="8" s="1"/>
  <c r="J36" i="8" s="1"/>
  <c r="J35" i="8" s="1"/>
  <c r="J34" i="8" s="1"/>
  <c r="J33" i="8" s="1"/>
  <c r="J32" i="8" s="1"/>
  <c r="J31" i="8" s="1"/>
  <c r="J30" i="8" s="1"/>
  <c r="J29" i="8" s="1"/>
  <c r="J28" i="8" s="1"/>
  <c r="J27" i="8" s="1"/>
  <c r="J26" i="8" s="1"/>
  <c r="J25" i="8" s="1"/>
  <c r="J24" i="8" s="1"/>
  <c r="J23" i="8" s="1"/>
  <c r="J22" i="8" s="1"/>
  <c r="J21" i="8" s="1"/>
  <c r="J20" i="8" s="1"/>
  <c r="J19" i="8" s="1"/>
  <c r="J18" i="8" s="1"/>
  <c r="J17" i="8" s="1"/>
  <c r="J16" i="8" s="1"/>
  <c r="J15" i="8" s="1"/>
  <c r="J14" i="8" s="1"/>
  <c r="J13" i="8" s="1"/>
  <c r="J12" i="8" s="1"/>
  <c r="J11" i="8" s="1"/>
  <c r="J10" i="8" s="1"/>
  <c r="J9" i="8" s="1"/>
  <c r="J8" i="8" s="1"/>
  <c r="J7" i="8" s="1"/>
  <c r="J6" i="8" s="1"/>
  <c r="J4" i="8" s="1"/>
  <c r="L159" i="8"/>
  <c r="L158" i="8" s="1"/>
  <c r="L157" i="8" s="1"/>
  <c r="L156" i="8" s="1"/>
  <c r="L155" i="8" s="1"/>
  <c r="L154" i="8" s="1"/>
  <c r="L153" i="8" s="1"/>
  <c r="L152" i="8" s="1"/>
  <c r="L151" i="8" s="1"/>
  <c r="L150" i="8" s="1"/>
  <c r="L149" i="8" s="1"/>
  <c r="L148" i="8" s="1"/>
  <c r="L147" i="8" s="1"/>
  <c r="L146" i="8" s="1"/>
  <c r="L145" i="8" s="1"/>
  <c r="L144" i="8" s="1"/>
  <c r="L143" i="8" s="1"/>
  <c r="L142" i="8" s="1"/>
  <c r="L141" i="8" s="1"/>
  <c r="L140" i="8" s="1"/>
  <c r="L139" i="8" s="1"/>
  <c r="L138" i="8" s="1"/>
  <c r="L137" i="8" s="1"/>
  <c r="L136" i="8" s="1"/>
  <c r="L135" i="8" s="1"/>
  <c r="L134" i="8" s="1"/>
  <c r="L133" i="8" s="1"/>
  <c r="L132" i="8" s="1"/>
  <c r="L131" i="8" s="1"/>
  <c r="L130" i="8" s="1"/>
  <c r="L129" i="8" s="1"/>
  <c r="L128" i="8" s="1"/>
  <c r="L127" i="8" s="1"/>
  <c r="L126" i="8" s="1"/>
  <c r="L125" i="8" s="1"/>
  <c r="L124" i="8" s="1"/>
  <c r="L123" i="8" s="1"/>
  <c r="L122" i="8" s="1"/>
  <c r="L121" i="8" s="1"/>
  <c r="L120" i="8" s="1"/>
  <c r="L119" i="8" s="1"/>
  <c r="L118" i="8" s="1"/>
  <c r="L117" i="8" s="1"/>
  <c r="L116" i="8" s="1"/>
  <c r="L115" i="8" s="1"/>
  <c r="L114" i="8" s="1"/>
  <c r="L113" i="8" s="1"/>
  <c r="L112" i="8" s="1"/>
  <c r="L111" i="8" s="1"/>
  <c r="L110" i="8" s="1"/>
  <c r="L109" i="8" s="1"/>
  <c r="L108" i="8" s="1"/>
  <c r="L107" i="8" s="1"/>
  <c r="L106" i="8" s="1"/>
  <c r="L105" i="8" s="1"/>
  <c r="L104" i="8" s="1"/>
  <c r="L103" i="8" s="1"/>
  <c r="L102" i="8" s="1"/>
  <c r="L101" i="8" s="1"/>
  <c r="L100" i="8" s="1"/>
  <c r="L99" i="8" s="1"/>
  <c r="L98" i="8" s="1"/>
  <c r="L97" i="8" s="1"/>
  <c r="L96" i="8" s="1"/>
  <c r="L95" i="8" s="1"/>
  <c r="L94" i="8" s="1"/>
  <c r="L93" i="8" s="1"/>
  <c r="L92" i="8" s="1"/>
  <c r="L91" i="8" s="1"/>
  <c r="L90" i="8" s="1"/>
  <c r="L89" i="8" s="1"/>
  <c r="L88" i="8" s="1"/>
  <c r="L87" i="8" s="1"/>
  <c r="L86" i="8" s="1"/>
  <c r="L85" i="8" s="1"/>
  <c r="L84" i="8" s="1"/>
  <c r="L83" i="8" s="1"/>
  <c r="L82" i="8" s="1"/>
  <c r="L81" i="8" s="1"/>
  <c r="L80" i="8" s="1"/>
  <c r="L79" i="8" s="1"/>
  <c r="L78" i="8" s="1"/>
  <c r="L77" i="8" s="1"/>
  <c r="L76" i="8" s="1"/>
  <c r="L75" i="8" s="1"/>
  <c r="L74" i="8" s="1"/>
  <c r="L73" i="8" s="1"/>
  <c r="L72" i="8" s="1"/>
  <c r="L71" i="8" s="1"/>
  <c r="L70" i="8" s="1"/>
  <c r="L69" i="8" s="1"/>
  <c r="L68" i="8" s="1"/>
  <c r="L67" i="8" s="1"/>
  <c r="L66" i="8" s="1"/>
  <c r="L65" i="8" s="1"/>
  <c r="L64" i="8" s="1"/>
  <c r="L63" i="8" s="1"/>
  <c r="L62" i="8" s="1"/>
  <c r="L61" i="8" s="1"/>
  <c r="L60" i="8" s="1"/>
  <c r="L59" i="8" s="1"/>
  <c r="L58" i="8" s="1"/>
  <c r="L57" i="8" s="1"/>
  <c r="L56" i="8" s="1"/>
  <c r="L55" i="8" s="1"/>
  <c r="L54" i="8" s="1"/>
  <c r="L53" i="8" s="1"/>
  <c r="L52" i="8" s="1"/>
  <c r="L51" i="8" s="1"/>
  <c r="L50" i="8" s="1"/>
  <c r="L49" i="8" s="1"/>
  <c r="L48" i="8" s="1"/>
  <c r="L47" i="8" s="1"/>
  <c r="L46" i="8" s="1"/>
  <c r="L45" i="8" s="1"/>
  <c r="L44" i="8" s="1"/>
  <c r="L43" i="8" s="1"/>
  <c r="L42" i="8" s="1"/>
  <c r="L41" i="8" s="1"/>
  <c r="L40" i="8" s="1"/>
  <c r="L39" i="8" s="1"/>
  <c r="L38" i="8" s="1"/>
  <c r="L37" i="8" s="1"/>
  <c r="L36" i="8" s="1"/>
  <c r="L35" i="8" s="1"/>
  <c r="L34" i="8" s="1"/>
  <c r="L33" i="8" s="1"/>
  <c r="L32" i="8" s="1"/>
  <c r="L31" i="8" s="1"/>
  <c r="L30" i="8" s="1"/>
  <c r="L29" i="8" s="1"/>
  <c r="L28" i="8" s="1"/>
  <c r="L27" i="8" s="1"/>
  <c r="L26" i="8" s="1"/>
  <c r="L25" i="8" s="1"/>
  <c r="L24" i="8" s="1"/>
  <c r="L23" i="8" s="1"/>
  <c r="L22" i="8" s="1"/>
  <c r="L21" i="8" s="1"/>
  <c r="L20" i="8" s="1"/>
  <c r="L19" i="8" s="1"/>
  <c r="L18" i="8" s="1"/>
  <c r="L17" i="8" s="1"/>
  <c r="L16" i="8" s="1"/>
  <c r="L15" i="8" s="1"/>
  <c r="L14" i="8" s="1"/>
  <c r="L13" i="8" s="1"/>
  <c r="L12" i="8" s="1"/>
  <c r="L11" i="8" s="1"/>
  <c r="L10" i="8" s="1"/>
  <c r="L9" i="8" s="1"/>
  <c r="L8" i="8" s="1"/>
  <c r="L7" i="8" s="1"/>
  <c r="L6" i="8" s="1"/>
  <c r="L4" i="8" s="1"/>
  <c r="I159" i="8"/>
  <c r="I158" i="8" s="1"/>
  <c r="I157" i="8" s="1"/>
  <c r="I156" i="8" s="1"/>
  <c r="I155" i="8" s="1"/>
  <c r="I154" i="8" s="1"/>
  <c r="I153" i="8" s="1"/>
  <c r="I152" i="8" s="1"/>
  <c r="I151" i="8" s="1"/>
  <c r="I150" i="8" s="1"/>
  <c r="I149" i="8" s="1"/>
  <c r="I148" i="8" s="1"/>
  <c r="I147" i="8" s="1"/>
  <c r="I146" i="8" s="1"/>
  <c r="I145" i="8" s="1"/>
  <c r="I144" i="8" s="1"/>
  <c r="I143" i="8" s="1"/>
  <c r="I142" i="8" s="1"/>
  <c r="I141" i="8" s="1"/>
  <c r="I140" i="8" s="1"/>
  <c r="I139" i="8" s="1"/>
  <c r="I138" i="8" s="1"/>
  <c r="I137" i="8" s="1"/>
  <c r="I136" i="8" s="1"/>
  <c r="I135" i="8" s="1"/>
  <c r="I134" i="8" s="1"/>
  <c r="I133" i="8" s="1"/>
  <c r="I132" i="8" s="1"/>
  <c r="I131" i="8" s="1"/>
  <c r="I130" i="8" s="1"/>
  <c r="I129" i="8" s="1"/>
  <c r="I128" i="8" s="1"/>
  <c r="I127" i="8" s="1"/>
  <c r="I126" i="8" s="1"/>
  <c r="I125" i="8" s="1"/>
  <c r="I124" i="8" s="1"/>
  <c r="I123" i="8" s="1"/>
  <c r="I122" i="8" s="1"/>
  <c r="I121" i="8" s="1"/>
  <c r="I120" i="8" s="1"/>
  <c r="I119" i="8" s="1"/>
  <c r="I118" i="8" s="1"/>
  <c r="I117" i="8" s="1"/>
  <c r="I116" i="8" s="1"/>
  <c r="I115" i="8" s="1"/>
  <c r="I114" i="8" s="1"/>
  <c r="I113" i="8" s="1"/>
  <c r="I112" i="8" s="1"/>
  <c r="I111" i="8" s="1"/>
  <c r="I110" i="8" s="1"/>
  <c r="I109" i="8" s="1"/>
  <c r="I108" i="8" s="1"/>
  <c r="I107" i="8" s="1"/>
  <c r="I106" i="8" s="1"/>
  <c r="I105" i="8" s="1"/>
  <c r="I104" i="8" s="1"/>
  <c r="I103" i="8" s="1"/>
  <c r="I102" i="8" s="1"/>
  <c r="I101" i="8" s="1"/>
  <c r="I100" i="8" s="1"/>
  <c r="I99" i="8" s="1"/>
  <c r="I98" i="8" s="1"/>
  <c r="I97" i="8" s="1"/>
  <c r="I96" i="8" s="1"/>
  <c r="I95" i="8" s="1"/>
  <c r="I94" i="8" s="1"/>
  <c r="I93" i="8" s="1"/>
  <c r="I92" i="8" s="1"/>
  <c r="I91" i="8" s="1"/>
  <c r="I90" i="8" s="1"/>
  <c r="I89" i="8" s="1"/>
  <c r="I88" i="8" s="1"/>
  <c r="I87" i="8" s="1"/>
  <c r="I86" i="8" s="1"/>
  <c r="I85" i="8" s="1"/>
  <c r="I84" i="8" s="1"/>
  <c r="I83" i="8" s="1"/>
  <c r="I82" i="8" s="1"/>
  <c r="I81" i="8" s="1"/>
  <c r="I80" i="8" s="1"/>
  <c r="I79" i="8" s="1"/>
  <c r="I78" i="8" s="1"/>
  <c r="I77" i="8" s="1"/>
  <c r="I76" i="8" s="1"/>
  <c r="I75" i="8" s="1"/>
  <c r="I74" i="8" s="1"/>
  <c r="I73" i="8" s="1"/>
  <c r="I72" i="8" s="1"/>
  <c r="I71" i="8" s="1"/>
  <c r="I70" i="8" s="1"/>
  <c r="I69" i="8" s="1"/>
  <c r="I68" i="8" s="1"/>
  <c r="I67" i="8" s="1"/>
  <c r="I66" i="8" s="1"/>
  <c r="I65" i="8" s="1"/>
  <c r="I64" i="8" s="1"/>
  <c r="I63" i="8" s="1"/>
  <c r="I62" i="8" s="1"/>
  <c r="I61" i="8" s="1"/>
  <c r="I60" i="8" s="1"/>
  <c r="I59" i="8" s="1"/>
  <c r="I58" i="8" s="1"/>
  <c r="I57" i="8" s="1"/>
  <c r="I56" i="8" s="1"/>
  <c r="I55" i="8" s="1"/>
  <c r="I54" i="8" s="1"/>
  <c r="I53" i="8" s="1"/>
  <c r="I52" i="8" s="1"/>
  <c r="I51" i="8" s="1"/>
  <c r="I50" i="8" s="1"/>
  <c r="I49" i="8" s="1"/>
  <c r="I48" i="8" s="1"/>
  <c r="I47" i="8" s="1"/>
  <c r="I46" i="8" s="1"/>
  <c r="I45" i="8" s="1"/>
  <c r="I44" i="8" s="1"/>
  <c r="I43" i="8" s="1"/>
  <c r="I42" i="8" s="1"/>
  <c r="I41" i="8" s="1"/>
  <c r="I40" i="8" s="1"/>
  <c r="I39" i="8" s="1"/>
  <c r="I38" i="8" s="1"/>
  <c r="I37" i="8" s="1"/>
  <c r="I36" i="8" s="1"/>
  <c r="I35" i="8" s="1"/>
  <c r="I34" i="8" s="1"/>
  <c r="I33" i="8" s="1"/>
  <c r="I32" i="8" s="1"/>
  <c r="I31" i="8" s="1"/>
  <c r="I30" i="8" s="1"/>
  <c r="I29" i="8" s="1"/>
  <c r="I28" i="8" s="1"/>
  <c r="I27" i="8" s="1"/>
  <c r="I26" i="8" s="1"/>
  <c r="I25" i="8" s="1"/>
  <c r="I24" i="8" s="1"/>
  <c r="I23" i="8" s="1"/>
  <c r="I22" i="8" s="1"/>
  <c r="I21" i="8" s="1"/>
  <c r="I20" i="8" s="1"/>
  <c r="I19" i="8" s="1"/>
  <c r="I18" i="8" s="1"/>
  <c r="I17" i="8" s="1"/>
  <c r="I16" i="8" s="1"/>
  <c r="I15" i="8" s="1"/>
  <c r="I14" i="8" s="1"/>
  <c r="I13" i="8" s="1"/>
  <c r="I12" i="8" s="1"/>
  <c r="I11" i="8" s="1"/>
  <c r="I10" i="8" s="1"/>
  <c r="I9" i="8" s="1"/>
  <c r="I8" i="8" s="1"/>
  <c r="I7" i="8" s="1"/>
  <c r="I6" i="8" s="1"/>
  <c r="I4" i="8" s="1"/>
  <c r="K159" i="8"/>
  <c r="K158" i="8" s="1"/>
  <c r="K157" i="8" s="1"/>
  <c r="K156" i="8" s="1"/>
  <c r="K155" i="8" s="1"/>
  <c r="K154" i="8" s="1"/>
  <c r="K153" i="8" s="1"/>
  <c r="K152" i="8" s="1"/>
  <c r="K151" i="8" s="1"/>
  <c r="K150" i="8" s="1"/>
  <c r="K149" i="8" s="1"/>
  <c r="K148" i="8" s="1"/>
  <c r="K147" i="8" s="1"/>
  <c r="K146" i="8" s="1"/>
  <c r="K145" i="8" s="1"/>
  <c r="K144" i="8" s="1"/>
  <c r="K143" i="8" s="1"/>
  <c r="K142" i="8" s="1"/>
  <c r="K141" i="8" s="1"/>
  <c r="K140" i="8" s="1"/>
  <c r="K139" i="8" s="1"/>
  <c r="K138" i="8" s="1"/>
  <c r="K137" i="8" s="1"/>
  <c r="K136" i="8" s="1"/>
  <c r="K135" i="8" s="1"/>
  <c r="K134" i="8" s="1"/>
  <c r="K133" i="8" s="1"/>
  <c r="K132" i="8" s="1"/>
  <c r="K131" i="8" s="1"/>
  <c r="K130" i="8" s="1"/>
  <c r="K129" i="8" s="1"/>
  <c r="K128" i="8" s="1"/>
  <c r="K127" i="8" s="1"/>
  <c r="K126" i="8" s="1"/>
  <c r="K125" i="8" s="1"/>
  <c r="K124" i="8" s="1"/>
  <c r="K123" i="8" s="1"/>
  <c r="K122" i="8" s="1"/>
  <c r="K121" i="8" s="1"/>
  <c r="K120" i="8" s="1"/>
  <c r="K119" i="8" s="1"/>
  <c r="K118" i="8" s="1"/>
  <c r="K117" i="8" s="1"/>
  <c r="K116" i="8" s="1"/>
  <c r="K115" i="8" s="1"/>
  <c r="K114" i="8" s="1"/>
  <c r="K113" i="8" s="1"/>
  <c r="K112" i="8" s="1"/>
  <c r="K111" i="8" s="1"/>
  <c r="K110" i="8" s="1"/>
  <c r="K109" i="8" s="1"/>
  <c r="K108" i="8" s="1"/>
  <c r="K107" i="8" s="1"/>
  <c r="K106" i="8" s="1"/>
  <c r="K105" i="8" s="1"/>
  <c r="K104" i="8" s="1"/>
  <c r="K103" i="8" s="1"/>
  <c r="K102" i="8" s="1"/>
  <c r="K101" i="8" s="1"/>
  <c r="K100" i="8" s="1"/>
  <c r="K99" i="8" s="1"/>
  <c r="K98" i="8" s="1"/>
  <c r="K97" i="8" s="1"/>
  <c r="K96" i="8" s="1"/>
  <c r="K95" i="8" s="1"/>
  <c r="K94" i="8" s="1"/>
  <c r="K93" i="8" s="1"/>
  <c r="K92" i="8" s="1"/>
  <c r="K91" i="8" s="1"/>
  <c r="K90" i="8" s="1"/>
  <c r="K89" i="8" s="1"/>
  <c r="K88" i="8" s="1"/>
  <c r="K87" i="8" s="1"/>
  <c r="K86" i="8" s="1"/>
  <c r="K85" i="8" s="1"/>
  <c r="K84" i="8" s="1"/>
  <c r="K83" i="8" s="1"/>
  <c r="K82" i="8" s="1"/>
  <c r="K81" i="8" s="1"/>
  <c r="K80" i="8" s="1"/>
  <c r="K79" i="8" s="1"/>
  <c r="K78" i="8" s="1"/>
  <c r="K77" i="8" s="1"/>
  <c r="K76" i="8" s="1"/>
  <c r="K75" i="8" s="1"/>
  <c r="K74" i="8" s="1"/>
  <c r="K73" i="8" s="1"/>
  <c r="K72" i="8" s="1"/>
  <c r="K71" i="8" s="1"/>
  <c r="K70" i="8" s="1"/>
  <c r="K69" i="8" s="1"/>
  <c r="K68" i="8" s="1"/>
  <c r="K67" i="8" s="1"/>
  <c r="K66" i="8" s="1"/>
  <c r="K65" i="8" s="1"/>
  <c r="K64" i="8" s="1"/>
  <c r="K63" i="8" s="1"/>
  <c r="K62" i="8" s="1"/>
  <c r="K61" i="8" s="1"/>
  <c r="K60" i="8" s="1"/>
  <c r="K59" i="8" s="1"/>
  <c r="K58" i="8" s="1"/>
  <c r="K57" i="8" s="1"/>
  <c r="K56" i="8" s="1"/>
  <c r="K55" i="8" s="1"/>
  <c r="K54" i="8" s="1"/>
  <c r="K53" i="8" s="1"/>
  <c r="K52" i="8" s="1"/>
  <c r="K51" i="8" s="1"/>
  <c r="K50" i="8" s="1"/>
  <c r="K49" i="8" s="1"/>
  <c r="K48" i="8" s="1"/>
  <c r="K47" i="8" s="1"/>
  <c r="K46" i="8" s="1"/>
  <c r="K45" i="8" s="1"/>
  <c r="K44" i="8" s="1"/>
  <c r="K43" i="8" s="1"/>
  <c r="K42" i="8" s="1"/>
  <c r="K41" i="8" s="1"/>
  <c r="K40" i="8" s="1"/>
  <c r="K39" i="8" s="1"/>
  <c r="K38" i="8" s="1"/>
  <c r="K37" i="8" s="1"/>
  <c r="K36" i="8" s="1"/>
  <c r="K35" i="8" s="1"/>
  <c r="K34" i="8" s="1"/>
  <c r="K33" i="8" s="1"/>
  <c r="K32" i="8" s="1"/>
  <c r="K31" i="8" s="1"/>
  <c r="K30" i="8" s="1"/>
  <c r="K29" i="8" s="1"/>
  <c r="K28" i="8" s="1"/>
  <c r="K27" i="8" s="1"/>
  <c r="K26" i="8" s="1"/>
  <c r="K25" i="8" s="1"/>
  <c r="K24" i="8" s="1"/>
  <c r="K23" i="8" s="1"/>
  <c r="K22" i="8" s="1"/>
  <c r="K21" i="8" s="1"/>
  <c r="K20" i="8" s="1"/>
  <c r="K19" i="8" s="1"/>
  <c r="K18" i="8" s="1"/>
  <c r="K17" i="8" s="1"/>
  <c r="K16" i="8" s="1"/>
  <c r="K15" i="8" s="1"/>
  <c r="K14" i="8" s="1"/>
  <c r="K13" i="8" s="1"/>
  <c r="K12" i="8" s="1"/>
  <c r="K11" i="8" s="1"/>
  <c r="K10" i="8" s="1"/>
  <c r="K9" i="8" s="1"/>
  <c r="K8" i="8" s="1"/>
  <c r="K7" i="8" s="1"/>
  <c r="K6" i="8" s="1"/>
  <c r="K4" i="8" s="1"/>
  <c r="H33" i="4"/>
  <c r="I33" i="4" s="1"/>
  <c r="J33" i="4" s="1"/>
  <c r="O33" i="4" s="1"/>
  <c r="P33" i="4" s="1"/>
  <c r="Q33" i="4" s="1"/>
  <c r="AJ157" i="3"/>
  <c r="AJ119" i="3"/>
  <c r="AJ189" i="3"/>
  <c r="AJ221" i="3"/>
  <c r="AJ285" i="3"/>
  <c r="AJ343" i="3"/>
  <c r="AJ367" i="3"/>
  <c r="AJ399" i="3"/>
  <c r="AJ431" i="3"/>
  <c r="AJ455" i="3"/>
  <c r="AJ487" i="3"/>
  <c r="AJ519" i="3"/>
  <c r="AJ535" i="3"/>
  <c r="AJ567" i="3"/>
  <c r="AJ599" i="3"/>
  <c r="AJ623" i="3"/>
  <c r="AJ12" i="3"/>
  <c r="AJ51" i="3"/>
  <c r="AJ99" i="3"/>
  <c r="AJ139" i="3"/>
  <c r="AJ155" i="3"/>
  <c r="AJ179" i="3"/>
  <c r="AJ203" i="3"/>
  <c r="AJ219" i="3"/>
  <c r="AJ243" i="3"/>
  <c r="AJ267" i="3"/>
  <c r="AJ283" i="3"/>
  <c r="AJ307" i="3"/>
  <c r="AJ331" i="3"/>
  <c r="AJ342" i="3"/>
  <c r="AJ354" i="3"/>
  <c r="AJ366" i="3"/>
  <c r="AJ374" i="3"/>
  <c r="AJ386" i="3"/>
  <c r="AJ398" i="3"/>
  <c r="AJ406" i="3"/>
  <c r="AJ418" i="3"/>
  <c r="AJ430" i="3"/>
  <c r="AJ438" i="3"/>
  <c r="AJ450" i="3"/>
  <c r="AJ462" i="3"/>
  <c r="AJ470" i="3"/>
  <c r="AJ482" i="3"/>
  <c r="AJ494" i="3"/>
  <c r="AJ502" i="3"/>
  <c r="AJ514" i="3"/>
  <c r="AJ526" i="3"/>
  <c r="AJ534" i="3"/>
  <c r="AJ546" i="3"/>
  <c r="AJ558" i="3"/>
  <c r="AJ566" i="3"/>
  <c r="AJ578" i="3"/>
  <c r="AJ590" i="3"/>
  <c r="AJ598" i="3"/>
  <c r="AJ610" i="3"/>
  <c r="AJ622" i="3"/>
  <c r="AJ629" i="3"/>
  <c r="AJ635" i="3"/>
  <c r="AJ641" i="3"/>
  <c r="AJ645" i="3"/>
  <c r="AJ651" i="3"/>
  <c r="AJ657" i="3"/>
  <c r="AJ661" i="3"/>
  <c r="AJ667" i="3"/>
  <c r="AJ673" i="3"/>
  <c r="AJ684" i="3"/>
  <c r="AJ625" i="3"/>
  <c r="AJ601" i="3"/>
  <c r="AJ585" i="3"/>
  <c r="AJ561" i="3"/>
  <c r="AJ537" i="3"/>
  <c r="AJ521" i="3"/>
  <c r="AJ497" i="3"/>
  <c r="AJ473" i="3"/>
  <c r="AJ457" i="3"/>
  <c r="AJ433" i="3"/>
  <c r="AJ409" i="3"/>
  <c r="AJ393" i="3"/>
  <c r="AJ369" i="3"/>
  <c r="AJ345" i="3"/>
  <c r="AJ321" i="3"/>
  <c r="AJ273" i="3"/>
  <c r="AJ225" i="3"/>
  <c r="AJ193" i="3"/>
  <c r="AJ145" i="3"/>
  <c r="AJ63" i="3"/>
  <c r="AJ109" i="3"/>
  <c r="AJ93" i="3"/>
  <c r="AJ69" i="3"/>
  <c r="AJ45" i="3"/>
  <c r="AJ22" i="3"/>
  <c r="AJ10" i="3"/>
  <c r="AJ15" i="3"/>
  <c r="AJ20" i="3"/>
  <c r="AJ23" i="3"/>
  <c r="AJ27" i="3"/>
  <c r="AJ31" i="3"/>
  <c r="AJ33" i="3"/>
  <c r="AJ37" i="3"/>
  <c r="AJ42" i="3"/>
  <c r="AJ46" i="3"/>
  <c r="AJ52" i="3"/>
  <c r="AJ58" i="3"/>
  <c r="AJ62" i="3"/>
  <c r="AJ68" i="3"/>
  <c r="AJ74" i="3"/>
  <c r="AJ78" i="3"/>
  <c r="AJ84" i="3"/>
  <c r="AJ90" i="3"/>
  <c r="AJ94" i="3"/>
  <c r="AJ100" i="3"/>
  <c r="AJ106" i="3"/>
  <c r="AJ110" i="3"/>
  <c r="AJ116" i="3"/>
  <c r="AJ122" i="3"/>
  <c r="AJ126" i="3"/>
  <c r="AJ132" i="3"/>
  <c r="AJ138" i="3"/>
  <c r="AJ142" i="3"/>
  <c r="AJ148" i="3"/>
  <c r="AJ154" i="3"/>
  <c r="AJ158" i="3"/>
  <c r="AJ164" i="3"/>
  <c r="AJ170" i="3"/>
  <c r="AJ174" i="3"/>
  <c r="AJ180" i="3"/>
  <c r="AJ186" i="3"/>
  <c r="AJ190" i="3"/>
  <c r="AJ196" i="3"/>
  <c r="AJ202" i="3"/>
  <c r="AJ206" i="3"/>
  <c r="AJ212" i="3"/>
  <c r="AJ218" i="3"/>
  <c r="AJ222" i="3"/>
  <c r="AJ228" i="3"/>
  <c r="AJ234" i="3"/>
  <c r="AJ238" i="3"/>
  <c r="AJ244" i="3"/>
  <c r="AJ250" i="3"/>
  <c r="AJ254" i="3"/>
  <c r="AJ260" i="3"/>
  <c r="AJ266" i="3"/>
  <c r="AJ270" i="3"/>
  <c r="AJ276" i="3"/>
  <c r="AJ282" i="3"/>
  <c r="AJ286" i="3"/>
  <c r="AJ292" i="3"/>
  <c r="AJ298" i="3"/>
  <c r="AJ302" i="3"/>
  <c r="AJ308" i="3"/>
  <c r="AJ314" i="3"/>
  <c r="AJ318" i="3"/>
  <c r="AJ324" i="3"/>
  <c r="AJ330" i="3"/>
  <c r="AJ334" i="3"/>
  <c r="AF93" i="4"/>
  <c r="B244" i="2"/>
  <c r="AF9" i="4"/>
  <c r="AF17" i="4"/>
  <c r="AF23" i="4"/>
  <c r="AF28" i="4"/>
  <c r="AF33" i="4"/>
  <c r="AF39" i="4"/>
  <c r="AF44" i="4"/>
  <c r="AF49" i="4"/>
  <c r="AF55" i="4"/>
  <c r="AF60" i="4"/>
  <c r="AF65" i="4"/>
  <c r="AF71" i="4"/>
  <c r="AF76" i="4"/>
  <c r="AF80" i="4"/>
  <c r="AF94" i="4"/>
  <c r="AF99" i="4"/>
  <c r="AG108" i="4"/>
  <c r="AF62" i="4"/>
  <c r="AF46" i="4"/>
  <c r="AF26" i="4"/>
  <c r="AF12" i="4"/>
  <c r="AF13" i="4"/>
  <c r="AF30" i="4"/>
  <c r="AG51" i="4"/>
  <c r="AG15" i="4"/>
  <c r="B11" i="4"/>
  <c r="AF102" i="4"/>
  <c r="AF97" i="4"/>
  <c r="AG93" i="4"/>
  <c r="AF85" i="4"/>
  <c r="AF81" i="4"/>
  <c r="AF75" i="4"/>
  <c r="AF69" i="4"/>
  <c r="AF64" i="4"/>
  <c r="AF59" i="4"/>
  <c r="AF53" i="4"/>
  <c r="AF48" i="4"/>
  <c r="AF43" i="4"/>
  <c r="AF37" i="4"/>
  <c r="AF32" i="4"/>
  <c r="AF27" i="4"/>
  <c r="AF21" i="4"/>
  <c r="AF16" i="4"/>
  <c r="AF109" i="4"/>
  <c r="AF92" i="4"/>
  <c r="AF54" i="4"/>
  <c r="AG87" i="4"/>
  <c r="AG34" i="4"/>
  <c r="AG80" i="4"/>
  <c r="AF105" i="4"/>
  <c r="AG101" i="4"/>
  <c r="AF88" i="4"/>
  <c r="AF86" i="4"/>
  <c r="AF70" i="4"/>
  <c r="AF50" i="4"/>
  <c r="AF11" i="4"/>
  <c r="AG63" i="4"/>
  <c r="B78" i="4"/>
  <c r="B4" i="6"/>
  <c r="B12" i="6" s="1"/>
  <c r="B13" i="6" s="1"/>
  <c r="B13" i="4"/>
  <c r="AJ9" i="3"/>
  <c r="B150" i="2"/>
  <c r="B28" i="2"/>
  <c r="B42" i="4"/>
  <c r="H65" i="4"/>
  <c r="B27" i="2"/>
  <c r="AF91" i="4"/>
  <c r="B159" i="8"/>
  <c r="B158" i="8" s="1"/>
  <c r="B157" i="8" s="1"/>
  <c r="B156" i="8" s="1"/>
  <c r="B155" i="8" s="1"/>
  <c r="B154" i="8" s="1"/>
  <c r="B153" i="8" s="1"/>
  <c r="B152" i="8" s="1"/>
  <c r="B151" i="8" s="1"/>
  <c r="B150" i="8" s="1"/>
  <c r="B149" i="8" s="1"/>
  <c r="B148" i="8" s="1"/>
  <c r="B147" i="8" s="1"/>
  <c r="B146" i="8" s="1"/>
  <c r="B145" i="8" s="1"/>
  <c r="B144" i="8" s="1"/>
  <c r="B143" i="8" s="1"/>
  <c r="B142" i="8" s="1"/>
  <c r="B141" i="8" s="1"/>
  <c r="B140" i="8" s="1"/>
  <c r="B139" i="8" s="1"/>
  <c r="B138" i="8" s="1"/>
  <c r="B137" i="8" s="1"/>
  <c r="B136" i="8" s="1"/>
  <c r="B135" i="8" s="1"/>
  <c r="B134" i="8" s="1"/>
  <c r="B133" i="8" s="1"/>
  <c r="B132" i="8" s="1"/>
  <c r="B131" i="8" s="1"/>
  <c r="B130" i="8" s="1"/>
  <c r="B129" i="8" s="1"/>
  <c r="B128" i="8" s="1"/>
  <c r="B127" i="8" s="1"/>
  <c r="B126" i="8" s="1"/>
  <c r="B125" i="8" s="1"/>
  <c r="B124" i="8" s="1"/>
  <c r="B123" i="8" s="1"/>
  <c r="B122" i="8" s="1"/>
  <c r="B121" i="8" s="1"/>
  <c r="B120" i="8" s="1"/>
  <c r="B119" i="8" s="1"/>
  <c r="B118" i="8" s="1"/>
  <c r="B117" i="8" s="1"/>
  <c r="B116" i="8" s="1"/>
  <c r="B115" i="8" s="1"/>
  <c r="B114" i="8" s="1"/>
  <c r="B113" i="8" s="1"/>
  <c r="B112" i="8" s="1"/>
  <c r="B111" i="8" s="1"/>
  <c r="B110" i="8" s="1"/>
  <c r="B109" i="8" s="1"/>
  <c r="B108" i="8" s="1"/>
  <c r="B107" i="8" s="1"/>
  <c r="B106" i="8" s="1"/>
  <c r="B105" i="8" s="1"/>
  <c r="B104" i="8" s="1"/>
  <c r="B103" i="8" s="1"/>
  <c r="B102" i="8" s="1"/>
  <c r="B101" i="8" s="1"/>
  <c r="B100" i="8" s="1"/>
  <c r="B99" i="8" s="1"/>
  <c r="B98" i="8" s="1"/>
  <c r="B97" i="8" s="1"/>
  <c r="B96" i="8" s="1"/>
  <c r="B95" i="8" s="1"/>
  <c r="B94" i="8" s="1"/>
  <c r="B93" i="8" s="1"/>
  <c r="B92" i="8" s="1"/>
  <c r="B91" i="8" s="1"/>
  <c r="B90" i="8" s="1"/>
  <c r="B89" i="8" s="1"/>
  <c r="B88" i="8" s="1"/>
  <c r="B87" i="8" s="1"/>
  <c r="B86" i="8" s="1"/>
  <c r="B85" i="8" s="1"/>
  <c r="B84" i="8" s="1"/>
  <c r="B83" i="8" s="1"/>
  <c r="B82" i="8" s="1"/>
  <c r="B81" i="8" s="1"/>
  <c r="B80" i="8" s="1"/>
  <c r="B79" i="8" s="1"/>
  <c r="B78" i="8" s="1"/>
  <c r="B77" i="8" s="1"/>
  <c r="B76" i="8" s="1"/>
  <c r="B75" i="8" s="1"/>
  <c r="B74" i="8" s="1"/>
  <c r="B73" i="8" s="1"/>
  <c r="B72" i="8" s="1"/>
  <c r="B71" i="8" s="1"/>
  <c r="B70" i="8" s="1"/>
  <c r="B69" i="8" s="1"/>
  <c r="B68" i="8" s="1"/>
  <c r="B67" i="8" s="1"/>
  <c r="B66" i="8" s="1"/>
  <c r="B65" i="8" s="1"/>
  <c r="B64" i="8" s="1"/>
  <c r="B63" i="8" s="1"/>
  <c r="B62" i="8" s="1"/>
  <c r="B61" i="8" s="1"/>
  <c r="B60" i="8" s="1"/>
  <c r="B59" i="8" s="1"/>
  <c r="B58" i="8" s="1"/>
  <c r="B57" i="8" s="1"/>
  <c r="B56" i="8" s="1"/>
  <c r="B55" i="8" s="1"/>
  <c r="B54" i="8" s="1"/>
  <c r="B53" i="8" s="1"/>
  <c r="B52" i="8" s="1"/>
  <c r="B51" i="8" s="1"/>
  <c r="B50" i="8" s="1"/>
  <c r="B49" i="8" s="1"/>
  <c r="B48" i="8" s="1"/>
  <c r="B47" i="8" s="1"/>
  <c r="B46" i="8" s="1"/>
  <c r="B45" i="8" s="1"/>
  <c r="B44" i="8" s="1"/>
  <c r="B43" i="8" s="1"/>
  <c r="B42" i="8" s="1"/>
  <c r="B41" i="8" s="1"/>
  <c r="B40" i="8" s="1"/>
  <c r="B39" i="8" s="1"/>
  <c r="B38" i="8" s="1"/>
  <c r="B37" i="8" s="1"/>
  <c r="B36" i="8" s="1"/>
  <c r="B35" i="8" s="1"/>
  <c r="B34" i="8" s="1"/>
  <c r="B33" i="8" s="1"/>
  <c r="B32" i="8" s="1"/>
  <c r="B31" i="8" s="1"/>
  <c r="B30" i="8" s="1"/>
  <c r="B29" i="8" s="1"/>
  <c r="B28" i="8" s="1"/>
  <c r="B27" i="8" s="1"/>
  <c r="B26" i="8" s="1"/>
  <c r="B25" i="8" s="1"/>
  <c r="B24" i="8" s="1"/>
  <c r="B23" i="8" s="1"/>
  <c r="B22" i="8" s="1"/>
  <c r="B21" i="8" s="1"/>
  <c r="B20" i="8" s="1"/>
  <c r="B19" i="8" s="1"/>
  <c r="B18" i="8" s="1"/>
  <c r="B17" i="8" s="1"/>
  <c r="B16" i="8" s="1"/>
  <c r="B15" i="8" s="1"/>
  <c r="B14" i="8" s="1"/>
  <c r="B13" i="8" s="1"/>
  <c r="B12" i="8" s="1"/>
  <c r="B11" i="8" s="1"/>
  <c r="B10" i="8" s="1"/>
  <c r="B9" i="8" s="1"/>
  <c r="B8" i="8" s="1"/>
  <c r="B7" i="8" s="1"/>
  <c r="B6" i="8" s="1"/>
  <c r="B4" i="8" s="1"/>
  <c r="B125" i="2"/>
  <c r="B68" i="2"/>
  <c r="F3" i="8"/>
  <c r="F159" i="8" s="1"/>
  <c r="F158" i="8" s="1"/>
  <c r="F157" i="8" s="1"/>
  <c r="F156" i="8" s="1"/>
  <c r="F155" i="8" s="1"/>
  <c r="F154" i="8" s="1"/>
  <c r="F153" i="8" s="1"/>
  <c r="F152" i="8" s="1"/>
  <c r="F151" i="8" s="1"/>
  <c r="F150" i="8" s="1"/>
  <c r="F149" i="8" s="1"/>
  <c r="F148" i="8" s="1"/>
  <c r="F147" i="8" s="1"/>
  <c r="F146" i="8" s="1"/>
  <c r="F145" i="8" s="1"/>
  <c r="F144" i="8" s="1"/>
  <c r="F143" i="8" s="1"/>
  <c r="F142" i="8" s="1"/>
  <c r="F141" i="8" s="1"/>
  <c r="F140" i="8" s="1"/>
  <c r="F139" i="8" s="1"/>
  <c r="F138" i="8" s="1"/>
  <c r="F137" i="8" s="1"/>
  <c r="F136" i="8" s="1"/>
  <c r="F135" i="8" s="1"/>
  <c r="F134" i="8" s="1"/>
  <c r="F133" i="8" s="1"/>
  <c r="F132" i="8" s="1"/>
  <c r="F131" i="8" s="1"/>
  <c r="F130" i="8" s="1"/>
  <c r="F129" i="8" s="1"/>
  <c r="F128" i="8" s="1"/>
  <c r="F127" i="8" s="1"/>
  <c r="F126" i="8" s="1"/>
  <c r="F125" i="8" s="1"/>
  <c r="F124" i="8" s="1"/>
  <c r="F123" i="8" s="1"/>
  <c r="F122" i="8" s="1"/>
  <c r="F121" i="8" s="1"/>
  <c r="F120" i="8" s="1"/>
  <c r="F119" i="8" s="1"/>
  <c r="F118" i="8" s="1"/>
  <c r="F117" i="8" s="1"/>
  <c r="F116" i="8" s="1"/>
  <c r="F115" i="8" s="1"/>
  <c r="F114" i="8" s="1"/>
  <c r="F113" i="8" s="1"/>
  <c r="F112" i="8" s="1"/>
  <c r="F111" i="8" s="1"/>
  <c r="F110" i="8" s="1"/>
  <c r="F109" i="8" s="1"/>
  <c r="F108" i="8" s="1"/>
  <c r="F107" i="8" s="1"/>
  <c r="F106" i="8" s="1"/>
  <c r="F105" i="8" s="1"/>
  <c r="F104" i="8" s="1"/>
  <c r="F103" i="8" s="1"/>
  <c r="F102" i="8" s="1"/>
  <c r="F101" i="8" s="1"/>
  <c r="F100" i="8" s="1"/>
  <c r="F99" i="8" s="1"/>
  <c r="F98" i="8" s="1"/>
  <c r="F97" i="8" s="1"/>
  <c r="F96" i="8" s="1"/>
  <c r="F95" i="8" s="1"/>
  <c r="F94" i="8" s="1"/>
  <c r="F93" i="8" s="1"/>
  <c r="F92" i="8" s="1"/>
  <c r="F91" i="8" s="1"/>
  <c r="F90" i="8" s="1"/>
  <c r="F89" i="8" s="1"/>
  <c r="F88" i="8" s="1"/>
  <c r="F87" i="8" s="1"/>
  <c r="F86" i="8" s="1"/>
  <c r="F85" i="8" s="1"/>
  <c r="F84" i="8" s="1"/>
  <c r="F83" i="8" s="1"/>
  <c r="F82" i="8" s="1"/>
  <c r="F81" i="8" s="1"/>
  <c r="F80" i="8" s="1"/>
  <c r="F79" i="8" s="1"/>
  <c r="F78" i="8" s="1"/>
  <c r="F77" i="8" s="1"/>
  <c r="F76" i="8" s="1"/>
  <c r="F75" i="8" s="1"/>
  <c r="F74" i="8" s="1"/>
  <c r="F73" i="8" s="1"/>
  <c r="F72" i="8" s="1"/>
  <c r="F71" i="8" s="1"/>
  <c r="F70" i="8" s="1"/>
  <c r="F69" i="8" s="1"/>
  <c r="F68" i="8" s="1"/>
  <c r="F67" i="8" s="1"/>
  <c r="F66" i="8" s="1"/>
  <c r="F65" i="8" s="1"/>
  <c r="F64" i="8" s="1"/>
  <c r="F63" i="8" s="1"/>
  <c r="F62" i="8" s="1"/>
  <c r="F61" i="8" s="1"/>
  <c r="F60" i="8" s="1"/>
  <c r="F59" i="8" s="1"/>
  <c r="F58" i="8" s="1"/>
  <c r="F57" i="8" s="1"/>
  <c r="F56" i="8" s="1"/>
  <c r="F55" i="8" s="1"/>
  <c r="F54" i="8" s="1"/>
  <c r="F53" i="8" s="1"/>
  <c r="F52" i="8" s="1"/>
  <c r="F51" i="8" s="1"/>
  <c r="F50" i="8" s="1"/>
  <c r="F49" i="8" s="1"/>
  <c r="F48" i="8" s="1"/>
  <c r="F47" i="8" s="1"/>
  <c r="F46" i="8" s="1"/>
  <c r="F45" i="8" s="1"/>
  <c r="F44" i="8" s="1"/>
  <c r="F43" i="8" s="1"/>
  <c r="F42" i="8" s="1"/>
  <c r="F41" i="8" s="1"/>
  <c r="F40" i="8" s="1"/>
  <c r="F39" i="8" s="1"/>
  <c r="F38" i="8" s="1"/>
  <c r="F37" i="8" s="1"/>
  <c r="F36" i="8" s="1"/>
  <c r="F35" i="8" s="1"/>
  <c r="F34" i="8" s="1"/>
  <c r="F33" i="8" s="1"/>
  <c r="F32" i="8" s="1"/>
  <c r="F31" i="8" s="1"/>
  <c r="F30" i="8" s="1"/>
  <c r="F29" i="8" s="1"/>
  <c r="F28" i="8" s="1"/>
  <c r="F27" i="8" s="1"/>
  <c r="F26" i="8" s="1"/>
  <c r="F25" i="8" s="1"/>
  <c r="F24" i="8" s="1"/>
  <c r="F23" i="8" s="1"/>
  <c r="F22" i="8" s="1"/>
  <c r="F21" i="8" s="1"/>
  <c r="F20" i="8" s="1"/>
  <c r="F19" i="8" s="1"/>
  <c r="F18" i="8" s="1"/>
  <c r="F17" i="8" s="1"/>
  <c r="F16" i="8" s="1"/>
  <c r="F15" i="8" s="1"/>
  <c r="F14" i="8" s="1"/>
  <c r="F13" i="8" s="1"/>
  <c r="F12" i="8" s="1"/>
  <c r="F11" i="8" s="1"/>
  <c r="F10" i="8" s="1"/>
  <c r="F9" i="8" s="1"/>
  <c r="F8" i="8" s="1"/>
  <c r="F7" i="8" s="1"/>
  <c r="F6" i="8" s="1"/>
  <c r="F4" i="8" s="1"/>
  <c r="AD16" i="4"/>
  <c r="AG91" i="4"/>
  <c r="I28" i="4"/>
  <c r="AQ37" i="3"/>
  <c r="A38" i="3"/>
  <c r="B37" i="3"/>
  <c r="AR29" i="3"/>
  <c r="B29" i="3"/>
  <c r="AQ31" i="3"/>
  <c r="AR31" i="3"/>
  <c r="AR36" i="3"/>
  <c r="B36" i="3"/>
  <c r="B27" i="3"/>
  <c r="AR33" i="3" l="1"/>
  <c r="B33" i="3"/>
  <c r="AQ33" i="3"/>
  <c r="AI93" i="4"/>
  <c r="AD18" i="4"/>
  <c r="AI20" i="4"/>
  <c r="AD85" i="4"/>
  <c r="B237" i="2"/>
  <c r="K10" i="4"/>
  <c r="L10" i="4" s="1"/>
  <c r="N10" i="4" s="1"/>
  <c r="U10" i="4"/>
  <c r="V10" i="4" s="1"/>
  <c r="Z10" i="4"/>
  <c r="AA10" i="4" s="1"/>
  <c r="O10" i="4"/>
  <c r="P10" i="4" s="1"/>
  <c r="Q10" i="4" s="1"/>
  <c r="AB10" i="4"/>
  <c r="AC10" i="4" s="1"/>
  <c r="AN10" i="4" s="1"/>
  <c r="R10" i="4"/>
  <c r="S10" i="4" s="1"/>
  <c r="T10" i="4" s="1"/>
  <c r="X10" i="4"/>
  <c r="AI24" i="4"/>
  <c r="I45" i="4"/>
  <c r="J45" i="4" s="1"/>
  <c r="U45" i="4" s="1"/>
  <c r="V45" i="4" s="1"/>
  <c r="AD45" i="4"/>
  <c r="B104" i="2"/>
  <c r="B59" i="2"/>
  <c r="E38" i="1" s="1"/>
  <c r="B20" i="2"/>
  <c r="E14" i="1" s="1"/>
  <c r="I104" i="4"/>
  <c r="J104" i="4" s="1"/>
  <c r="AB104" i="4" s="1"/>
  <c r="AK28" i="4"/>
  <c r="I58" i="4"/>
  <c r="J58" i="4" s="1"/>
  <c r="R58" i="4" s="1"/>
  <c r="S58" i="4" s="1"/>
  <c r="T58" i="4" s="1"/>
  <c r="AK91" i="4"/>
  <c r="AD104" i="4"/>
  <c r="AD55" i="4"/>
  <c r="D65" i="16"/>
  <c r="AD96" i="4"/>
  <c r="I36" i="4"/>
  <c r="J36" i="4" s="1"/>
  <c r="K36" i="4" s="1"/>
  <c r="L36" i="4" s="1"/>
  <c r="N36" i="4" s="1"/>
  <c r="J668" i="3"/>
  <c r="AI57" i="4"/>
  <c r="I77" i="4"/>
  <c r="J77" i="4" s="1"/>
  <c r="O77" i="4" s="1"/>
  <c r="P77" i="4" s="1"/>
  <c r="Q77" i="4" s="1"/>
  <c r="J640" i="3"/>
  <c r="J95" i="3"/>
  <c r="AE93" i="4"/>
  <c r="AE32" i="4"/>
  <c r="I68" i="4"/>
  <c r="J68" i="4" s="1"/>
  <c r="U68" i="4" s="1"/>
  <c r="V68" i="4" s="1"/>
  <c r="AK36" i="4"/>
  <c r="J526" i="3"/>
  <c r="J660" i="3"/>
  <c r="AK44" i="4"/>
  <c r="AD20" i="4"/>
  <c r="AE27" i="4"/>
  <c r="AD74" i="4"/>
  <c r="AE51" i="4"/>
  <c r="I32" i="4"/>
  <c r="J32" i="4" s="1"/>
  <c r="Z32" i="4" s="1"/>
  <c r="AA32" i="4" s="1"/>
  <c r="J265" i="3"/>
  <c r="J393" i="3"/>
  <c r="J300" i="3"/>
  <c r="J665" i="3"/>
  <c r="AK67" i="4"/>
  <c r="J409" i="3"/>
  <c r="B19" i="2"/>
  <c r="AK89" i="4"/>
  <c r="AI23" i="4"/>
  <c r="J13" i="3"/>
  <c r="J317" i="3"/>
  <c r="AE88" i="4"/>
  <c r="AE74" i="4"/>
  <c r="J173" i="3"/>
  <c r="J643" i="3"/>
  <c r="J267" i="3"/>
  <c r="J537" i="3"/>
  <c r="J140" i="3"/>
  <c r="J480" i="3"/>
  <c r="J233" i="3"/>
  <c r="J19" i="3"/>
  <c r="J332" i="3"/>
  <c r="J286" i="3"/>
  <c r="J397" i="3"/>
  <c r="J511" i="3"/>
  <c r="AE48" i="4"/>
  <c r="AD95" i="4"/>
  <c r="AK94" i="4"/>
  <c r="I91" i="4"/>
  <c r="J91" i="4" s="1"/>
  <c r="U91" i="4" s="1"/>
  <c r="V91" i="4" s="1"/>
  <c r="I54" i="4"/>
  <c r="J54" i="4" s="1"/>
  <c r="O54" i="4" s="1"/>
  <c r="P54" i="4" s="1"/>
  <c r="Q54" i="4" s="1"/>
  <c r="AE55" i="4"/>
  <c r="I64" i="4"/>
  <c r="J64" i="4" s="1"/>
  <c r="X64" i="4" s="1"/>
  <c r="J423" i="3"/>
  <c r="J110" i="3"/>
  <c r="J280" i="3"/>
  <c r="J106" i="3"/>
  <c r="J309" i="3"/>
  <c r="J179" i="3"/>
  <c r="J621" i="3"/>
  <c r="J463" i="3"/>
  <c r="J174" i="3"/>
  <c r="J224" i="3"/>
  <c r="J354" i="3"/>
  <c r="J552" i="3"/>
  <c r="J197" i="3"/>
  <c r="J384" i="3"/>
  <c r="J111" i="3"/>
  <c r="J636" i="3"/>
  <c r="J395" i="3"/>
  <c r="AD63" i="4"/>
  <c r="J337" i="3"/>
  <c r="J427" i="3"/>
  <c r="J125" i="3"/>
  <c r="J687" i="3"/>
  <c r="J604" i="3"/>
  <c r="J595" i="3"/>
  <c r="J346" i="3"/>
  <c r="AK42" i="4"/>
  <c r="AK54" i="4"/>
  <c r="AD54" i="4"/>
  <c r="I96" i="4"/>
  <c r="J96" i="4" s="1"/>
  <c r="R96" i="4" s="1"/>
  <c r="S96" i="4" s="1"/>
  <c r="T96" i="4" s="1"/>
  <c r="AD101" i="4"/>
  <c r="I92" i="4"/>
  <c r="J92" i="4" s="1"/>
  <c r="Z92" i="4" s="1"/>
  <c r="AA92" i="4" s="1"/>
  <c r="I9" i="4"/>
  <c r="J9" i="4" s="1"/>
  <c r="K9" i="4" s="1"/>
  <c r="L9" i="4" s="1"/>
  <c r="N9" i="4" s="1"/>
  <c r="I87" i="4"/>
  <c r="J87" i="4" s="1"/>
  <c r="Z87" i="4" s="1"/>
  <c r="AA87" i="4" s="1"/>
  <c r="I19" i="4"/>
  <c r="J19" i="4" s="1"/>
  <c r="R19" i="4" s="1"/>
  <c r="S19" i="4" s="1"/>
  <c r="T19" i="4" s="1"/>
  <c r="I53" i="4"/>
  <c r="J53" i="4" s="1"/>
  <c r="X53" i="4" s="1"/>
  <c r="I42" i="4"/>
  <c r="J42" i="4" s="1"/>
  <c r="Z42" i="4" s="1"/>
  <c r="AA42" i="4" s="1"/>
  <c r="AK78" i="4"/>
  <c r="AD53" i="4"/>
  <c r="AD52" i="4"/>
  <c r="I24" i="4"/>
  <c r="J24" i="4" s="1"/>
  <c r="U24" i="4" s="1"/>
  <c r="V24" i="4" s="1"/>
  <c r="AE15" i="4"/>
  <c r="AD67" i="4"/>
  <c r="I52" i="4"/>
  <c r="J52" i="4" s="1"/>
  <c r="Z52" i="4" s="1"/>
  <c r="AA52" i="4" s="1"/>
  <c r="AD22" i="4"/>
  <c r="I76" i="4"/>
  <c r="J76" i="4" s="1"/>
  <c r="X76" i="4" s="1"/>
  <c r="AK21" i="4"/>
  <c r="I12" i="4"/>
  <c r="J12" i="4" s="1"/>
  <c r="X12" i="4" s="1"/>
  <c r="AK55" i="4"/>
  <c r="I93" i="4"/>
  <c r="J93" i="4" s="1"/>
  <c r="R93" i="4" s="1"/>
  <c r="S93" i="4" s="1"/>
  <c r="T93" i="4" s="1"/>
  <c r="AD91" i="4"/>
  <c r="AE90" i="4"/>
  <c r="AE58" i="4"/>
  <c r="I21" i="4"/>
  <c r="J21" i="4" s="1"/>
  <c r="Z21" i="4" s="1"/>
  <c r="AA21" i="4" s="1"/>
  <c r="AD98" i="4"/>
  <c r="I94" i="4"/>
  <c r="J94" i="4" s="1"/>
  <c r="O94" i="4" s="1"/>
  <c r="P94" i="4" s="1"/>
  <c r="Q94" i="4" s="1"/>
  <c r="I102" i="4"/>
  <c r="J102" i="4" s="1"/>
  <c r="O102" i="4" s="1"/>
  <c r="P102" i="4" s="1"/>
  <c r="Q102" i="4" s="1"/>
  <c r="I39" i="4"/>
  <c r="J39" i="4" s="1"/>
  <c r="O39" i="4" s="1"/>
  <c r="P39" i="4" s="1"/>
  <c r="Q39" i="4" s="1"/>
  <c r="I90" i="4"/>
  <c r="J90" i="4" s="1"/>
  <c r="X90" i="4" s="1"/>
  <c r="AE35" i="4"/>
  <c r="I35" i="4"/>
  <c r="J35" i="4" s="1"/>
  <c r="U35" i="4" s="1"/>
  <c r="V35" i="4" s="1"/>
  <c r="AE98" i="4"/>
  <c r="AI70" i="4"/>
  <c r="AI39" i="4"/>
  <c r="AE12" i="4"/>
  <c r="AD77" i="4"/>
  <c r="AD27" i="4"/>
  <c r="I63" i="4"/>
  <c r="J63" i="4" s="1"/>
  <c r="AB63" i="4" s="1"/>
  <c r="B239" i="2"/>
  <c r="AE17" i="4"/>
  <c r="AE14" i="4"/>
  <c r="U99" i="4"/>
  <c r="V99" i="4" s="1"/>
  <c r="I81" i="4"/>
  <c r="J81" i="4" s="1"/>
  <c r="Z81" i="4" s="1"/>
  <c r="AA81" i="4" s="1"/>
  <c r="AK16" i="4"/>
  <c r="AK96" i="4"/>
  <c r="AE18" i="4"/>
  <c r="AD61" i="4"/>
  <c r="AE22" i="4"/>
  <c r="AK83" i="4"/>
  <c r="AE85" i="4"/>
  <c r="AK40" i="4"/>
  <c r="AK32" i="4"/>
  <c r="I80" i="4"/>
  <c r="J80" i="4" s="1"/>
  <c r="J113" i="3"/>
  <c r="J11" i="3"/>
  <c r="J307" i="3"/>
  <c r="J533" i="3"/>
  <c r="J146" i="3"/>
  <c r="J440" i="3"/>
  <c r="J611" i="3"/>
  <c r="J437" i="3"/>
  <c r="J353" i="3"/>
  <c r="J658" i="3"/>
  <c r="J223" i="3"/>
  <c r="J139" i="3"/>
  <c r="J24" i="3"/>
  <c r="J577" i="3"/>
  <c r="J507" i="3"/>
  <c r="J388" i="3"/>
  <c r="J254" i="3"/>
  <c r="J50" i="3"/>
  <c r="J184" i="3"/>
  <c r="J268" i="3"/>
  <c r="J310" i="3"/>
  <c r="J418" i="3"/>
  <c r="J524" i="3"/>
  <c r="J594" i="3"/>
  <c r="J14" i="3"/>
  <c r="J407" i="3"/>
  <c r="I49" i="4"/>
  <c r="J49" i="4" s="1"/>
  <c r="K49" i="4" s="1"/>
  <c r="L49" i="4" s="1"/>
  <c r="N49" i="4" s="1"/>
  <c r="I57" i="4"/>
  <c r="J57" i="4" s="1"/>
  <c r="R57" i="4" s="1"/>
  <c r="S57" i="4" s="1"/>
  <c r="T57" i="4" s="1"/>
  <c r="I67" i="4"/>
  <c r="J67" i="4" s="1"/>
  <c r="O67" i="4" s="1"/>
  <c r="P67" i="4" s="1"/>
  <c r="Q67" i="4" s="1"/>
  <c r="I14" i="4"/>
  <c r="J14" i="4" s="1"/>
  <c r="O14" i="4" s="1"/>
  <c r="P14" i="4" s="1"/>
  <c r="Q14" i="4" s="1"/>
  <c r="I18" i="4"/>
  <c r="J18" i="4" s="1"/>
  <c r="AB18" i="4" s="1"/>
  <c r="AD99" i="4"/>
  <c r="J109" i="3"/>
  <c r="J505" i="3"/>
  <c r="J18" i="3"/>
  <c r="J553" i="3"/>
  <c r="J124" i="3"/>
  <c r="J422" i="3"/>
  <c r="J598" i="3"/>
  <c r="J225" i="3"/>
  <c r="AD49" i="4"/>
  <c r="AE106" i="4"/>
  <c r="AD24" i="4"/>
  <c r="AK70" i="4"/>
  <c r="J241" i="3"/>
  <c r="J664" i="3"/>
  <c r="J663" i="3"/>
  <c r="J656" i="3"/>
  <c r="J183" i="3"/>
  <c r="J166" i="3"/>
  <c r="J490" i="3"/>
  <c r="J48" i="3"/>
  <c r="J227" i="3"/>
  <c r="J291" i="3"/>
  <c r="J81" i="3"/>
  <c r="AI15" i="4"/>
  <c r="AI46" i="4"/>
  <c r="J615" i="3"/>
  <c r="J582" i="3"/>
  <c r="J403" i="3"/>
  <c r="J467" i="3"/>
  <c r="J67" i="3"/>
  <c r="AE68" i="4"/>
  <c r="AE69" i="4"/>
  <c r="J182" i="3"/>
  <c r="J509" i="3"/>
  <c r="J287" i="3"/>
  <c r="I69" i="4"/>
  <c r="J69" i="4" s="1"/>
  <c r="U69" i="4" s="1"/>
  <c r="V69" i="4" s="1"/>
  <c r="AK14" i="4"/>
  <c r="AD80" i="4"/>
  <c r="AD68" i="4"/>
  <c r="AD37" i="4"/>
  <c r="AK90" i="4"/>
  <c r="J683" i="3"/>
  <c r="R10" i="8"/>
  <c r="S10" i="8" s="1"/>
  <c r="B107" i="2" s="1"/>
  <c r="B230" i="2" s="1"/>
  <c r="AD64" i="4"/>
  <c r="AE70" i="4"/>
  <c r="AE104" i="4"/>
  <c r="AE28" i="4"/>
  <c r="AE100" i="4"/>
  <c r="C25" i="3"/>
  <c r="AE86" i="4"/>
  <c r="AD29" i="4"/>
  <c r="AD58" i="4"/>
  <c r="AE63" i="4"/>
  <c r="AD93" i="4"/>
  <c r="C60" i="16"/>
  <c r="D60" i="16" s="1"/>
  <c r="AE89" i="4"/>
  <c r="AK38" i="4"/>
  <c r="AK86" i="4"/>
  <c r="AE24" i="4"/>
  <c r="AK95" i="4"/>
  <c r="I29" i="4"/>
  <c r="J29" i="4" s="1"/>
  <c r="Z29" i="4" s="1"/>
  <c r="AA29" i="4" s="1"/>
  <c r="I89" i="4"/>
  <c r="J89" i="4" s="1"/>
  <c r="Z89" i="4" s="1"/>
  <c r="AA89" i="4" s="1"/>
  <c r="I23" i="4"/>
  <c r="J23" i="4" s="1"/>
  <c r="R23" i="4" s="1"/>
  <c r="S23" i="4" s="1"/>
  <c r="T23" i="4" s="1"/>
  <c r="X75" i="4"/>
  <c r="AK46" i="4"/>
  <c r="AK27" i="4"/>
  <c r="AE59" i="4"/>
  <c r="AD73" i="4"/>
  <c r="AK71" i="4"/>
  <c r="AK81" i="4"/>
  <c r="AE60" i="4"/>
  <c r="AE9" i="4"/>
  <c r="AK72" i="4"/>
  <c r="AD57" i="4"/>
  <c r="AK29" i="4"/>
  <c r="I50" i="4"/>
  <c r="J50" i="4" s="1"/>
  <c r="AB50" i="4" s="1"/>
  <c r="AK48" i="4"/>
  <c r="AK97" i="4"/>
  <c r="U75" i="4"/>
  <c r="V75" i="4" s="1"/>
  <c r="R75" i="4"/>
  <c r="S75" i="4" s="1"/>
  <c r="T75" i="4" s="1"/>
  <c r="I97" i="4"/>
  <c r="J97" i="4" s="1"/>
  <c r="R97" i="4" s="1"/>
  <c r="S97" i="4" s="1"/>
  <c r="T97" i="4" s="1"/>
  <c r="I84" i="4"/>
  <c r="J84" i="4" s="1"/>
  <c r="O84" i="4" s="1"/>
  <c r="P84" i="4" s="1"/>
  <c r="Q84" i="4" s="1"/>
  <c r="AD36" i="4"/>
  <c r="I78" i="4"/>
  <c r="J78" i="4" s="1"/>
  <c r="X78" i="4" s="1"/>
  <c r="I86" i="4"/>
  <c r="J86" i="4" s="1"/>
  <c r="K86" i="4" s="1"/>
  <c r="L86" i="4" s="1"/>
  <c r="N86" i="4" s="1"/>
  <c r="I61" i="4"/>
  <c r="J61" i="4" s="1"/>
  <c r="K61" i="4" s="1"/>
  <c r="L61" i="4" s="1"/>
  <c r="N61" i="4" s="1"/>
  <c r="AK82" i="4"/>
  <c r="AD19" i="4"/>
  <c r="AI63" i="4"/>
  <c r="AI34" i="4"/>
  <c r="AI109" i="4"/>
  <c r="AI21" i="4"/>
  <c r="AI85" i="4"/>
  <c r="AI71" i="4"/>
  <c r="AI60" i="4"/>
  <c r="AK79" i="4"/>
  <c r="AK102" i="4"/>
  <c r="AK74" i="4"/>
  <c r="AK84" i="4"/>
  <c r="AD35" i="4"/>
  <c r="AE77" i="4"/>
  <c r="AE38" i="4"/>
  <c r="AI25" i="4"/>
  <c r="AD84" i="4"/>
  <c r="AI45" i="4"/>
  <c r="AE102" i="4"/>
  <c r="B109" i="2"/>
  <c r="B110" i="2" s="1"/>
  <c r="AD44" i="4"/>
  <c r="AE56" i="4"/>
  <c r="AD94" i="4"/>
  <c r="AE31" i="4"/>
  <c r="AE76" i="4"/>
  <c r="AK51" i="4"/>
  <c r="AK80" i="4"/>
  <c r="AK87" i="4"/>
  <c r="AK64" i="4"/>
  <c r="AE37" i="4"/>
  <c r="AK20" i="4"/>
  <c r="AD39" i="4"/>
  <c r="I103" i="4"/>
  <c r="J103" i="4" s="1"/>
  <c r="R103" i="4" s="1"/>
  <c r="S103" i="4" s="1"/>
  <c r="T103" i="4" s="1"/>
  <c r="AD51" i="4"/>
  <c r="AD56" i="4"/>
  <c r="I26" i="4"/>
  <c r="J26" i="4" s="1"/>
  <c r="R26" i="4" s="1"/>
  <c r="S26" i="4" s="1"/>
  <c r="T26" i="4" s="1"/>
  <c r="AE16" i="4"/>
  <c r="AE49" i="4"/>
  <c r="I15" i="4"/>
  <c r="J15" i="4" s="1"/>
  <c r="Z15" i="4" s="1"/>
  <c r="AA15" i="4" s="1"/>
  <c r="I13" i="4"/>
  <c r="J13" i="4" s="1"/>
  <c r="O13" i="4" s="1"/>
  <c r="P13" i="4" s="1"/>
  <c r="Q13" i="4" s="1"/>
  <c r="I34" i="4"/>
  <c r="J34" i="4" s="1"/>
  <c r="U34" i="4" s="1"/>
  <c r="V34" i="4" s="1"/>
  <c r="J477" i="3"/>
  <c r="J273" i="3"/>
  <c r="J493" i="3"/>
  <c r="J93" i="3"/>
  <c r="J269" i="3"/>
  <c r="J387" i="3"/>
  <c r="J599" i="3"/>
  <c r="J416" i="3"/>
  <c r="J138" i="3"/>
  <c r="J226" i="3"/>
  <c r="J360" i="3"/>
  <c r="J497" i="3"/>
  <c r="J563" i="3"/>
  <c r="J53" i="3"/>
  <c r="J457" i="3"/>
  <c r="J417" i="3"/>
  <c r="J373" i="3"/>
  <c r="J329" i="3"/>
  <c r="J289" i="3"/>
  <c r="J26" i="3"/>
  <c r="J243" i="3"/>
  <c r="J203" i="3"/>
  <c r="J159" i="3"/>
  <c r="J115" i="3"/>
  <c r="J75" i="3"/>
  <c r="J685" i="3"/>
  <c r="J601" i="3"/>
  <c r="J557" i="3"/>
  <c r="J527" i="3"/>
  <c r="J487" i="3"/>
  <c r="J428" i="3"/>
  <c r="J340" i="3"/>
  <c r="J648" i="3"/>
  <c r="J214" i="3"/>
  <c r="J126" i="3"/>
  <c r="J116" i="3"/>
  <c r="J160" i="3"/>
  <c r="J204" i="3"/>
  <c r="J248" i="3"/>
  <c r="J29" i="3"/>
  <c r="J290" i="3"/>
  <c r="J334" i="3"/>
  <c r="J374" i="3"/>
  <c r="J460" i="3"/>
  <c r="J502" i="3"/>
  <c r="J671" i="3"/>
  <c r="J574" i="3"/>
  <c r="J616" i="3"/>
  <c r="J39" i="3"/>
  <c r="J331" i="3"/>
  <c r="J27" i="3"/>
  <c r="J97" i="3"/>
  <c r="J74" i="3"/>
  <c r="O99" i="4"/>
  <c r="P99" i="4" s="1"/>
  <c r="Q99" i="4" s="1"/>
  <c r="I31" i="4"/>
  <c r="J31" i="4" s="1"/>
  <c r="AB31" i="4" s="1"/>
  <c r="I100" i="4"/>
  <c r="J100" i="4" s="1"/>
  <c r="R100" i="4" s="1"/>
  <c r="S100" i="4" s="1"/>
  <c r="T100" i="4" s="1"/>
  <c r="AD43" i="4"/>
  <c r="AD42" i="4"/>
  <c r="AD12" i="4"/>
  <c r="AK99" i="4"/>
  <c r="AK52" i="4"/>
  <c r="I17" i="4"/>
  <c r="J17" i="4" s="1"/>
  <c r="R17" i="4" s="1"/>
  <c r="S17" i="4" s="1"/>
  <c r="T17" i="4" s="1"/>
  <c r="I41" i="4"/>
  <c r="J41" i="4" s="1"/>
  <c r="R41" i="4" s="1"/>
  <c r="S41" i="4" s="1"/>
  <c r="T41" i="4" s="1"/>
  <c r="J295" i="3"/>
  <c r="J419" i="3"/>
  <c r="J258" i="3"/>
  <c r="J36" i="3"/>
  <c r="J325" i="3"/>
  <c r="J195" i="3"/>
  <c r="J661" i="3"/>
  <c r="J479" i="3"/>
  <c r="J206" i="3"/>
  <c r="J208" i="3"/>
  <c r="J338" i="3"/>
  <c r="J484" i="3"/>
  <c r="J554" i="3"/>
  <c r="J673" i="3"/>
  <c r="J85" i="3"/>
  <c r="J304" i="3"/>
  <c r="AD31" i="4"/>
  <c r="J210" i="3"/>
  <c r="J57" i="3"/>
  <c r="J156" i="3"/>
  <c r="J454" i="3"/>
  <c r="J614" i="3"/>
  <c r="J279" i="3"/>
  <c r="J591" i="3"/>
  <c r="J567" i="3"/>
  <c r="J603" i="3"/>
  <c r="J666" i="3"/>
  <c r="J32" i="3"/>
  <c r="J380" i="3"/>
  <c r="J180" i="3"/>
  <c r="J394" i="3"/>
  <c r="J540" i="3"/>
  <c r="J89" i="3"/>
  <c r="J638" i="3"/>
  <c r="AD15" i="4"/>
  <c r="I98" i="4"/>
  <c r="J98" i="4" s="1"/>
  <c r="O98" i="4" s="1"/>
  <c r="P98" i="4" s="1"/>
  <c r="Q98" i="4" s="1"/>
  <c r="J17" i="3"/>
  <c r="J357" i="3"/>
  <c r="J130" i="3"/>
  <c r="AI105" i="4"/>
  <c r="AI64" i="4"/>
  <c r="AI13" i="4"/>
  <c r="AI26" i="4"/>
  <c r="AI49" i="4"/>
  <c r="J163" i="3"/>
  <c r="J390" i="3"/>
  <c r="J439" i="3"/>
  <c r="J153" i="3"/>
  <c r="J521" i="3"/>
  <c r="J103" i="3"/>
  <c r="J132" i="3"/>
  <c r="J530" i="3"/>
  <c r="J161" i="3"/>
  <c r="AD13" i="4"/>
  <c r="AE53" i="4"/>
  <c r="AK100" i="4"/>
  <c r="AK43" i="4"/>
  <c r="J237" i="3"/>
  <c r="J560" i="3"/>
  <c r="J62" i="3"/>
  <c r="I70" i="4"/>
  <c r="J70" i="4" s="1"/>
  <c r="K70" i="4" s="1"/>
  <c r="L70" i="4" s="1"/>
  <c r="N70" i="4" s="1"/>
  <c r="AD87" i="4"/>
  <c r="J263" i="3"/>
  <c r="AE99" i="4"/>
  <c r="J375" i="3"/>
  <c r="AD69" i="4"/>
  <c r="AK13" i="4"/>
  <c r="AE26" i="4"/>
  <c r="AE20" i="4"/>
  <c r="AD17" i="4"/>
  <c r="AK34" i="4"/>
  <c r="J688" i="3"/>
  <c r="I48" i="4"/>
  <c r="J48" i="4" s="1"/>
  <c r="I22" i="4"/>
  <c r="J22" i="4" s="1"/>
  <c r="Z22" i="4" s="1"/>
  <c r="AA22" i="4" s="1"/>
  <c r="K75" i="4"/>
  <c r="L75" i="4" s="1"/>
  <c r="N75" i="4" s="1"/>
  <c r="AE46" i="4"/>
  <c r="AK59" i="4"/>
  <c r="AK101" i="4"/>
  <c r="AE73" i="4"/>
  <c r="I71" i="4"/>
  <c r="J71" i="4" s="1"/>
  <c r="Z71" i="4" s="1"/>
  <c r="AA71" i="4" s="1"/>
  <c r="AK61" i="4"/>
  <c r="AE81" i="4"/>
  <c r="AD92" i="4"/>
  <c r="AK60" i="4"/>
  <c r="I83" i="4"/>
  <c r="J83" i="4" s="1"/>
  <c r="R83" i="4" s="1"/>
  <c r="S83" i="4" s="1"/>
  <c r="T83" i="4" s="1"/>
  <c r="I85" i="4"/>
  <c r="J85" i="4" s="1"/>
  <c r="R85" i="4" s="1"/>
  <c r="S85" i="4" s="1"/>
  <c r="T85" i="4" s="1"/>
  <c r="AK9" i="4"/>
  <c r="I40" i="4"/>
  <c r="J40" i="4" s="1"/>
  <c r="U40" i="4" s="1"/>
  <c r="V40" i="4" s="1"/>
  <c r="AK57" i="4"/>
  <c r="I82" i="4"/>
  <c r="J82" i="4" s="1"/>
  <c r="R82" i="4" s="1"/>
  <c r="S82" i="4" s="1"/>
  <c r="T82" i="4" s="1"/>
  <c r="AK19" i="4"/>
  <c r="AE82" i="4"/>
  <c r="AE23" i="4"/>
  <c r="AB75" i="4"/>
  <c r="I101" i="4"/>
  <c r="J101" i="4" s="1"/>
  <c r="Z101" i="4" s="1"/>
  <c r="AA101" i="4" s="1"/>
  <c r="I38" i="4"/>
  <c r="J38" i="4" s="1"/>
  <c r="U38" i="4" s="1"/>
  <c r="V38" i="4" s="1"/>
  <c r="Z75" i="4"/>
  <c r="AA75" i="4" s="1"/>
  <c r="I46" i="4"/>
  <c r="J46" i="4" s="1"/>
  <c r="AB46" i="4" s="1"/>
  <c r="I73" i="4"/>
  <c r="J73" i="4" s="1"/>
  <c r="AB73" i="4" s="1"/>
  <c r="AD75" i="4"/>
  <c r="I95" i="4"/>
  <c r="J95" i="4" s="1"/>
  <c r="Z95" i="4" s="1"/>
  <c r="AA95" i="4" s="1"/>
  <c r="I59" i="4"/>
  <c r="J59" i="4" s="1"/>
  <c r="AB59" i="4" s="1"/>
  <c r="I105" i="4"/>
  <c r="J105" i="4" s="1"/>
  <c r="K105" i="4" s="1"/>
  <c r="L105" i="4" s="1"/>
  <c r="N105" i="4" s="1"/>
  <c r="AD50" i="4"/>
  <c r="AD23" i="4"/>
  <c r="AD97" i="4"/>
  <c r="AD83" i="4"/>
  <c r="AK75" i="4"/>
  <c r="AD72" i="4"/>
  <c r="B191" i="2"/>
  <c r="AK50" i="4"/>
  <c r="I60" i="4"/>
  <c r="J60" i="4" s="1"/>
  <c r="AB60" i="4" s="1"/>
  <c r="AD40" i="4"/>
  <c r="AE92" i="4"/>
  <c r="AI82" i="4"/>
  <c r="AI74" i="4"/>
  <c r="AD78" i="4"/>
  <c r="AI96" i="4"/>
  <c r="AI42" i="4"/>
  <c r="AD71" i="4"/>
  <c r="AE72" i="4"/>
  <c r="AD11" i="4"/>
  <c r="AI68" i="4"/>
  <c r="AI38" i="4"/>
  <c r="AI52" i="4"/>
  <c r="I79" i="4"/>
  <c r="J79" i="4" s="1"/>
  <c r="K79" i="4" s="1"/>
  <c r="L79" i="4" s="1"/>
  <c r="N79" i="4" s="1"/>
  <c r="AD79" i="4"/>
  <c r="AI89" i="4"/>
  <c r="AE75" i="4"/>
  <c r="I11" i="4"/>
  <c r="J11" i="4" s="1"/>
  <c r="R11" i="4" s="1"/>
  <c r="S11" i="4" s="1"/>
  <c r="T11" i="4" s="1"/>
  <c r="AE11" i="4"/>
  <c r="AI19" i="4"/>
  <c r="AK37" i="4"/>
  <c r="AK39" i="4"/>
  <c r="AE103" i="4"/>
  <c r="B73" i="4"/>
  <c r="AE21" i="4"/>
  <c r="I88" i="4"/>
  <c r="J88" i="4" s="1"/>
  <c r="Z88" i="4" s="1"/>
  <c r="AA88" i="4" s="1"/>
  <c r="I56" i="4"/>
  <c r="J56" i="4" s="1"/>
  <c r="Z56" i="4" s="1"/>
  <c r="AA56" i="4" s="1"/>
  <c r="AK26" i="4"/>
  <c r="AD66" i="4"/>
  <c r="I62" i="4"/>
  <c r="J62" i="4" s="1"/>
  <c r="AB62" i="4" s="1"/>
  <c r="I44" i="4"/>
  <c r="J44" i="4" s="1"/>
  <c r="AB44" i="4" s="1"/>
  <c r="I66" i="4"/>
  <c r="J66" i="4" s="1"/>
  <c r="X66" i="4" s="1"/>
  <c r="AE34" i="4"/>
  <c r="AD76" i="4"/>
  <c r="AK41" i="4"/>
  <c r="B190" i="2"/>
  <c r="W10" i="4" s="1"/>
  <c r="AK103" i="4"/>
  <c r="AE66" i="4"/>
  <c r="I43" i="4"/>
  <c r="J43" i="4" s="1"/>
  <c r="O43" i="4" s="1"/>
  <c r="P43" i="4" s="1"/>
  <c r="Q43" i="4" s="1"/>
  <c r="AD41" i="4"/>
  <c r="AD88" i="4"/>
  <c r="AE62" i="4"/>
  <c r="AI107" i="4"/>
  <c r="AE109" i="4"/>
  <c r="AE107" i="4"/>
  <c r="AD107" i="4"/>
  <c r="AK107" i="4"/>
  <c r="AE108" i="4"/>
  <c r="I108" i="4"/>
  <c r="J108" i="4" s="1"/>
  <c r="Z108" i="4" s="1"/>
  <c r="AA108" i="4" s="1"/>
  <c r="J432" i="3"/>
  <c r="J118" i="3"/>
  <c r="J628" i="3"/>
  <c r="J682" i="3"/>
  <c r="J431" i="3"/>
  <c r="J76" i="3"/>
  <c r="J377" i="3"/>
  <c r="J315" i="3"/>
  <c r="J284" i="3"/>
  <c r="J320" i="3"/>
  <c r="J602" i="3"/>
  <c r="J170" i="3"/>
  <c r="J670" i="3"/>
  <c r="J378" i="3"/>
  <c r="J412" i="3"/>
  <c r="J285" i="3"/>
  <c r="J637" i="3"/>
  <c r="J129" i="3"/>
  <c r="J63" i="3"/>
  <c r="J488" i="3"/>
  <c r="J220" i="3"/>
  <c r="J635" i="3"/>
  <c r="J555" i="3"/>
  <c r="J60" i="3"/>
  <c r="J336" i="3"/>
  <c r="J443" i="3"/>
  <c r="J612" i="3"/>
  <c r="J548" i="3"/>
  <c r="J498" i="3"/>
  <c r="J410" i="3"/>
  <c r="J282" i="3"/>
  <c r="J196" i="3"/>
  <c r="J134" i="3"/>
  <c r="J348" i="3"/>
  <c r="J531" i="3"/>
  <c r="J65" i="3"/>
  <c r="J167" i="3"/>
  <c r="J634" i="3"/>
  <c r="J381" i="3"/>
  <c r="J653" i="3"/>
  <c r="J328" i="3"/>
  <c r="J517" i="3"/>
  <c r="J189" i="3"/>
  <c r="J68" i="3"/>
  <c r="J319" i="3"/>
  <c r="J213" i="3"/>
  <c r="J624" i="3"/>
  <c r="J538" i="3"/>
  <c r="J468" i="3"/>
  <c r="J306" i="3"/>
  <c r="J176" i="3"/>
  <c r="J270" i="3"/>
  <c r="J605" i="3"/>
  <c r="J293" i="3"/>
  <c r="J344" i="3"/>
  <c r="J543" i="3"/>
  <c r="J201" i="3"/>
  <c r="J359" i="3"/>
  <c r="J157" i="3"/>
  <c r="J451" i="3"/>
  <c r="J288" i="3"/>
  <c r="J33" i="3"/>
  <c r="J529" i="3"/>
  <c r="J114" i="3"/>
  <c r="J401" i="3"/>
  <c r="J313" i="3"/>
  <c r="J271" i="3"/>
  <c r="J187" i="3"/>
  <c r="J99" i="3"/>
  <c r="J625" i="3"/>
  <c r="J541" i="3"/>
  <c r="J471" i="3"/>
  <c r="J86" i="3"/>
  <c r="J52" i="3"/>
  <c r="J669" i="3"/>
  <c r="J165" i="3"/>
  <c r="J379" i="3"/>
  <c r="J51" i="3"/>
  <c r="J620" i="3"/>
  <c r="J588" i="3"/>
  <c r="J556" i="3"/>
  <c r="J647" i="3"/>
  <c r="J506" i="3"/>
  <c r="J474" i="3"/>
  <c r="J426" i="3"/>
  <c r="J362" i="3"/>
  <c r="J298" i="3"/>
  <c r="J276" i="3"/>
  <c r="J212" i="3"/>
  <c r="J148" i="3"/>
  <c r="J80" i="3"/>
  <c r="J230" i="3"/>
  <c r="J316" i="3"/>
  <c r="J444" i="3"/>
  <c r="J515" i="3"/>
  <c r="J565" i="3"/>
  <c r="J629" i="3"/>
  <c r="J87" i="3"/>
  <c r="J151" i="3"/>
  <c r="J215" i="3"/>
  <c r="J9" i="3"/>
  <c r="J301" i="3"/>
  <c r="J365" i="3"/>
  <c r="J429" i="3"/>
  <c r="J20" i="3"/>
  <c r="J539" i="3"/>
  <c r="J392" i="3"/>
  <c r="J178" i="3"/>
  <c r="J448" i="3"/>
  <c r="J78" i="3"/>
  <c r="J253" i="3"/>
  <c r="J672" i="3"/>
  <c r="J177" i="3"/>
  <c r="J70" i="3"/>
  <c r="J368" i="3"/>
  <c r="J461" i="3"/>
  <c r="J662" i="3"/>
  <c r="J367" i="3"/>
  <c r="J649" i="3"/>
  <c r="J592" i="3"/>
  <c r="J550" i="3"/>
  <c r="J520" i="3"/>
  <c r="J478" i="3"/>
  <c r="J414" i="3"/>
  <c r="J326" i="3"/>
  <c r="J21" i="3"/>
  <c r="J200" i="3"/>
  <c r="J100" i="3"/>
  <c r="J222" i="3"/>
  <c r="J356" i="3"/>
  <c r="J561" i="3"/>
  <c r="J123" i="3"/>
  <c r="J34" i="3"/>
  <c r="J421" i="3"/>
  <c r="J481" i="3"/>
  <c r="J469" i="3"/>
  <c r="J77" i="3"/>
  <c r="J169" i="3"/>
  <c r="J38" i="3"/>
  <c r="J343" i="3"/>
  <c r="J120" i="3"/>
  <c r="J181" i="3"/>
  <c r="J299" i="3"/>
  <c r="J94" i="3"/>
  <c r="J55" i="3"/>
  <c r="J633" i="3"/>
  <c r="J608" i="3"/>
  <c r="J586" i="3"/>
  <c r="J566" i="3"/>
  <c r="J544" i="3"/>
  <c r="J639" i="3"/>
  <c r="J516" i="3"/>
  <c r="J494" i="3"/>
  <c r="J472" i="3"/>
  <c r="J446" i="3"/>
  <c r="J402" i="3"/>
  <c r="J358" i="3"/>
  <c r="J318" i="3"/>
  <c r="J676" i="3"/>
  <c r="J272" i="3"/>
  <c r="J232" i="3"/>
  <c r="J188" i="3"/>
  <c r="J144" i="3"/>
  <c r="J84" i="3"/>
  <c r="J158" i="3"/>
  <c r="J246" i="3"/>
  <c r="J292" i="3"/>
  <c r="J372" i="3"/>
  <c r="J459" i="3"/>
  <c r="J503" i="3"/>
  <c r="J667" i="3"/>
  <c r="J573" i="3"/>
  <c r="J617" i="3"/>
  <c r="J41" i="3"/>
  <c r="J91" i="3"/>
  <c r="J131" i="3"/>
  <c r="J175" i="3"/>
  <c r="J219" i="3"/>
  <c r="J259" i="3"/>
  <c r="J650" i="3"/>
  <c r="J305" i="3"/>
  <c r="J345" i="3"/>
  <c r="J389" i="3"/>
  <c r="J433" i="3"/>
  <c r="J90" i="3"/>
  <c r="J619" i="3"/>
  <c r="J675" i="3"/>
  <c r="J465" i="3"/>
  <c r="J296" i="3"/>
  <c r="J162" i="3"/>
  <c r="J266" i="3"/>
  <c r="J501" i="3"/>
  <c r="J28" i="3"/>
  <c r="J323" i="3"/>
  <c r="J205" i="3"/>
  <c r="J40" i="3"/>
  <c r="J455" i="3"/>
  <c r="J145" i="3"/>
  <c r="J351" i="3"/>
  <c r="J249" i="3"/>
  <c r="J105" i="3"/>
  <c r="J383" i="3"/>
  <c r="J154" i="3"/>
  <c r="J193" i="3"/>
  <c r="J311" i="3"/>
  <c r="J58" i="3"/>
  <c r="J250" i="3"/>
  <c r="J54" i="3"/>
  <c r="J149" i="3"/>
  <c r="J245" i="3"/>
  <c r="J283" i="3"/>
  <c r="J363" i="3"/>
  <c r="J15" i="3"/>
  <c r="J303" i="3"/>
  <c r="J623" i="3"/>
  <c r="J47" i="3"/>
  <c r="J71" i="3"/>
  <c r="J641" i="3"/>
  <c r="J622" i="3"/>
  <c r="J610" i="3"/>
  <c r="J600" i="3"/>
  <c r="J590" i="3"/>
  <c r="J578" i="3"/>
  <c r="J568" i="3"/>
  <c r="J558" i="3"/>
  <c r="J546" i="3"/>
  <c r="J536" i="3"/>
  <c r="J655" i="3"/>
  <c r="J528" i="3"/>
  <c r="J518" i="3"/>
  <c r="J508" i="3"/>
  <c r="J496" i="3"/>
  <c r="J486" i="3"/>
  <c r="J476" i="3"/>
  <c r="J464" i="3"/>
  <c r="J450" i="3"/>
  <c r="J430" i="3"/>
  <c r="J406" i="3"/>
  <c r="J386" i="3"/>
  <c r="AE47" i="4"/>
  <c r="AK47" i="4"/>
  <c r="AD47" i="4"/>
  <c r="I47" i="4"/>
  <c r="J47" i="4" s="1"/>
  <c r="U47" i="4" s="1"/>
  <c r="V47" i="4" s="1"/>
  <c r="AK30" i="4"/>
  <c r="AD30" i="4"/>
  <c r="AE30" i="4"/>
  <c r="J137" i="3"/>
  <c r="J415" i="3"/>
  <c r="J35" i="3"/>
  <c r="J209" i="3"/>
  <c r="J327" i="3"/>
  <c r="J102" i="3"/>
  <c r="J186" i="3"/>
  <c r="J56" i="3"/>
  <c r="J141" i="3"/>
  <c r="J221" i="3"/>
  <c r="J646" i="3"/>
  <c r="J355" i="3"/>
  <c r="J435" i="3"/>
  <c r="J61" i="3"/>
  <c r="J551" i="3"/>
  <c r="J485" i="3"/>
  <c r="J352" i="3"/>
  <c r="J202" i="3"/>
  <c r="J66" i="3"/>
  <c r="J194" i="3"/>
  <c r="J274" i="3"/>
  <c r="J312" i="3"/>
  <c r="J408" i="3"/>
  <c r="J473" i="3"/>
  <c r="J513" i="3"/>
  <c r="J547" i="3"/>
  <c r="J587" i="3"/>
  <c r="J627" i="3"/>
  <c r="J122" i="3"/>
  <c r="J82" i="3"/>
  <c r="J449" i="3"/>
  <c r="J425" i="3"/>
  <c r="J405" i="3"/>
  <c r="J385" i="3"/>
  <c r="J361" i="3"/>
  <c r="J341" i="3"/>
  <c r="J321" i="3"/>
  <c r="J297" i="3"/>
  <c r="J686" i="3"/>
  <c r="J642" i="3"/>
  <c r="J275" i="3"/>
  <c r="J255" i="3"/>
  <c r="J235" i="3"/>
  <c r="J211" i="3"/>
  <c r="J191" i="3"/>
  <c r="J171" i="3"/>
  <c r="J147" i="3"/>
  <c r="J127" i="3"/>
  <c r="J107" i="3"/>
  <c r="J83" i="3"/>
  <c r="J23" i="3"/>
  <c r="J49" i="3"/>
  <c r="J645" i="3"/>
  <c r="J609" i="3"/>
  <c r="J589" i="3"/>
  <c r="J569" i="3"/>
  <c r="J545" i="3"/>
  <c r="J651" i="3"/>
  <c r="J519" i="3"/>
  <c r="J495" i="3"/>
  <c r="J475" i="3"/>
  <c r="J452" i="3"/>
  <c r="J404" i="3"/>
  <c r="J364" i="3"/>
  <c r="J324" i="3"/>
  <c r="J684" i="3"/>
  <c r="J10" i="3"/>
  <c r="J238" i="3"/>
  <c r="J190" i="3"/>
  <c r="J150" i="3"/>
  <c r="J96" i="3"/>
  <c r="J92" i="3"/>
  <c r="J128" i="3"/>
  <c r="J152" i="3"/>
  <c r="J172" i="3"/>
  <c r="J192" i="3"/>
  <c r="J216" i="3"/>
  <c r="J236" i="3"/>
  <c r="J256" i="3"/>
  <c r="J12" i="3"/>
  <c r="J644" i="3"/>
  <c r="J278" i="3"/>
  <c r="J302" i="3"/>
  <c r="J322" i="3"/>
  <c r="J342" i="3"/>
  <c r="J366" i="3"/>
  <c r="J398" i="3"/>
  <c r="J438" i="3"/>
  <c r="J470" i="3"/>
  <c r="J492" i="3"/>
  <c r="J512" i="3"/>
  <c r="J631" i="3"/>
  <c r="J542" i="3"/>
  <c r="J562" i="3"/>
  <c r="J584" i="3"/>
  <c r="J606" i="3"/>
  <c r="J626" i="3"/>
  <c r="J59" i="3"/>
  <c r="J185" i="3"/>
  <c r="J411" i="3"/>
  <c r="J277" i="3"/>
  <c r="J117" i="3"/>
  <c r="J525" i="3"/>
  <c r="J257" i="3"/>
  <c r="J659" i="3"/>
  <c r="J559" i="3"/>
  <c r="J16" i="3"/>
  <c r="J400" i="3"/>
  <c r="J22" i="3"/>
  <c r="J583" i="3"/>
  <c r="J31" i="3"/>
  <c r="J376" i="3"/>
  <c r="J579" i="3"/>
  <c r="J453" i="3"/>
  <c r="J369" i="3"/>
  <c r="J281" i="3"/>
  <c r="J239" i="3"/>
  <c r="J155" i="3"/>
  <c r="J46" i="3"/>
  <c r="J593" i="3"/>
  <c r="J523" i="3"/>
  <c r="J420" i="3"/>
  <c r="J25" i="3"/>
  <c r="J112" i="3"/>
  <c r="J168" i="3"/>
  <c r="J252" i="3"/>
  <c r="J294" i="3"/>
  <c r="J382" i="3"/>
  <c r="J462" i="3"/>
  <c r="J504" i="3"/>
  <c r="J534" i="3"/>
  <c r="J576" i="3"/>
  <c r="J618" i="3"/>
  <c r="J44" i="3"/>
  <c r="J261" i="3"/>
  <c r="J575" i="3"/>
  <c r="J447" i="3"/>
  <c r="J371" i="3"/>
  <c r="J69" i="3"/>
  <c r="J207" i="3"/>
  <c r="J491" i="3"/>
  <c r="J142" i="3"/>
  <c r="J240" i="3"/>
  <c r="J370" i="3"/>
  <c r="J500" i="3"/>
  <c r="J570" i="3"/>
  <c r="J43" i="3"/>
  <c r="J133" i="3"/>
  <c r="J218" i="3"/>
  <c r="J121" i="3"/>
  <c r="J391" i="3"/>
  <c r="J339" i="3"/>
  <c r="J234" i="3"/>
  <c r="J489" i="3"/>
  <c r="J42" i="3"/>
  <c r="J333" i="3"/>
  <c r="J247" i="3"/>
  <c r="J119" i="3"/>
  <c r="J597" i="3"/>
  <c r="J483" i="3"/>
  <c r="J632" i="3"/>
  <c r="J108" i="3"/>
  <c r="J244" i="3"/>
  <c r="J330" i="3"/>
  <c r="J458" i="3"/>
  <c r="J522" i="3"/>
  <c r="J572" i="3"/>
  <c r="J657" i="3"/>
  <c r="J630" i="3"/>
  <c r="J30" i="3"/>
  <c r="J88" i="3"/>
  <c r="J396" i="3"/>
  <c r="J585" i="3"/>
  <c r="J143" i="3"/>
  <c r="J674" i="3"/>
  <c r="J441" i="3"/>
  <c r="J424" i="3"/>
  <c r="J535" i="3"/>
  <c r="AI54" i="4"/>
  <c r="AI32" i="4"/>
  <c r="AI43" i="4"/>
  <c r="AI97" i="4"/>
  <c r="AI51" i="4"/>
  <c r="AI28" i="4"/>
  <c r="J73" i="3"/>
  <c r="J436" i="3"/>
  <c r="J264" i="3"/>
  <c r="J510" i="3"/>
  <c r="J399" i="3"/>
  <c r="J607" i="3"/>
  <c r="J104" i="3"/>
  <c r="J445" i="3"/>
  <c r="J231" i="3"/>
  <c r="J581" i="3"/>
  <c r="J262" i="3"/>
  <c r="J260" i="3"/>
  <c r="J466" i="3"/>
  <c r="J580" i="3"/>
  <c r="J229" i="3"/>
  <c r="J251" i="3"/>
  <c r="J350" i="3"/>
  <c r="J347" i="3"/>
  <c r="J571" i="3"/>
  <c r="J164" i="3"/>
  <c r="J45" i="3"/>
  <c r="J217" i="3"/>
  <c r="J442" i="3"/>
  <c r="J456" i="3"/>
  <c r="J314" i="3"/>
  <c r="J532" i="3"/>
  <c r="AE25" i="4"/>
  <c r="AI106" i="4"/>
  <c r="AI35" i="4"/>
  <c r="AI86" i="4"/>
  <c r="AI92" i="4"/>
  <c r="AI108" i="4"/>
  <c r="AI84" i="4"/>
  <c r="AI41" i="4"/>
  <c r="AI67" i="4"/>
  <c r="AD62" i="4"/>
  <c r="AI36" i="4"/>
  <c r="R99" i="4"/>
  <c r="S99" i="4" s="1"/>
  <c r="T99" i="4" s="1"/>
  <c r="AD105" i="4"/>
  <c r="I109" i="4"/>
  <c r="J109" i="4" s="1"/>
  <c r="X109" i="4" s="1"/>
  <c r="I106" i="4"/>
  <c r="J106" i="4" s="1"/>
  <c r="R106" i="4" s="1"/>
  <c r="S106" i="4" s="1"/>
  <c r="T106" i="4" s="1"/>
  <c r="AE105" i="4"/>
  <c r="AI101" i="4"/>
  <c r="AI87" i="4"/>
  <c r="AD109" i="4"/>
  <c r="AI77" i="4"/>
  <c r="AD106" i="4"/>
  <c r="AI90" i="4"/>
  <c r="AI98" i="4"/>
  <c r="J72" i="3"/>
  <c r="J242" i="3"/>
  <c r="J413" i="3"/>
  <c r="J199" i="3"/>
  <c r="J549" i="3"/>
  <c r="J198" i="3"/>
  <c r="J37" i="3"/>
  <c r="J482" i="3"/>
  <c r="J596" i="3"/>
  <c r="J101" i="3"/>
  <c r="J79" i="3"/>
  <c r="J434" i="3"/>
  <c r="J64" i="3"/>
  <c r="J654" i="3"/>
  <c r="J98" i="3"/>
  <c r="J613" i="3"/>
  <c r="J228" i="3"/>
  <c r="J564" i="3"/>
  <c r="J335" i="3"/>
  <c r="J652" i="3"/>
  <c r="J135" i="3"/>
  <c r="J514" i="3"/>
  <c r="J308" i="3"/>
  <c r="J349" i="3"/>
  <c r="J499" i="3"/>
  <c r="AI61" i="4"/>
  <c r="AI78" i="4"/>
  <c r="AI14" i="4"/>
  <c r="AI72" i="4"/>
  <c r="AI47" i="4"/>
  <c r="AI79" i="4"/>
  <c r="AK108" i="4"/>
  <c r="AD108" i="4"/>
  <c r="AK25" i="4"/>
  <c r="I25" i="4"/>
  <c r="J25" i="4" s="1"/>
  <c r="AB25" i="4" s="1"/>
  <c r="AI48" i="4"/>
  <c r="AI59" i="4"/>
  <c r="AI30" i="4"/>
  <c r="AI44" i="4"/>
  <c r="AI95" i="4"/>
  <c r="AI65" i="4"/>
  <c r="AI31" i="4"/>
  <c r="AI76" i="4"/>
  <c r="AI29" i="4"/>
  <c r="O45" i="4"/>
  <c r="P45" i="4" s="1"/>
  <c r="Q45" i="4" s="1"/>
  <c r="Z99" i="4"/>
  <c r="AA99" i="4" s="1"/>
  <c r="AC99" i="4" s="1"/>
  <c r="AN99" i="4" s="1"/>
  <c r="X99" i="4"/>
  <c r="K99" i="4"/>
  <c r="L99" i="4" s="1"/>
  <c r="N99" i="4" s="1"/>
  <c r="AI27" i="4"/>
  <c r="AI81" i="4"/>
  <c r="AI12" i="4"/>
  <c r="AI94" i="4"/>
  <c r="AI33" i="4"/>
  <c r="AI9" i="4"/>
  <c r="B195" i="2" s="1"/>
  <c r="B196" i="2" s="1"/>
  <c r="AI103" i="4"/>
  <c r="AI40" i="4"/>
  <c r="AI56" i="4"/>
  <c r="AI100" i="4"/>
  <c r="AI80" i="4"/>
  <c r="AI17" i="4"/>
  <c r="U27" i="4"/>
  <c r="V27" i="4" s="1"/>
  <c r="B24" i="2"/>
  <c r="B136" i="2" s="1"/>
  <c r="B26" i="2"/>
  <c r="B53" i="2" s="1"/>
  <c r="AI11" i="4"/>
  <c r="AI88" i="4"/>
  <c r="AI53" i="4"/>
  <c r="AI75" i="4"/>
  <c r="AI62" i="4"/>
  <c r="AI99" i="4"/>
  <c r="AI83" i="4"/>
  <c r="AI18" i="4"/>
  <c r="AI66" i="4"/>
  <c r="AI73" i="4"/>
  <c r="AI69" i="4"/>
  <c r="AI102" i="4"/>
  <c r="AI37" i="4"/>
  <c r="AI16" i="4"/>
  <c r="AI104" i="4"/>
  <c r="AI50" i="4"/>
  <c r="AI55" i="4"/>
  <c r="AB107" i="4"/>
  <c r="X16" i="4"/>
  <c r="C34" i="3"/>
  <c r="X55" i="4"/>
  <c r="A683" i="3"/>
  <c r="AI22" i="4"/>
  <c r="AI58" i="4"/>
  <c r="R30" i="4"/>
  <c r="S30" i="4" s="1"/>
  <c r="T30" i="4" s="1"/>
  <c r="Z107" i="4"/>
  <c r="AA107" i="4" s="1"/>
  <c r="X107" i="4"/>
  <c r="Z45" i="4"/>
  <c r="AA45" i="4" s="1"/>
  <c r="D25" i="3"/>
  <c r="R16" i="4"/>
  <c r="S16" i="4" s="1"/>
  <c r="T16" i="4" s="1"/>
  <c r="A682" i="3"/>
  <c r="D682" i="3" s="1"/>
  <c r="O16" i="4"/>
  <c r="P16" i="4" s="1"/>
  <c r="Q16" i="4" s="1"/>
  <c r="R55" i="4"/>
  <c r="S55" i="4" s="1"/>
  <c r="T55" i="4" s="1"/>
  <c r="X33" i="4"/>
  <c r="AK33" i="4"/>
  <c r="AE33" i="4"/>
  <c r="AD33" i="4"/>
  <c r="D33" i="3"/>
  <c r="D24" i="3"/>
  <c r="E58" i="1"/>
  <c r="Z16" i="4"/>
  <c r="AA16" i="4" s="1"/>
  <c r="C12" i="3"/>
  <c r="D11" i="3"/>
  <c r="C32" i="3"/>
  <c r="D13" i="3"/>
  <c r="C29" i="3"/>
  <c r="C15" i="3"/>
  <c r="U16" i="4"/>
  <c r="V16" i="4" s="1"/>
  <c r="K55" i="4"/>
  <c r="L55" i="4" s="1"/>
  <c r="N55" i="4" s="1"/>
  <c r="Z55" i="4"/>
  <c r="AA55" i="4" s="1"/>
  <c r="AB16" i="4"/>
  <c r="AI91" i="4"/>
  <c r="AB55" i="4"/>
  <c r="AH76" i="4"/>
  <c r="AH103" i="4"/>
  <c r="AH87" i="4"/>
  <c r="AH69" i="4"/>
  <c r="AH75" i="4"/>
  <c r="AH21" i="4"/>
  <c r="AH73" i="4"/>
  <c r="BB17" i="4"/>
  <c r="AH13" i="4"/>
  <c r="AH91" i="4"/>
  <c r="AH86" i="4"/>
  <c r="AH14" i="4"/>
  <c r="BB11" i="4"/>
  <c r="AH37" i="4"/>
  <c r="AH41" i="4"/>
  <c r="AH51" i="4"/>
  <c r="BB16" i="4"/>
  <c r="AH26" i="4"/>
  <c r="AH54" i="4"/>
  <c r="AH39" i="4"/>
  <c r="AH29" i="4"/>
  <c r="AH109" i="4"/>
  <c r="AH100" i="4"/>
  <c r="AH12" i="4"/>
  <c r="AH45" i="4"/>
  <c r="AH25" i="4"/>
  <c r="AH52" i="4"/>
  <c r="AH97" i="4"/>
  <c r="AH84" i="4"/>
  <c r="AH20" i="4"/>
  <c r="AH30" i="4"/>
  <c r="AH93" i="4"/>
  <c r="AH96" i="4"/>
  <c r="AH58" i="4"/>
  <c r="AH17" i="4"/>
  <c r="AH48" i="4"/>
  <c r="AH92" i="4"/>
  <c r="AH70" i="4"/>
  <c r="AH90" i="4"/>
  <c r="AH79" i="4"/>
  <c r="BB9" i="4"/>
  <c r="AH107" i="4"/>
  <c r="AH67" i="4"/>
  <c r="AH61" i="4"/>
  <c r="AH59" i="4"/>
  <c r="AH62" i="4"/>
  <c r="AH68" i="4"/>
  <c r="AH108" i="4"/>
  <c r="AH56" i="4"/>
  <c r="AH101" i="4"/>
  <c r="AH40" i="4"/>
  <c r="AH50" i="4"/>
  <c r="AH89" i="4"/>
  <c r="AH66" i="4"/>
  <c r="AH38" i="4"/>
  <c r="B72" i="4"/>
  <c r="AH74" i="4"/>
  <c r="B16" i="4"/>
  <c r="AH11" i="4"/>
  <c r="AH15" i="4"/>
  <c r="AH85" i="4"/>
  <c r="AH71" i="4"/>
  <c r="BB15" i="4"/>
  <c r="AH19" i="4"/>
  <c r="AH72" i="4"/>
  <c r="AH88" i="4"/>
  <c r="AH47" i="4"/>
  <c r="BB13" i="4"/>
  <c r="AH16" i="4"/>
  <c r="AH18" i="4"/>
  <c r="BB14" i="4"/>
  <c r="AH44" i="4"/>
  <c r="AH78" i="4"/>
  <c r="AH102" i="4"/>
  <c r="AH46" i="4"/>
  <c r="BB12" i="4"/>
  <c r="AH9" i="4"/>
  <c r="AH77" i="4"/>
  <c r="AH57" i="4"/>
  <c r="AH43" i="4"/>
  <c r="AH34" i="4"/>
  <c r="AH95" i="4"/>
  <c r="AH49" i="4"/>
  <c r="AH55" i="4"/>
  <c r="AH94" i="4"/>
  <c r="AH83" i="4"/>
  <c r="AH23" i="4"/>
  <c r="AH32" i="4"/>
  <c r="AH99" i="4"/>
  <c r="AH24" i="4"/>
  <c r="AH80" i="4"/>
  <c r="AH104" i="4"/>
  <c r="AH31" i="4"/>
  <c r="AH105" i="4"/>
  <c r="AH22" i="4"/>
  <c r="AH81" i="4"/>
  <c r="AH64" i="4"/>
  <c r="AH28" i="4"/>
  <c r="AH42" i="4"/>
  <c r="AH82" i="4"/>
  <c r="AH98" i="4"/>
  <c r="AH65" i="4"/>
  <c r="AH36" i="4"/>
  <c r="AH63" i="4"/>
  <c r="AH27" i="4"/>
  <c r="AH53" i="4"/>
  <c r="AH33" i="4"/>
  <c r="AH60" i="4"/>
  <c r="AH106" i="4"/>
  <c r="AH35" i="4"/>
  <c r="D32" i="3"/>
  <c r="C31" i="3"/>
  <c r="D16" i="3"/>
  <c r="D26" i="3"/>
  <c r="C37" i="3"/>
  <c r="D30" i="3"/>
  <c r="C36" i="3"/>
  <c r="C11" i="3"/>
  <c r="D35" i="3"/>
  <c r="D34" i="3"/>
  <c r="D20" i="3"/>
  <c r="D10" i="3"/>
  <c r="D29" i="3"/>
  <c r="D27" i="3"/>
  <c r="C10" i="3"/>
  <c r="O55" i="4"/>
  <c r="P55" i="4" s="1"/>
  <c r="Q55" i="4" s="1"/>
  <c r="U30" i="4"/>
  <c r="V30" i="4" s="1"/>
  <c r="O30" i="4"/>
  <c r="P30" i="4" s="1"/>
  <c r="Q30" i="4" s="1"/>
  <c r="U107" i="4"/>
  <c r="V107" i="4" s="1"/>
  <c r="B124" i="2"/>
  <c r="G17" i="3" s="1"/>
  <c r="H17" i="3" s="1"/>
  <c r="X27" i="4"/>
  <c r="K33" i="4"/>
  <c r="L33" i="4" s="1"/>
  <c r="N33" i="4" s="1"/>
  <c r="K30" i="4"/>
  <c r="L30" i="4" s="1"/>
  <c r="N30" i="4" s="1"/>
  <c r="R27" i="4"/>
  <c r="S27" i="4" s="1"/>
  <c r="T27" i="4" s="1"/>
  <c r="K107" i="4"/>
  <c r="L107" i="4" s="1"/>
  <c r="N107" i="4" s="1"/>
  <c r="O107" i="4"/>
  <c r="P107" i="4" s="1"/>
  <c r="Q107" i="4" s="1"/>
  <c r="Z27" i="4"/>
  <c r="AA27" i="4" s="1"/>
  <c r="AC27" i="4" s="1"/>
  <c r="AN27" i="4" s="1"/>
  <c r="K27" i="4"/>
  <c r="L27" i="4" s="1"/>
  <c r="N27" i="4" s="1"/>
  <c r="AB33" i="4"/>
  <c r="R33" i="4"/>
  <c r="S33" i="4" s="1"/>
  <c r="T33" i="4" s="1"/>
  <c r="E57" i="1"/>
  <c r="AD65" i="4"/>
  <c r="I65" i="4"/>
  <c r="AE65" i="4"/>
  <c r="AK65" i="4"/>
  <c r="C24" i="3"/>
  <c r="O27" i="4"/>
  <c r="P27" i="4" s="1"/>
  <c r="Q27" i="4" s="1"/>
  <c r="Z33" i="4"/>
  <c r="AA33" i="4" s="1"/>
  <c r="U33" i="4"/>
  <c r="V33" i="4" s="1"/>
  <c r="Z30" i="4"/>
  <c r="AA30" i="4" s="1"/>
  <c r="AC30" i="4" s="1"/>
  <c r="AN30" i="4" s="1"/>
  <c r="X30" i="4"/>
  <c r="X72" i="4"/>
  <c r="B70" i="2"/>
  <c r="E47" i="1" s="1"/>
  <c r="C49" i="16" s="1"/>
  <c r="D49" i="16" s="1"/>
  <c r="B240" i="2"/>
  <c r="C33" i="3"/>
  <c r="D23" i="3"/>
  <c r="D36" i="3"/>
  <c r="C9" i="3"/>
  <c r="C17" i="3"/>
  <c r="C16" i="3"/>
  <c r="D31" i="3"/>
  <c r="D18" i="3"/>
  <c r="C20" i="3"/>
  <c r="C18" i="3"/>
  <c r="D28" i="3"/>
  <c r="C28" i="3"/>
  <c r="C27" i="3"/>
  <c r="D15" i="3"/>
  <c r="D17" i="3"/>
  <c r="C22" i="3"/>
  <c r="C35" i="3"/>
  <c r="D19" i="3"/>
  <c r="C19" i="3"/>
  <c r="C23" i="3"/>
  <c r="D37" i="3"/>
  <c r="C14" i="3"/>
  <c r="D22" i="3"/>
  <c r="D9" i="3"/>
  <c r="C26" i="3"/>
  <c r="C30" i="3"/>
  <c r="D14" i="3"/>
  <c r="D12" i="3"/>
  <c r="C21" i="3"/>
  <c r="D21" i="3"/>
  <c r="C13" i="3"/>
  <c r="O72" i="4"/>
  <c r="P72" i="4" s="1"/>
  <c r="Q72" i="4" s="1"/>
  <c r="U72" i="4"/>
  <c r="V72" i="4" s="1"/>
  <c r="Z72" i="4"/>
  <c r="AA72" i="4" s="1"/>
  <c r="J51" i="4"/>
  <c r="Z51" i="4" s="1"/>
  <c r="AA51" i="4" s="1"/>
  <c r="AB72" i="4"/>
  <c r="K72" i="4"/>
  <c r="L72" i="4" s="1"/>
  <c r="N72" i="4" s="1"/>
  <c r="AQ38" i="3"/>
  <c r="A39" i="3"/>
  <c r="B38" i="3"/>
  <c r="AR38" i="3"/>
  <c r="C38" i="3"/>
  <c r="D38" i="3"/>
  <c r="J20" i="4"/>
  <c r="R20" i="4" s="1"/>
  <c r="S20" i="4" s="1"/>
  <c r="T20" i="4" s="1"/>
  <c r="J74" i="4"/>
  <c r="U74" i="4" s="1"/>
  <c r="V74" i="4" s="1"/>
  <c r="J28" i="4"/>
  <c r="Z28" i="4" s="1"/>
  <c r="AA28" i="4" s="1"/>
  <c r="O37" i="4"/>
  <c r="P37" i="4" s="1"/>
  <c r="Q37" i="4" s="1"/>
  <c r="AB37" i="4"/>
  <c r="Z37" i="4"/>
  <c r="AA37" i="4" s="1"/>
  <c r="X37" i="4"/>
  <c r="R37" i="4"/>
  <c r="S37" i="4" s="1"/>
  <c r="T37" i="4" s="1"/>
  <c r="K37" i="4"/>
  <c r="L37" i="4" s="1"/>
  <c r="N37" i="4" s="1"/>
  <c r="Y10" i="4" l="1"/>
  <c r="AM10" i="4" s="1"/>
  <c r="R45" i="4"/>
  <c r="S45" i="4" s="1"/>
  <c r="T45" i="4" s="1"/>
  <c r="X45" i="4"/>
  <c r="K45" i="4"/>
  <c r="L45" i="4" s="1"/>
  <c r="N45" i="4" s="1"/>
  <c r="AB45" i="4"/>
  <c r="AC45" i="4" s="1"/>
  <c r="AN45" i="4" s="1"/>
  <c r="O104" i="4"/>
  <c r="P104" i="4" s="1"/>
  <c r="Q104" i="4" s="1"/>
  <c r="O58" i="4"/>
  <c r="P58" i="4" s="1"/>
  <c r="Q58" i="4" s="1"/>
  <c r="X104" i="4"/>
  <c r="Z104" i="4"/>
  <c r="AA104" i="4" s="1"/>
  <c r="AC104" i="4" s="1"/>
  <c r="AN104" i="4" s="1"/>
  <c r="X58" i="4"/>
  <c r="K58" i="4"/>
  <c r="L58" i="4" s="1"/>
  <c r="N58" i="4" s="1"/>
  <c r="K31" i="4"/>
  <c r="L31" i="4" s="1"/>
  <c r="N31" i="4" s="1"/>
  <c r="U104" i="4"/>
  <c r="V104" i="4" s="1"/>
  <c r="R104" i="4"/>
  <c r="S104" i="4" s="1"/>
  <c r="T104" i="4" s="1"/>
  <c r="K104" i="4"/>
  <c r="L104" i="4" s="1"/>
  <c r="N104" i="4" s="1"/>
  <c r="U58" i="4"/>
  <c r="V58" i="4" s="1"/>
  <c r="AB58" i="4"/>
  <c r="Z58" i="4"/>
  <c r="AA58" i="4" s="1"/>
  <c r="R36" i="4"/>
  <c r="S36" i="4" s="1"/>
  <c r="T36" i="4" s="1"/>
  <c r="U36" i="4"/>
  <c r="V36" i="4" s="1"/>
  <c r="X36" i="4"/>
  <c r="O36" i="4"/>
  <c r="P36" i="4" s="1"/>
  <c r="Q36" i="4" s="1"/>
  <c r="U54" i="4"/>
  <c r="V54" i="4" s="1"/>
  <c r="K12" i="4"/>
  <c r="L12" i="4" s="1"/>
  <c r="N12" i="4" s="1"/>
  <c r="AB69" i="4"/>
  <c r="Z36" i="4"/>
  <c r="AA36" i="4" s="1"/>
  <c r="AB36" i="4"/>
  <c r="W93" i="4"/>
  <c r="AB77" i="4"/>
  <c r="K77" i="4"/>
  <c r="L77" i="4" s="1"/>
  <c r="N77" i="4" s="1"/>
  <c r="W67" i="4"/>
  <c r="Z77" i="4"/>
  <c r="AA77" i="4" s="1"/>
  <c r="U77" i="4"/>
  <c r="V77" i="4" s="1"/>
  <c r="X77" i="4"/>
  <c r="R77" i="4"/>
  <c r="S77" i="4" s="1"/>
  <c r="T77" i="4" s="1"/>
  <c r="AB87" i="4"/>
  <c r="AC87" i="4" s="1"/>
  <c r="AN87" i="4" s="1"/>
  <c r="AB34" i="4"/>
  <c r="R53" i="4"/>
  <c r="S53" i="4" s="1"/>
  <c r="T53" i="4" s="1"/>
  <c r="X54" i="4"/>
  <c r="Z64" i="4"/>
  <c r="AA64" i="4" s="1"/>
  <c r="U64" i="4"/>
  <c r="V64" i="4" s="1"/>
  <c r="AB64" i="4"/>
  <c r="X38" i="4"/>
  <c r="O64" i="4"/>
  <c r="P64" i="4" s="1"/>
  <c r="Q64" i="4" s="1"/>
  <c r="R64" i="4"/>
  <c r="S64" i="4" s="1"/>
  <c r="T64" i="4" s="1"/>
  <c r="R54" i="4"/>
  <c r="S54" i="4" s="1"/>
  <c r="T54" i="4" s="1"/>
  <c r="AB13" i="4"/>
  <c r="R59" i="4"/>
  <c r="S59" i="4" s="1"/>
  <c r="T59" i="4" s="1"/>
  <c r="X68" i="4"/>
  <c r="AB68" i="4"/>
  <c r="R68" i="4"/>
  <c r="S68" i="4" s="1"/>
  <c r="T68" i="4" s="1"/>
  <c r="K52" i="4"/>
  <c r="L52" i="4" s="1"/>
  <c r="N52" i="4" s="1"/>
  <c r="X24" i="4"/>
  <c r="O68" i="4"/>
  <c r="P68" i="4" s="1"/>
  <c r="Q68" i="4" s="1"/>
  <c r="Z12" i="4"/>
  <c r="AA12" i="4" s="1"/>
  <c r="K24" i="4"/>
  <c r="L24" i="4" s="1"/>
  <c r="N24" i="4" s="1"/>
  <c r="R87" i="4"/>
  <c r="S87" i="4" s="1"/>
  <c r="T87" i="4" s="1"/>
  <c r="O32" i="4"/>
  <c r="P32" i="4" s="1"/>
  <c r="Q32" i="4" s="1"/>
  <c r="X69" i="4"/>
  <c r="U32" i="4"/>
  <c r="V32" i="4" s="1"/>
  <c r="K53" i="4"/>
  <c r="L53" i="4" s="1"/>
  <c r="N53" i="4" s="1"/>
  <c r="Z94" i="4"/>
  <c r="AA94" i="4" s="1"/>
  <c r="X57" i="4"/>
  <c r="Z14" i="4"/>
  <c r="AA14" i="4" s="1"/>
  <c r="K87" i="4"/>
  <c r="L87" i="4" s="1"/>
  <c r="N87" i="4" s="1"/>
  <c r="O69" i="4"/>
  <c r="P69" i="4" s="1"/>
  <c r="Q69" i="4" s="1"/>
  <c r="R32" i="4"/>
  <c r="S32" i="4" s="1"/>
  <c r="T32" i="4" s="1"/>
  <c r="AB94" i="4"/>
  <c r="O50" i="4"/>
  <c r="P50" i="4" s="1"/>
  <c r="Q50" i="4" s="1"/>
  <c r="U57" i="4"/>
  <c r="V57" i="4" s="1"/>
  <c r="U53" i="4"/>
  <c r="V53" i="4" s="1"/>
  <c r="K39" i="4"/>
  <c r="L39" i="4" s="1"/>
  <c r="N39" i="4" s="1"/>
  <c r="R14" i="4"/>
  <c r="S14" i="4" s="1"/>
  <c r="T14" i="4" s="1"/>
  <c r="U14" i="4"/>
  <c r="V14" i="4" s="1"/>
  <c r="AB57" i="4"/>
  <c r="R39" i="4"/>
  <c r="S39" i="4" s="1"/>
  <c r="T39" i="4" s="1"/>
  <c r="U39" i="4"/>
  <c r="V39" i="4" s="1"/>
  <c r="X39" i="4"/>
  <c r="O70" i="4"/>
  <c r="P70" i="4" s="1"/>
  <c r="Q70" i="4" s="1"/>
  <c r="AB70" i="4"/>
  <c r="Z82" i="4"/>
  <c r="AA82" i="4" s="1"/>
  <c r="U82" i="4"/>
  <c r="V82" i="4" s="1"/>
  <c r="AB38" i="4"/>
  <c r="O82" i="4"/>
  <c r="P82" i="4" s="1"/>
  <c r="Q82" i="4" s="1"/>
  <c r="Z54" i="4"/>
  <c r="AA54" i="4" s="1"/>
  <c r="K64" i="4"/>
  <c r="L64" i="4" s="1"/>
  <c r="N64" i="4" s="1"/>
  <c r="X82" i="4"/>
  <c r="AB54" i="4"/>
  <c r="R13" i="4"/>
  <c r="S13" i="4" s="1"/>
  <c r="T13" i="4" s="1"/>
  <c r="K46" i="4"/>
  <c r="L46" i="4" s="1"/>
  <c r="N46" i="4" s="1"/>
  <c r="Z68" i="4"/>
  <c r="AA68" i="4" s="1"/>
  <c r="O42" i="4"/>
  <c r="P42" i="4" s="1"/>
  <c r="Q42" i="4" s="1"/>
  <c r="R35" i="4"/>
  <c r="S35" i="4" s="1"/>
  <c r="T35" i="4" s="1"/>
  <c r="AB42" i="4"/>
  <c r="AC42" i="4" s="1"/>
  <c r="AN42" i="4" s="1"/>
  <c r="K68" i="4"/>
  <c r="L68" i="4" s="1"/>
  <c r="N68" i="4" s="1"/>
  <c r="K54" i="4"/>
  <c r="L54" i="4" s="1"/>
  <c r="N54" i="4" s="1"/>
  <c r="U87" i="4"/>
  <c r="V87" i="4" s="1"/>
  <c r="X87" i="4"/>
  <c r="O87" i="4"/>
  <c r="P87" i="4" s="1"/>
  <c r="Q87" i="4" s="1"/>
  <c r="W89" i="4"/>
  <c r="R69" i="4"/>
  <c r="S69" i="4" s="1"/>
  <c r="T69" i="4" s="1"/>
  <c r="K69" i="4"/>
  <c r="L69" i="4" s="1"/>
  <c r="N69" i="4" s="1"/>
  <c r="AB32" i="4"/>
  <c r="AC32" i="4" s="1"/>
  <c r="AN32" i="4" s="1"/>
  <c r="K32" i="4"/>
  <c r="L32" i="4" s="1"/>
  <c r="N32" i="4" s="1"/>
  <c r="K84" i="4"/>
  <c r="L84" i="4" s="1"/>
  <c r="N84" i="4" s="1"/>
  <c r="X32" i="4"/>
  <c r="X94" i="4"/>
  <c r="U94" i="4"/>
  <c r="V94" i="4" s="1"/>
  <c r="R94" i="4"/>
  <c r="S94" i="4" s="1"/>
  <c r="T94" i="4" s="1"/>
  <c r="Z53" i="4"/>
  <c r="AA53" i="4" s="1"/>
  <c r="K57" i="4"/>
  <c r="L57" i="4" s="1"/>
  <c r="N57" i="4" s="1"/>
  <c r="O57" i="4"/>
  <c r="P57" i="4" s="1"/>
  <c r="Q57" i="4" s="1"/>
  <c r="Z57" i="4"/>
  <c r="AA57" i="4" s="1"/>
  <c r="K94" i="4"/>
  <c r="L94" i="4" s="1"/>
  <c r="N94" i="4" s="1"/>
  <c r="AB53" i="4"/>
  <c r="Z39" i="4"/>
  <c r="AA39" i="4" s="1"/>
  <c r="Z69" i="4"/>
  <c r="AA69" i="4" s="1"/>
  <c r="AC69" i="4" s="1"/>
  <c r="AN69" i="4" s="1"/>
  <c r="K14" i="4"/>
  <c r="L14" i="4" s="1"/>
  <c r="N14" i="4" s="1"/>
  <c r="AB14" i="4"/>
  <c r="Z61" i="4"/>
  <c r="AA61" i="4" s="1"/>
  <c r="O53" i="4"/>
  <c r="P53" i="4" s="1"/>
  <c r="Q53" i="4" s="1"/>
  <c r="AB39" i="4"/>
  <c r="X14" i="4"/>
  <c r="U61" i="4"/>
  <c r="V61" i="4" s="1"/>
  <c r="O9" i="4"/>
  <c r="P9" i="4" s="1"/>
  <c r="Q9" i="4" s="1"/>
  <c r="U9" i="4"/>
  <c r="V9" i="4" s="1"/>
  <c r="W46" i="4"/>
  <c r="O19" i="4"/>
  <c r="P19" i="4" s="1"/>
  <c r="Q19" i="4" s="1"/>
  <c r="U49" i="4"/>
  <c r="V49" i="4" s="1"/>
  <c r="X9" i="4"/>
  <c r="Z19" i="4"/>
  <c r="AA19" i="4" s="1"/>
  <c r="R49" i="4"/>
  <c r="S49" i="4" s="1"/>
  <c r="T49" i="4" s="1"/>
  <c r="AB49" i="4"/>
  <c r="O86" i="4"/>
  <c r="P86" i="4" s="1"/>
  <c r="Q86" i="4" s="1"/>
  <c r="AB19" i="4"/>
  <c r="AC19" i="4" s="1"/>
  <c r="AN19" i="4" s="1"/>
  <c r="Z102" i="4"/>
  <c r="AA102" i="4" s="1"/>
  <c r="Z24" i="4"/>
  <c r="AA24" i="4" s="1"/>
  <c r="Z86" i="4"/>
  <c r="AA86" i="4" s="1"/>
  <c r="AB24" i="4"/>
  <c r="O24" i="4"/>
  <c r="P24" i="4" s="1"/>
  <c r="Q24" i="4" s="1"/>
  <c r="Z35" i="4"/>
  <c r="AA35" i="4" s="1"/>
  <c r="K35" i="4"/>
  <c r="L35" i="4" s="1"/>
  <c r="N35" i="4" s="1"/>
  <c r="K102" i="4"/>
  <c r="L102" i="4" s="1"/>
  <c r="N102" i="4" s="1"/>
  <c r="U42" i="4"/>
  <c r="V42" i="4" s="1"/>
  <c r="O35" i="4"/>
  <c r="P35" i="4" s="1"/>
  <c r="Q35" i="4" s="1"/>
  <c r="AB90" i="4"/>
  <c r="U18" i="4"/>
  <c r="V18" i="4" s="1"/>
  <c r="R52" i="4"/>
  <c r="S52" i="4" s="1"/>
  <c r="T52" i="4" s="1"/>
  <c r="R9" i="4"/>
  <c r="S9" i="4" s="1"/>
  <c r="T9" i="4" s="1"/>
  <c r="Z9" i="4"/>
  <c r="AA9" i="4" s="1"/>
  <c r="AB9" i="4"/>
  <c r="O34" i="4"/>
  <c r="P34" i="4" s="1"/>
  <c r="Q34" i="4" s="1"/>
  <c r="X19" i="4"/>
  <c r="X49" i="4"/>
  <c r="O49" i="4"/>
  <c r="P49" i="4" s="1"/>
  <c r="Q49" i="4" s="1"/>
  <c r="Z49" i="4"/>
  <c r="AA49" i="4" s="1"/>
  <c r="U19" i="4"/>
  <c r="V19" i="4" s="1"/>
  <c r="R102" i="4"/>
  <c r="S102" i="4" s="1"/>
  <c r="T102" i="4" s="1"/>
  <c r="AB35" i="4"/>
  <c r="R24" i="4"/>
  <c r="S24" i="4" s="1"/>
  <c r="T24" i="4" s="1"/>
  <c r="X86" i="4"/>
  <c r="U102" i="4"/>
  <c r="V102" i="4" s="1"/>
  <c r="K42" i="4"/>
  <c r="L42" i="4" s="1"/>
  <c r="N42" i="4" s="1"/>
  <c r="X67" i="4"/>
  <c r="R18" i="4"/>
  <c r="S18" i="4" s="1"/>
  <c r="T18" i="4" s="1"/>
  <c r="K19" i="4"/>
  <c r="L19" i="4" s="1"/>
  <c r="N19" i="4" s="1"/>
  <c r="X42" i="4"/>
  <c r="R42" i="4"/>
  <c r="S42" i="4" s="1"/>
  <c r="T42" i="4" s="1"/>
  <c r="K18" i="4"/>
  <c r="L18" i="4" s="1"/>
  <c r="N18" i="4" s="1"/>
  <c r="U52" i="4"/>
  <c r="V52" i="4" s="1"/>
  <c r="AB52" i="4"/>
  <c r="AC52" i="4" s="1"/>
  <c r="AN52" i="4" s="1"/>
  <c r="X52" i="4"/>
  <c r="O52" i="4"/>
  <c r="P52" i="4" s="1"/>
  <c r="Q52" i="4" s="1"/>
  <c r="Z76" i="4"/>
  <c r="AA76" i="4" s="1"/>
  <c r="Z73" i="4"/>
  <c r="AA73" i="4" s="1"/>
  <c r="AC73" i="4" s="1"/>
  <c r="AN73" i="4" s="1"/>
  <c r="B682" i="3"/>
  <c r="Z105" i="4"/>
  <c r="AA105" i="4" s="1"/>
  <c r="R67" i="4"/>
  <c r="S67" i="4" s="1"/>
  <c r="T67" i="4" s="1"/>
  <c r="O18" i="4"/>
  <c r="P18" i="4" s="1"/>
  <c r="Q18" i="4" s="1"/>
  <c r="Z67" i="4"/>
  <c r="AA67" i="4" s="1"/>
  <c r="Z18" i="4"/>
  <c r="AA18" i="4" s="1"/>
  <c r="AC18" i="4" s="1"/>
  <c r="AN18" i="4" s="1"/>
  <c r="X102" i="4"/>
  <c r="U60" i="4"/>
  <c r="V60" i="4" s="1"/>
  <c r="X35" i="4"/>
  <c r="U70" i="4"/>
  <c r="V70" i="4" s="1"/>
  <c r="O12" i="4"/>
  <c r="P12" i="4" s="1"/>
  <c r="Q12" i="4" s="1"/>
  <c r="Z63" i="4"/>
  <c r="AA63" i="4" s="1"/>
  <c r="AC63" i="4" s="1"/>
  <c r="AN63" i="4" s="1"/>
  <c r="AB12" i="4"/>
  <c r="R76" i="4"/>
  <c r="S76" i="4" s="1"/>
  <c r="T76" i="4" s="1"/>
  <c r="U67" i="4"/>
  <c r="V67" i="4" s="1"/>
  <c r="U90" i="4"/>
  <c r="V90" i="4" s="1"/>
  <c r="X18" i="4"/>
  <c r="AB67" i="4"/>
  <c r="O90" i="4"/>
  <c r="P90" i="4" s="1"/>
  <c r="Q90" i="4" s="1"/>
  <c r="Z90" i="4"/>
  <c r="AA90" i="4" s="1"/>
  <c r="K67" i="4"/>
  <c r="L67" i="4" s="1"/>
  <c r="N67" i="4" s="1"/>
  <c r="K90" i="4"/>
  <c r="L90" i="4" s="1"/>
  <c r="N90" i="4" s="1"/>
  <c r="AB102" i="4"/>
  <c r="R90" i="4"/>
  <c r="S90" i="4" s="1"/>
  <c r="T90" i="4" s="1"/>
  <c r="K63" i="4"/>
  <c r="L63" i="4" s="1"/>
  <c r="N63" i="4" s="1"/>
  <c r="U63" i="4"/>
  <c r="V63" i="4" s="1"/>
  <c r="U12" i="4"/>
  <c r="V12" i="4" s="1"/>
  <c r="R12" i="4"/>
  <c r="S12" i="4" s="1"/>
  <c r="T12" i="4" s="1"/>
  <c r="X63" i="4"/>
  <c r="U76" i="4"/>
  <c r="V76" i="4" s="1"/>
  <c r="O63" i="4"/>
  <c r="P63" i="4" s="1"/>
  <c r="Q63" i="4" s="1"/>
  <c r="K76" i="4"/>
  <c r="L76" i="4" s="1"/>
  <c r="N76" i="4" s="1"/>
  <c r="AB76" i="4"/>
  <c r="O76" i="4"/>
  <c r="P76" i="4" s="1"/>
  <c r="Q76" i="4" s="1"/>
  <c r="R63" i="4"/>
  <c r="S63" i="4" s="1"/>
  <c r="T63" i="4" s="1"/>
  <c r="B49" i="2"/>
  <c r="E29" i="1" s="1"/>
  <c r="E18" i="1"/>
  <c r="U97" i="4"/>
  <c r="V97" i="4" s="1"/>
  <c r="W58" i="4"/>
  <c r="W84" i="4"/>
  <c r="W109" i="4"/>
  <c r="W11" i="4"/>
  <c r="W9" i="4"/>
  <c r="K95" i="4"/>
  <c r="L95" i="4" s="1"/>
  <c r="N95" i="4" s="1"/>
  <c r="W100" i="4"/>
  <c r="W28" i="4"/>
  <c r="W21" i="4"/>
  <c r="W44" i="4"/>
  <c r="W43" i="4"/>
  <c r="X34" i="4"/>
  <c r="X84" i="4"/>
  <c r="X73" i="4"/>
  <c r="R73" i="4"/>
  <c r="S73" i="4" s="1"/>
  <c r="T73" i="4" s="1"/>
  <c r="R84" i="4"/>
  <c r="S84" i="4" s="1"/>
  <c r="T84" i="4" s="1"/>
  <c r="R50" i="4"/>
  <c r="S50" i="4" s="1"/>
  <c r="T50" i="4" s="1"/>
  <c r="O78" i="4"/>
  <c r="P78" i="4" s="1"/>
  <c r="Q78" i="4" s="1"/>
  <c r="AB61" i="4"/>
  <c r="O61" i="4"/>
  <c r="P61" i="4" s="1"/>
  <c r="Q61" i="4" s="1"/>
  <c r="W12" i="4"/>
  <c r="Y12" i="4" s="1"/>
  <c r="AM12" i="4" s="1"/>
  <c r="X95" i="4"/>
  <c r="W59" i="4"/>
  <c r="W73" i="4"/>
  <c r="W92" i="4"/>
  <c r="W41" i="4"/>
  <c r="W37" i="4"/>
  <c r="Y37" i="4" s="1"/>
  <c r="AM37" i="4" s="1"/>
  <c r="W98" i="4"/>
  <c r="W102" i="4"/>
  <c r="W95" i="4"/>
  <c r="W74" i="4"/>
  <c r="W45" i="4"/>
  <c r="Y45" i="4" s="1"/>
  <c r="AM45" i="4" s="1"/>
  <c r="R34" i="4"/>
  <c r="S34" i="4" s="1"/>
  <c r="T34" i="4" s="1"/>
  <c r="Z34" i="4"/>
  <c r="AA34" i="4" s="1"/>
  <c r="K34" i="4"/>
  <c r="L34" i="4" s="1"/>
  <c r="N34" i="4" s="1"/>
  <c r="C682" i="3"/>
  <c r="U84" i="4"/>
  <c r="V84" i="4" s="1"/>
  <c r="AB84" i="4"/>
  <c r="Z84" i="4"/>
  <c r="AA84" i="4" s="1"/>
  <c r="U50" i="4"/>
  <c r="V50" i="4" s="1"/>
  <c r="K50" i="4"/>
  <c r="L50" i="4" s="1"/>
  <c r="N50" i="4" s="1"/>
  <c r="Z78" i="4"/>
  <c r="AA78" i="4" s="1"/>
  <c r="U78" i="4"/>
  <c r="V78" i="4" s="1"/>
  <c r="R78" i="4"/>
  <c r="S78" i="4" s="1"/>
  <c r="T78" i="4" s="1"/>
  <c r="AB105" i="4"/>
  <c r="O105" i="4"/>
  <c r="P105" i="4" s="1"/>
  <c r="Q105" i="4" s="1"/>
  <c r="O73" i="4"/>
  <c r="P73" i="4" s="1"/>
  <c r="Q73" i="4" s="1"/>
  <c r="K78" i="4"/>
  <c r="L78" i="4" s="1"/>
  <c r="N78" i="4" s="1"/>
  <c r="AB78" i="4"/>
  <c r="X61" i="4"/>
  <c r="R61" i="4"/>
  <c r="S61" i="4" s="1"/>
  <c r="T61" i="4" s="1"/>
  <c r="X50" i="4"/>
  <c r="Z50" i="4"/>
  <c r="AA50" i="4" s="1"/>
  <c r="AC50" i="4" s="1"/>
  <c r="AN50" i="4" s="1"/>
  <c r="Z70" i="4"/>
  <c r="AA70" i="4" s="1"/>
  <c r="R70" i="4"/>
  <c r="S70" i="4" s="1"/>
  <c r="T70" i="4" s="1"/>
  <c r="B71" i="1"/>
  <c r="B111" i="2"/>
  <c r="R46" i="4"/>
  <c r="S46" i="4" s="1"/>
  <c r="T46" i="4" s="1"/>
  <c r="Z46" i="4"/>
  <c r="AA46" i="4" s="1"/>
  <c r="AC46" i="4" s="1"/>
  <c r="AN46" i="4" s="1"/>
  <c r="AB41" i="4"/>
  <c r="Z41" i="4"/>
  <c r="AA41" i="4" s="1"/>
  <c r="X41" i="4"/>
  <c r="AB97" i="4"/>
  <c r="Z98" i="4"/>
  <c r="AA98" i="4" s="1"/>
  <c r="O108" i="4"/>
  <c r="P108" i="4" s="1"/>
  <c r="Q108" i="4" s="1"/>
  <c r="Z59" i="4"/>
  <c r="AA59" i="4" s="1"/>
  <c r="AC59" i="4" s="1"/>
  <c r="AN59" i="4" s="1"/>
  <c r="R98" i="4"/>
  <c r="S98" i="4" s="1"/>
  <c r="T98" i="4" s="1"/>
  <c r="K82" i="4"/>
  <c r="L82" i="4" s="1"/>
  <c r="N82" i="4" s="1"/>
  <c r="K38" i="4"/>
  <c r="L38" i="4" s="1"/>
  <c r="N38" i="4" s="1"/>
  <c r="R38" i="4"/>
  <c r="S38" i="4" s="1"/>
  <c r="T38" i="4" s="1"/>
  <c r="O38" i="4"/>
  <c r="P38" i="4" s="1"/>
  <c r="Q38" i="4" s="1"/>
  <c r="AB82" i="4"/>
  <c r="K13" i="4"/>
  <c r="L13" i="4" s="1"/>
  <c r="N13" i="4" s="1"/>
  <c r="O46" i="4"/>
  <c r="P46" i="4" s="1"/>
  <c r="Q46" i="4" s="1"/>
  <c r="R86" i="4"/>
  <c r="S86" i="4" s="1"/>
  <c r="T86" i="4" s="1"/>
  <c r="O59" i="4"/>
  <c r="P59" i="4" s="1"/>
  <c r="Q59" i="4" s="1"/>
  <c r="K59" i="4"/>
  <c r="L59" i="4" s="1"/>
  <c r="N59" i="4" s="1"/>
  <c r="U59" i="4"/>
  <c r="V59" i="4" s="1"/>
  <c r="R31" i="4"/>
  <c r="S31" i="4" s="1"/>
  <c r="T31" i="4" s="1"/>
  <c r="AB86" i="4"/>
  <c r="U86" i="4"/>
  <c r="V86" i="4" s="1"/>
  <c r="Z38" i="4"/>
  <c r="AA38" i="4" s="1"/>
  <c r="O97" i="4"/>
  <c r="P97" i="4" s="1"/>
  <c r="Q97" i="4" s="1"/>
  <c r="U46" i="4"/>
  <c r="V46" i="4" s="1"/>
  <c r="U98" i="4"/>
  <c r="V98" i="4" s="1"/>
  <c r="K98" i="4"/>
  <c r="L98" i="4" s="1"/>
  <c r="N98" i="4" s="1"/>
  <c r="K41" i="4"/>
  <c r="L41" i="4" s="1"/>
  <c r="N41" i="4" s="1"/>
  <c r="Z97" i="4"/>
  <c r="AA97" i="4" s="1"/>
  <c r="K97" i="4"/>
  <c r="L97" i="4" s="1"/>
  <c r="N97" i="4" s="1"/>
  <c r="X46" i="4"/>
  <c r="X97" i="4"/>
  <c r="X59" i="4"/>
  <c r="X98" i="4"/>
  <c r="X79" i="4"/>
  <c r="E60" i="1"/>
  <c r="W42" i="4"/>
  <c r="K60" i="4"/>
  <c r="L60" i="4" s="1"/>
  <c r="N60" i="4" s="1"/>
  <c r="B112" i="2"/>
  <c r="B113" i="2" s="1"/>
  <c r="X70" i="4"/>
  <c r="K73" i="4"/>
  <c r="L73" i="4" s="1"/>
  <c r="N73" i="4" s="1"/>
  <c r="R95" i="4"/>
  <c r="S95" i="4" s="1"/>
  <c r="T95" i="4" s="1"/>
  <c r="X11" i="4"/>
  <c r="Z13" i="4"/>
  <c r="AA13" i="4" s="1"/>
  <c r="O31" i="4"/>
  <c r="P31" i="4" s="1"/>
  <c r="Q31" i="4" s="1"/>
  <c r="U13" i="4"/>
  <c r="V13" i="4" s="1"/>
  <c r="Z31" i="4"/>
  <c r="AA31" i="4" s="1"/>
  <c r="AC31" i="4" s="1"/>
  <c r="AN31" i="4" s="1"/>
  <c r="R105" i="4"/>
  <c r="S105" i="4" s="1"/>
  <c r="T105" i="4" s="1"/>
  <c r="U31" i="4"/>
  <c r="V31" i="4" s="1"/>
  <c r="X108" i="4"/>
  <c r="U41" i="4"/>
  <c r="V41" i="4" s="1"/>
  <c r="AB98" i="4"/>
  <c r="O41" i="4"/>
  <c r="P41" i="4" s="1"/>
  <c r="Q41" i="4" s="1"/>
  <c r="X13" i="4"/>
  <c r="Z60" i="4"/>
  <c r="AA60" i="4" s="1"/>
  <c r="AC60" i="4" s="1"/>
  <c r="AN60" i="4" s="1"/>
  <c r="X31" i="4"/>
  <c r="Z43" i="4"/>
  <c r="AA43" i="4" s="1"/>
  <c r="AC75" i="4"/>
  <c r="AN75" i="4" s="1"/>
  <c r="O95" i="4"/>
  <c r="P95" i="4" s="1"/>
  <c r="Q95" i="4" s="1"/>
  <c r="AB95" i="4"/>
  <c r="AC95" i="4" s="1"/>
  <c r="AN95" i="4" s="1"/>
  <c r="AB11" i="4"/>
  <c r="U95" i="4"/>
  <c r="V95" i="4" s="1"/>
  <c r="U11" i="4"/>
  <c r="V11" i="4" s="1"/>
  <c r="X44" i="4"/>
  <c r="U105" i="4"/>
  <c r="V105" i="4" s="1"/>
  <c r="U73" i="4"/>
  <c r="V73" i="4" s="1"/>
  <c r="X105" i="4"/>
  <c r="O60" i="4"/>
  <c r="P60" i="4" s="1"/>
  <c r="Q60" i="4" s="1"/>
  <c r="X60" i="4"/>
  <c r="R60" i="4"/>
  <c r="S60" i="4" s="1"/>
  <c r="T60" i="4" s="1"/>
  <c r="R7" i="8"/>
  <c r="S7" i="8" s="1"/>
  <c r="S27" i="8" s="1"/>
  <c r="C71" i="1" s="1"/>
  <c r="D71" i="1" s="1"/>
  <c r="W56" i="4"/>
  <c r="W25" i="4"/>
  <c r="W54" i="4"/>
  <c r="W70" i="4"/>
  <c r="W82" i="4"/>
  <c r="W108" i="4"/>
  <c r="W69" i="4"/>
  <c r="W26" i="4"/>
  <c r="W48" i="4"/>
  <c r="W53" i="4"/>
  <c r="W18" i="4"/>
  <c r="W22" i="4"/>
  <c r="W106" i="4"/>
  <c r="W79" i="4"/>
  <c r="W38" i="4"/>
  <c r="W15" i="4"/>
  <c r="W49" i="4"/>
  <c r="W87" i="4"/>
  <c r="W104" i="4"/>
  <c r="W24" i="4"/>
  <c r="W19" i="4"/>
  <c r="W94" i="4"/>
  <c r="W34" i="4"/>
  <c r="W88" i="4"/>
  <c r="B61" i="2"/>
  <c r="E40" i="1" s="1"/>
  <c r="X62" i="4"/>
  <c r="O62" i="4"/>
  <c r="P62" i="4" s="1"/>
  <c r="Q62" i="4" s="1"/>
  <c r="Z62" i="4"/>
  <c r="AA62" i="4" s="1"/>
  <c r="AC62" i="4" s="1"/>
  <c r="AN62" i="4" s="1"/>
  <c r="W57" i="4"/>
  <c r="W40" i="4"/>
  <c r="W72" i="4"/>
  <c r="Y72" i="4" s="1"/>
  <c r="AM72" i="4" s="1"/>
  <c r="W13" i="4"/>
  <c r="W107" i="4"/>
  <c r="Y107" i="4" s="1"/>
  <c r="AM107" i="4" s="1"/>
  <c r="W76" i="4"/>
  <c r="W86" i="4"/>
  <c r="W51" i="4"/>
  <c r="W78" i="4"/>
  <c r="W63" i="4"/>
  <c r="W97" i="4"/>
  <c r="W30" i="4"/>
  <c r="Y30" i="4" s="1"/>
  <c r="AM30" i="4" s="1"/>
  <c r="W105" i="4"/>
  <c r="W36" i="4"/>
  <c r="W80" i="4"/>
  <c r="W81" i="4"/>
  <c r="W27" i="4"/>
  <c r="Y27" i="4" s="1"/>
  <c r="AM27" i="4" s="1"/>
  <c r="W32" i="4"/>
  <c r="W17" i="4"/>
  <c r="W20" i="4"/>
  <c r="W29" i="4"/>
  <c r="W33" i="4"/>
  <c r="Y33" i="4" s="1"/>
  <c r="AM33" i="4" s="1"/>
  <c r="W39" i="4"/>
  <c r="W61" i="4"/>
  <c r="W103" i="4"/>
  <c r="W77" i="4"/>
  <c r="W91" i="4"/>
  <c r="W47" i="4"/>
  <c r="W50" i="4"/>
  <c r="W52" i="4"/>
  <c r="W99" i="4"/>
  <c r="Y99" i="4" s="1"/>
  <c r="AM99" i="4" s="1"/>
  <c r="W62" i="4"/>
  <c r="W60" i="4"/>
  <c r="W68" i="4"/>
  <c r="W83" i="4"/>
  <c r="W35" i="4"/>
  <c r="W66" i="4"/>
  <c r="W31" i="4"/>
  <c r="W71" i="4"/>
  <c r="W55" i="4"/>
  <c r="Y55" i="4" s="1"/>
  <c r="AM55" i="4" s="1"/>
  <c r="W16" i="4"/>
  <c r="Y16" i="4" s="1"/>
  <c r="AM16" i="4" s="1"/>
  <c r="W64" i="4"/>
  <c r="W23" i="4"/>
  <c r="W65" i="4"/>
  <c r="W75" i="4"/>
  <c r="Y75" i="4" s="1"/>
  <c r="AM75" i="4" s="1"/>
  <c r="W96" i="4"/>
  <c r="W85" i="4"/>
  <c r="W101" i="4"/>
  <c r="W90" i="4"/>
  <c r="O66" i="4"/>
  <c r="P66" i="4" s="1"/>
  <c r="Q66" i="4" s="1"/>
  <c r="R66" i="4"/>
  <c r="S66" i="4" s="1"/>
  <c r="T66" i="4" s="1"/>
  <c r="B135" i="2"/>
  <c r="W14" i="4"/>
  <c r="O109" i="4"/>
  <c r="P109" i="4" s="1"/>
  <c r="Q109" i="4" s="1"/>
  <c r="U79" i="4"/>
  <c r="V79" i="4" s="1"/>
  <c r="Z79" i="4"/>
  <c r="AA79" i="4" s="1"/>
  <c r="K11" i="4"/>
  <c r="L11" i="4" s="1"/>
  <c r="N11" i="4" s="1"/>
  <c r="Z11" i="4"/>
  <c r="AA11" i="4" s="1"/>
  <c r="O11" i="4"/>
  <c r="P11" i="4" s="1"/>
  <c r="Q11" i="4" s="1"/>
  <c r="B137" i="2"/>
  <c r="Z66" i="4"/>
  <c r="AA66" i="4" s="1"/>
  <c r="K62" i="4"/>
  <c r="L62" i="4" s="1"/>
  <c r="N62" i="4" s="1"/>
  <c r="AB66" i="4"/>
  <c r="R62" i="4"/>
  <c r="S62" i="4" s="1"/>
  <c r="T62" i="4" s="1"/>
  <c r="U66" i="4"/>
  <c r="V66" i="4" s="1"/>
  <c r="K66" i="4"/>
  <c r="L66" i="4" s="1"/>
  <c r="N66" i="4" s="1"/>
  <c r="U109" i="4"/>
  <c r="V109" i="4" s="1"/>
  <c r="Z109" i="4"/>
  <c r="AA109" i="4" s="1"/>
  <c r="U62" i="4"/>
  <c r="V62" i="4" s="1"/>
  <c r="R79" i="4"/>
  <c r="S79" i="4" s="1"/>
  <c r="T79" i="4" s="1"/>
  <c r="AB79" i="4"/>
  <c r="O79" i="4"/>
  <c r="P79" i="4" s="1"/>
  <c r="Q79" i="4" s="1"/>
  <c r="R108" i="4"/>
  <c r="S108" i="4" s="1"/>
  <c r="T108" i="4" s="1"/>
  <c r="O44" i="4"/>
  <c r="P44" i="4" s="1"/>
  <c r="Q44" i="4" s="1"/>
  <c r="K108" i="4"/>
  <c r="L108" i="4" s="1"/>
  <c r="N108" i="4" s="1"/>
  <c r="O106" i="4"/>
  <c r="P106" i="4" s="1"/>
  <c r="Q106" i="4" s="1"/>
  <c r="U108" i="4"/>
  <c r="V108" i="4" s="1"/>
  <c r="R43" i="4"/>
  <c r="S43" i="4" s="1"/>
  <c r="T43" i="4" s="1"/>
  <c r="X43" i="4"/>
  <c r="AC107" i="4"/>
  <c r="AN107" i="4" s="1"/>
  <c r="K44" i="4"/>
  <c r="L44" i="4" s="1"/>
  <c r="N44" i="4" s="1"/>
  <c r="Z44" i="4"/>
  <c r="AA44" i="4" s="1"/>
  <c r="AC44" i="4" s="1"/>
  <c r="AN44" i="4" s="1"/>
  <c r="U44" i="4"/>
  <c r="V44" i="4" s="1"/>
  <c r="AB108" i="4"/>
  <c r="AC108" i="4" s="1"/>
  <c r="AN108" i="4" s="1"/>
  <c r="K106" i="4"/>
  <c r="L106" i="4" s="1"/>
  <c r="N106" i="4" s="1"/>
  <c r="Z106" i="4"/>
  <c r="AA106" i="4" s="1"/>
  <c r="U106" i="4"/>
  <c r="V106" i="4" s="1"/>
  <c r="X106" i="4"/>
  <c r="AB43" i="4"/>
  <c r="AB106" i="4"/>
  <c r="R25" i="4"/>
  <c r="S25" i="4" s="1"/>
  <c r="T25" i="4" s="1"/>
  <c r="Z25" i="4"/>
  <c r="AA25" i="4" s="1"/>
  <c r="AC25" i="4" s="1"/>
  <c r="AN25" i="4" s="1"/>
  <c r="R44" i="4"/>
  <c r="S44" i="4" s="1"/>
  <c r="T44" i="4" s="1"/>
  <c r="U43" i="4"/>
  <c r="V43" i="4" s="1"/>
  <c r="K43" i="4"/>
  <c r="L43" i="4" s="1"/>
  <c r="N43" i="4" s="1"/>
  <c r="R109" i="4"/>
  <c r="S109" i="4" s="1"/>
  <c r="T109" i="4" s="1"/>
  <c r="B75" i="4"/>
  <c r="B76" i="4" s="1"/>
  <c r="B68" i="4"/>
  <c r="B69" i="4" s="1"/>
  <c r="K109" i="4"/>
  <c r="L109" i="4" s="1"/>
  <c r="N109" i="4" s="1"/>
  <c r="AB109" i="4"/>
  <c r="AQ682" i="3"/>
  <c r="AC16" i="4"/>
  <c r="AN16" i="4" s="1"/>
  <c r="B58" i="2"/>
  <c r="E43" i="1" s="1"/>
  <c r="K25" i="4"/>
  <c r="L25" i="4" s="1"/>
  <c r="N25" i="4" s="1"/>
  <c r="X25" i="4"/>
  <c r="G36" i="3"/>
  <c r="H36" i="3" s="1"/>
  <c r="BN36" i="3" s="1"/>
  <c r="B15" i="6"/>
  <c r="G11" i="3"/>
  <c r="H11" i="3" s="1"/>
  <c r="BN11" i="3" s="1"/>
  <c r="F18" i="3"/>
  <c r="F25" i="3"/>
  <c r="BM25" i="3" s="1"/>
  <c r="B51" i="2"/>
  <c r="E31" i="1" s="1"/>
  <c r="B63" i="2"/>
  <c r="E42" i="1" s="1"/>
  <c r="F38" i="3"/>
  <c r="BM38" i="3" s="1"/>
  <c r="F24" i="3"/>
  <c r="BM24" i="3" s="1"/>
  <c r="G31" i="3"/>
  <c r="H31" i="3" s="1"/>
  <c r="BN31" i="3" s="1"/>
  <c r="G24" i="3"/>
  <c r="H24" i="3" s="1"/>
  <c r="BN24" i="3" s="1"/>
  <c r="G27" i="3"/>
  <c r="H27" i="3" s="1"/>
  <c r="BN27" i="3" s="1"/>
  <c r="U25" i="4"/>
  <c r="V25" i="4" s="1"/>
  <c r="O25" i="4"/>
  <c r="P25" i="4" s="1"/>
  <c r="Q25" i="4" s="1"/>
  <c r="G12" i="3"/>
  <c r="H12" i="3" s="1"/>
  <c r="BN12" i="3" s="1"/>
  <c r="G26" i="3"/>
  <c r="H26" i="3" s="1"/>
  <c r="BN26" i="3" s="1"/>
  <c r="F37" i="3"/>
  <c r="BM37" i="3" s="1"/>
  <c r="F35" i="3"/>
  <c r="BM35" i="3" s="1"/>
  <c r="B3" i="6"/>
  <c r="B34" i="2"/>
  <c r="B36" i="2" s="1"/>
  <c r="R22" i="8" s="1"/>
  <c r="S22" i="8" s="1"/>
  <c r="E22" i="1" s="1"/>
  <c r="C59" i="16" s="1"/>
  <c r="D59" i="16" s="1"/>
  <c r="B48" i="2"/>
  <c r="E34" i="1" s="1"/>
  <c r="E33" i="1"/>
  <c r="F32" i="3"/>
  <c r="BM32" i="3" s="1"/>
  <c r="E17" i="1"/>
  <c r="G16" i="3"/>
  <c r="H16" i="3" s="1"/>
  <c r="BN16" i="3" s="1"/>
  <c r="B16" i="6"/>
  <c r="G133" i="2"/>
  <c r="AR682" i="3"/>
  <c r="G683" i="3"/>
  <c r="H683" i="3" s="1"/>
  <c r="AR683" i="3"/>
  <c r="AQ683" i="3"/>
  <c r="B683" i="3"/>
  <c r="D683" i="3"/>
  <c r="C683" i="3"/>
  <c r="AC55" i="4"/>
  <c r="AN55" i="4" s="1"/>
  <c r="F683" i="3"/>
  <c r="F15" i="3"/>
  <c r="BM15" i="3" s="1"/>
  <c r="G14" i="3"/>
  <c r="H14" i="3" s="1"/>
  <c r="F11" i="3"/>
  <c r="BM11" i="3" s="1"/>
  <c r="F22" i="3"/>
  <c r="BM22" i="3" s="1"/>
  <c r="G33" i="3"/>
  <c r="H33" i="3" s="1"/>
  <c r="BN33" i="3" s="1"/>
  <c r="F16" i="3"/>
  <c r="BM16" i="3" s="1"/>
  <c r="G23" i="3"/>
  <c r="H23" i="3" s="1"/>
  <c r="BN23" i="3" s="1"/>
  <c r="G34" i="3"/>
  <c r="H34" i="3" s="1"/>
  <c r="BN34" i="3" s="1"/>
  <c r="F27" i="3"/>
  <c r="BM27" i="3" s="1"/>
  <c r="G18" i="3"/>
  <c r="H18" i="3" s="1"/>
  <c r="BN18" i="3" s="1"/>
  <c r="F30" i="3"/>
  <c r="G38" i="3"/>
  <c r="H38" i="3" s="1"/>
  <c r="BN38" i="3" s="1"/>
  <c r="F682" i="3"/>
  <c r="G682" i="3"/>
  <c r="H682" i="3" s="1"/>
  <c r="F26" i="3"/>
  <c r="G13" i="3"/>
  <c r="H13" i="3" s="1"/>
  <c r="BN13" i="3" s="1"/>
  <c r="G29" i="3"/>
  <c r="H29" i="3" s="1"/>
  <c r="BN29" i="3" s="1"/>
  <c r="G32" i="3"/>
  <c r="H32" i="3" s="1"/>
  <c r="BN32" i="3" s="1"/>
  <c r="F20" i="3"/>
  <c r="BM20" i="3" s="1"/>
  <c r="G22" i="3"/>
  <c r="H22" i="3" s="1"/>
  <c r="BN22" i="3" s="1"/>
  <c r="F13" i="3"/>
  <c r="BM13" i="3" s="1"/>
  <c r="G20" i="3"/>
  <c r="H20" i="3" s="1"/>
  <c r="BN20" i="3" s="1"/>
  <c r="F19" i="3"/>
  <c r="BM19" i="3" s="1"/>
  <c r="F21" i="3"/>
  <c r="BM21" i="3" s="1"/>
  <c r="G19" i="3"/>
  <c r="H19" i="3" s="1"/>
  <c r="BN19" i="3" s="1"/>
  <c r="G28" i="3"/>
  <c r="H28" i="3" s="1"/>
  <c r="BN28" i="3" s="1"/>
  <c r="F34" i="3"/>
  <c r="BM34" i="3" s="1"/>
  <c r="G10" i="3"/>
  <c r="H10" i="3" s="1"/>
  <c r="BN10" i="3" s="1"/>
  <c r="G21" i="3"/>
  <c r="H21" i="3" s="1"/>
  <c r="BN21" i="3" s="1"/>
  <c r="G25" i="3"/>
  <c r="H25" i="3" s="1"/>
  <c r="BN25" i="3" s="1"/>
  <c r="F12" i="3"/>
  <c r="BM12" i="3" s="1"/>
  <c r="F9" i="3"/>
  <c r="BM9" i="3" s="1"/>
  <c r="F17" i="3"/>
  <c r="BM17" i="3" s="1"/>
  <c r="F14" i="3"/>
  <c r="BM14" i="3" s="1"/>
  <c r="G15" i="3"/>
  <c r="H15" i="3" s="1"/>
  <c r="BN15" i="3" s="1"/>
  <c r="F10" i="3"/>
  <c r="BM10" i="3" s="1"/>
  <c r="G35" i="3"/>
  <c r="H35" i="3" s="1"/>
  <c r="BN35" i="3" s="1"/>
  <c r="F33" i="3"/>
  <c r="F31" i="3"/>
  <c r="BM31" i="3" s="1"/>
  <c r="F29" i="3"/>
  <c r="BN17" i="3"/>
  <c r="F28" i="3"/>
  <c r="BM28" i="3" s="1"/>
  <c r="F36" i="3"/>
  <c r="BM36" i="3" s="1"/>
  <c r="G9" i="3"/>
  <c r="H9" i="3" s="1"/>
  <c r="G37" i="3"/>
  <c r="H37" i="3" s="1"/>
  <c r="G30" i="3"/>
  <c r="H30" i="3" s="1"/>
  <c r="BN30" i="3" s="1"/>
  <c r="F23" i="3"/>
  <c r="AC33" i="4"/>
  <c r="AN33" i="4" s="1"/>
  <c r="E62" i="1"/>
  <c r="BI14" i="4"/>
  <c r="BL14" i="4"/>
  <c r="BF14" i="4"/>
  <c r="BE14" i="4"/>
  <c r="BD14" i="4"/>
  <c r="BC14" i="4"/>
  <c r="BK14" i="4"/>
  <c r="BG14" i="4"/>
  <c r="BH14" i="4"/>
  <c r="BJ14" i="4"/>
  <c r="BD15" i="4"/>
  <c r="BH15" i="4"/>
  <c r="BK15" i="4"/>
  <c r="BL15" i="4"/>
  <c r="BE15" i="4"/>
  <c r="BJ15" i="4"/>
  <c r="BI15" i="4"/>
  <c r="BF15" i="4"/>
  <c r="BG15" i="4"/>
  <c r="BC15" i="4"/>
  <c r="BH9" i="4"/>
  <c r="BE9" i="4"/>
  <c r="BG9" i="4"/>
  <c r="BC9" i="4"/>
  <c r="BJ9" i="4"/>
  <c r="BL9" i="4"/>
  <c r="BF9" i="4"/>
  <c r="BK9" i="4"/>
  <c r="BI9" i="4"/>
  <c r="BD9" i="4"/>
  <c r="BF16" i="4"/>
  <c r="BL16" i="4"/>
  <c r="BD16" i="4"/>
  <c r="BJ16" i="4"/>
  <c r="BK16" i="4"/>
  <c r="BH16" i="4"/>
  <c r="BG16" i="4"/>
  <c r="BE16" i="4"/>
  <c r="BC16" i="4"/>
  <c r="BI16" i="4"/>
  <c r="BE11" i="4"/>
  <c r="BI11" i="4"/>
  <c r="BL11" i="4"/>
  <c r="BJ11" i="4"/>
  <c r="BG11" i="4"/>
  <c r="BH11" i="4"/>
  <c r="BD11" i="4"/>
  <c r="BF11" i="4"/>
  <c r="BK11" i="4"/>
  <c r="BC11" i="4"/>
  <c r="BG12" i="4"/>
  <c r="BE12" i="4"/>
  <c r="BD12" i="4"/>
  <c r="BI12" i="4"/>
  <c r="BC12" i="4"/>
  <c r="BH12" i="4"/>
  <c r="BL12" i="4"/>
  <c r="BJ12" i="4"/>
  <c r="BK12" i="4"/>
  <c r="BF12" i="4"/>
  <c r="BJ13" i="4"/>
  <c r="BD13" i="4"/>
  <c r="BC13" i="4"/>
  <c r="BE13" i="4"/>
  <c r="BL13" i="4"/>
  <c r="BF13" i="4"/>
  <c r="BI13" i="4"/>
  <c r="BK13" i="4"/>
  <c r="BG13" i="4"/>
  <c r="BH13" i="4"/>
  <c r="BF17" i="4"/>
  <c r="BK17" i="4"/>
  <c r="BH17" i="4"/>
  <c r="BJ17" i="4"/>
  <c r="BI17" i="4"/>
  <c r="BG17" i="4"/>
  <c r="BC17" i="4"/>
  <c r="BL17" i="4"/>
  <c r="BD17" i="4"/>
  <c r="BE17" i="4"/>
  <c r="K17" i="4"/>
  <c r="L17" i="4" s="1"/>
  <c r="N17" i="4" s="1"/>
  <c r="X17" i="4"/>
  <c r="O17" i="4"/>
  <c r="P17" i="4" s="1"/>
  <c r="Q17" i="4" s="1"/>
  <c r="U17" i="4"/>
  <c r="V17" i="4" s="1"/>
  <c r="AB17" i="4"/>
  <c r="Z17" i="4"/>
  <c r="AA17" i="4" s="1"/>
  <c r="J65" i="4"/>
  <c r="U65" i="4" s="1"/>
  <c r="V65" i="4" s="1"/>
  <c r="Z47" i="4"/>
  <c r="AA47" i="4" s="1"/>
  <c r="O47" i="4"/>
  <c r="P47" i="4" s="1"/>
  <c r="Q47" i="4" s="1"/>
  <c r="AB47" i="4"/>
  <c r="R47" i="4"/>
  <c r="S47" i="4" s="1"/>
  <c r="T47" i="4" s="1"/>
  <c r="K47" i="4"/>
  <c r="L47" i="4" s="1"/>
  <c r="N47" i="4" s="1"/>
  <c r="X47" i="4"/>
  <c r="O101" i="4"/>
  <c r="P101" i="4" s="1"/>
  <c r="Q101" i="4" s="1"/>
  <c r="K101" i="4"/>
  <c r="L101" i="4" s="1"/>
  <c r="N101" i="4" s="1"/>
  <c r="AB101" i="4"/>
  <c r="AC101" i="4" s="1"/>
  <c r="AN101" i="4" s="1"/>
  <c r="X101" i="4"/>
  <c r="R101" i="4"/>
  <c r="S101" i="4" s="1"/>
  <c r="T101" i="4" s="1"/>
  <c r="U101" i="4"/>
  <c r="V101" i="4" s="1"/>
  <c r="X100" i="4"/>
  <c r="AB100" i="4"/>
  <c r="K100" i="4"/>
  <c r="L100" i="4" s="1"/>
  <c r="N100" i="4" s="1"/>
  <c r="Z100" i="4"/>
  <c r="AA100" i="4" s="1"/>
  <c r="O100" i="4"/>
  <c r="P100" i="4" s="1"/>
  <c r="Q100" i="4" s="1"/>
  <c r="U100" i="4"/>
  <c r="V100" i="4" s="1"/>
  <c r="AC72" i="4"/>
  <c r="AN72" i="4" s="1"/>
  <c r="Z80" i="4"/>
  <c r="AA80" i="4" s="1"/>
  <c r="X80" i="4"/>
  <c r="U80" i="4"/>
  <c r="V80" i="4" s="1"/>
  <c r="K80" i="4"/>
  <c r="L80" i="4" s="1"/>
  <c r="N80" i="4" s="1"/>
  <c r="O80" i="4"/>
  <c r="P80" i="4" s="1"/>
  <c r="Q80" i="4" s="1"/>
  <c r="AB80" i="4"/>
  <c r="U15" i="4"/>
  <c r="V15" i="4" s="1"/>
  <c r="X15" i="4"/>
  <c r="K15" i="4"/>
  <c r="L15" i="4" s="1"/>
  <c r="N15" i="4" s="1"/>
  <c r="O15" i="4"/>
  <c r="P15" i="4" s="1"/>
  <c r="Q15" i="4" s="1"/>
  <c r="R15" i="4"/>
  <c r="S15" i="4" s="1"/>
  <c r="T15" i="4" s="1"/>
  <c r="AB15" i="4"/>
  <c r="AC15" i="4" s="1"/>
  <c r="AN15" i="4" s="1"/>
  <c r="R80" i="4"/>
  <c r="S80" i="4" s="1"/>
  <c r="T80" i="4" s="1"/>
  <c r="R29" i="4"/>
  <c r="S29" i="4" s="1"/>
  <c r="T29" i="4" s="1"/>
  <c r="R89" i="4"/>
  <c r="S89" i="4" s="1"/>
  <c r="T89" i="4" s="1"/>
  <c r="Z40" i="4"/>
  <c r="AA40" i="4" s="1"/>
  <c r="U88" i="4"/>
  <c r="V88" i="4" s="1"/>
  <c r="U71" i="4"/>
  <c r="V71" i="4" s="1"/>
  <c r="R28" i="4"/>
  <c r="S28" i="4" s="1"/>
  <c r="T28" i="4" s="1"/>
  <c r="Z74" i="4"/>
  <c r="AA74" i="4" s="1"/>
  <c r="Z26" i="4"/>
  <c r="AA26" i="4" s="1"/>
  <c r="U56" i="4"/>
  <c r="V56" i="4" s="1"/>
  <c r="R92" i="4"/>
  <c r="S92" i="4" s="1"/>
  <c r="T92" i="4" s="1"/>
  <c r="U103" i="4"/>
  <c r="V103" i="4" s="1"/>
  <c r="U89" i="4"/>
  <c r="V89" i="4" s="1"/>
  <c r="R81" i="4"/>
  <c r="S81" i="4" s="1"/>
  <c r="T81" i="4" s="1"/>
  <c r="Z103" i="4"/>
  <c r="AA103" i="4" s="1"/>
  <c r="R91" i="4"/>
  <c r="S91" i="4" s="1"/>
  <c r="T91" i="4" s="1"/>
  <c r="R21" i="4"/>
  <c r="S21" i="4" s="1"/>
  <c r="T21" i="4" s="1"/>
  <c r="R71" i="4"/>
  <c r="S71" i="4" s="1"/>
  <c r="T71" i="4" s="1"/>
  <c r="U28" i="4"/>
  <c r="V28" i="4" s="1"/>
  <c r="R74" i="4"/>
  <c r="S74" i="4" s="1"/>
  <c r="T74" i="4" s="1"/>
  <c r="U26" i="4"/>
  <c r="V26" i="4" s="1"/>
  <c r="R56" i="4"/>
  <c r="S56" i="4" s="1"/>
  <c r="T56" i="4" s="1"/>
  <c r="U83" i="4"/>
  <c r="V83" i="4" s="1"/>
  <c r="R51" i="4"/>
  <c r="S51" i="4" s="1"/>
  <c r="T51" i="4" s="1"/>
  <c r="AB71" i="4"/>
  <c r="AC71" i="4" s="1"/>
  <c r="AN71" i="4" s="1"/>
  <c r="K71" i="4"/>
  <c r="L71" i="4" s="1"/>
  <c r="N71" i="4" s="1"/>
  <c r="X71" i="4"/>
  <c r="O71" i="4"/>
  <c r="P71" i="4" s="1"/>
  <c r="Q71" i="4" s="1"/>
  <c r="K28" i="4"/>
  <c r="L28" i="4" s="1"/>
  <c r="N28" i="4" s="1"/>
  <c r="X28" i="4"/>
  <c r="O28" i="4"/>
  <c r="P28" i="4" s="1"/>
  <c r="Q28" i="4" s="1"/>
  <c r="AB28" i="4"/>
  <c r="AC28" i="4" s="1"/>
  <c r="AN28" i="4" s="1"/>
  <c r="O74" i="4"/>
  <c r="P74" i="4" s="1"/>
  <c r="Q74" i="4" s="1"/>
  <c r="AB74" i="4"/>
  <c r="K74" i="4"/>
  <c r="L74" i="4" s="1"/>
  <c r="N74" i="4" s="1"/>
  <c r="X74" i="4"/>
  <c r="O26" i="4"/>
  <c r="P26" i="4" s="1"/>
  <c r="Q26" i="4" s="1"/>
  <c r="X26" i="4"/>
  <c r="AB26" i="4"/>
  <c r="K26" i="4"/>
  <c r="L26" i="4" s="1"/>
  <c r="N26" i="4" s="1"/>
  <c r="O56" i="4"/>
  <c r="P56" i="4" s="1"/>
  <c r="Q56" i="4" s="1"/>
  <c r="AB56" i="4"/>
  <c r="AC56" i="4" s="1"/>
  <c r="AN56" i="4" s="1"/>
  <c r="K56" i="4"/>
  <c r="L56" i="4" s="1"/>
  <c r="N56" i="4" s="1"/>
  <c r="X56" i="4"/>
  <c r="O92" i="4"/>
  <c r="P92" i="4" s="1"/>
  <c r="Q92" i="4" s="1"/>
  <c r="X92" i="4"/>
  <c r="AB92" i="4"/>
  <c r="AC92" i="4" s="1"/>
  <c r="AN92" i="4" s="1"/>
  <c r="K92" i="4"/>
  <c r="L92" i="4" s="1"/>
  <c r="N92" i="4" s="1"/>
  <c r="U92" i="4"/>
  <c r="V92" i="4" s="1"/>
  <c r="K103" i="4"/>
  <c r="L103" i="4" s="1"/>
  <c r="N103" i="4" s="1"/>
  <c r="X103" i="4"/>
  <c r="O103" i="4"/>
  <c r="P103" i="4" s="1"/>
  <c r="Q103" i="4" s="1"/>
  <c r="AB103" i="4"/>
  <c r="U29" i="4"/>
  <c r="V29" i="4" s="1"/>
  <c r="AC37" i="4"/>
  <c r="AN37" i="4" s="1"/>
  <c r="R40" i="4"/>
  <c r="S40" i="4" s="1"/>
  <c r="T40" i="4" s="1"/>
  <c r="R88" i="4"/>
  <c r="S88" i="4" s="1"/>
  <c r="T88" i="4" s="1"/>
  <c r="U21" i="4"/>
  <c r="V21" i="4" s="1"/>
  <c r="Z91" i="4"/>
  <c r="AA91" i="4" s="1"/>
  <c r="Z83" i="4"/>
  <c r="AA83" i="4" s="1"/>
  <c r="U51" i="4"/>
  <c r="V51" i="4" s="1"/>
  <c r="O40" i="4"/>
  <c r="P40" i="4" s="1"/>
  <c r="Q40" i="4" s="1"/>
  <c r="X40" i="4"/>
  <c r="AB40" i="4"/>
  <c r="K40" i="4"/>
  <c r="L40" i="4" s="1"/>
  <c r="N40" i="4" s="1"/>
  <c r="AB88" i="4"/>
  <c r="AC88" i="4" s="1"/>
  <c r="AN88" i="4" s="1"/>
  <c r="O88" i="4"/>
  <c r="P88" i="4" s="1"/>
  <c r="Q88" i="4" s="1"/>
  <c r="X88" i="4"/>
  <c r="K88" i="4"/>
  <c r="L88" i="4" s="1"/>
  <c r="N88" i="4" s="1"/>
  <c r="X21" i="4"/>
  <c r="O21" i="4"/>
  <c r="P21" i="4" s="1"/>
  <c r="Q21" i="4" s="1"/>
  <c r="AB21" i="4"/>
  <c r="AC21" i="4" s="1"/>
  <c r="AN21" i="4" s="1"/>
  <c r="K21" i="4"/>
  <c r="L21" i="4" s="1"/>
  <c r="N21" i="4" s="1"/>
  <c r="O20" i="4"/>
  <c r="P20" i="4" s="1"/>
  <c r="Q20" i="4" s="1"/>
  <c r="X20" i="4"/>
  <c r="K20" i="4"/>
  <c r="L20" i="4" s="1"/>
  <c r="N20" i="4" s="1"/>
  <c r="U20" i="4"/>
  <c r="V20" i="4" s="1"/>
  <c r="AB20" i="4"/>
  <c r="O91" i="4"/>
  <c r="P91" i="4" s="1"/>
  <c r="Q91" i="4" s="1"/>
  <c r="X91" i="4"/>
  <c r="K91" i="4"/>
  <c r="L91" i="4" s="1"/>
  <c r="N91" i="4" s="1"/>
  <c r="AB91" i="4"/>
  <c r="AQ39" i="3"/>
  <c r="AR39" i="3"/>
  <c r="B39" i="3"/>
  <c r="A40" i="3"/>
  <c r="D39" i="3"/>
  <c r="C39" i="3"/>
  <c r="G39" i="3"/>
  <c r="H39" i="3" s="1"/>
  <c r="F39" i="3"/>
  <c r="U85" i="4"/>
  <c r="V85" i="4" s="1"/>
  <c r="O85" i="4"/>
  <c r="P85" i="4" s="1"/>
  <c r="Q85" i="4" s="1"/>
  <c r="K85" i="4"/>
  <c r="L85" i="4" s="1"/>
  <c r="N85" i="4" s="1"/>
  <c r="Z85" i="4"/>
  <c r="AA85" i="4" s="1"/>
  <c r="AB85" i="4"/>
  <c r="X85" i="4"/>
  <c r="AB83" i="4"/>
  <c r="X83" i="4"/>
  <c r="K83" i="4"/>
  <c r="L83" i="4" s="1"/>
  <c r="N83" i="4" s="1"/>
  <c r="O83" i="4"/>
  <c r="P83" i="4" s="1"/>
  <c r="Q83" i="4" s="1"/>
  <c r="AB51" i="4"/>
  <c r="AC51" i="4" s="1"/>
  <c r="AN51" i="4" s="1"/>
  <c r="K51" i="4"/>
  <c r="L51" i="4" s="1"/>
  <c r="N51" i="4" s="1"/>
  <c r="O51" i="4"/>
  <c r="P51" i="4" s="1"/>
  <c r="Q51" i="4" s="1"/>
  <c r="X51" i="4"/>
  <c r="Z20" i="4"/>
  <c r="AA20" i="4" s="1"/>
  <c r="X96" i="4"/>
  <c r="K96" i="4"/>
  <c r="L96" i="4" s="1"/>
  <c r="N96" i="4" s="1"/>
  <c r="AB96" i="4"/>
  <c r="O96" i="4"/>
  <c r="P96" i="4" s="1"/>
  <c r="Q96" i="4" s="1"/>
  <c r="K48" i="4"/>
  <c r="L48" i="4" s="1"/>
  <c r="N48" i="4" s="1"/>
  <c r="X48" i="4"/>
  <c r="O48" i="4"/>
  <c r="P48" i="4" s="1"/>
  <c r="Q48" i="4" s="1"/>
  <c r="AB48" i="4"/>
  <c r="K29" i="4"/>
  <c r="L29" i="4" s="1"/>
  <c r="N29" i="4" s="1"/>
  <c r="X29" i="4"/>
  <c r="AB29" i="4"/>
  <c r="AC29" i="4" s="1"/>
  <c r="AN29" i="4" s="1"/>
  <c r="O29" i="4"/>
  <c r="P29" i="4" s="1"/>
  <c r="Q29" i="4" s="1"/>
  <c r="K89" i="4"/>
  <c r="L89" i="4" s="1"/>
  <c r="N89" i="4" s="1"/>
  <c r="AB89" i="4"/>
  <c r="AC89" i="4" s="1"/>
  <c r="AN89" i="4" s="1"/>
  <c r="O89" i="4"/>
  <c r="P89" i="4" s="1"/>
  <c r="Q89" i="4" s="1"/>
  <c r="X89" i="4"/>
  <c r="Z23" i="4"/>
  <c r="AA23" i="4" s="1"/>
  <c r="R22" i="4"/>
  <c r="S22" i="4" s="1"/>
  <c r="T22" i="4" s="1"/>
  <c r="Z93" i="4"/>
  <c r="AA93" i="4" s="1"/>
  <c r="Z96" i="4"/>
  <c r="AA96" i="4" s="1"/>
  <c r="U96" i="4"/>
  <c r="V96" i="4" s="1"/>
  <c r="U23" i="4"/>
  <c r="V23" i="4" s="1"/>
  <c r="U22" i="4"/>
  <c r="V22" i="4" s="1"/>
  <c r="U48" i="4"/>
  <c r="V48" i="4" s="1"/>
  <c r="Z48" i="4"/>
  <c r="AA48" i="4" s="1"/>
  <c r="U93" i="4"/>
  <c r="V93" i="4" s="1"/>
  <c r="U81" i="4"/>
  <c r="V81" i="4" s="1"/>
  <c r="X23" i="4"/>
  <c r="O23" i="4"/>
  <c r="P23" i="4" s="1"/>
  <c r="Q23" i="4" s="1"/>
  <c r="AB23" i="4"/>
  <c r="K23" i="4"/>
  <c r="L23" i="4" s="1"/>
  <c r="N23" i="4" s="1"/>
  <c r="K22" i="4"/>
  <c r="L22" i="4" s="1"/>
  <c r="N22" i="4" s="1"/>
  <c r="AB22" i="4"/>
  <c r="AC22" i="4" s="1"/>
  <c r="AN22" i="4" s="1"/>
  <c r="X22" i="4"/>
  <c r="O22" i="4"/>
  <c r="P22" i="4" s="1"/>
  <c r="Q22" i="4" s="1"/>
  <c r="X93" i="4"/>
  <c r="O93" i="4"/>
  <c r="P93" i="4" s="1"/>
  <c r="Q93" i="4" s="1"/>
  <c r="K93" i="4"/>
  <c r="L93" i="4" s="1"/>
  <c r="N93" i="4" s="1"/>
  <c r="AB93" i="4"/>
  <c r="AB81" i="4"/>
  <c r="AC81" i="4" s="1"/>
  <c r="AN81" i="4" s="1"/>
  <c r="O81" i="4"/>
  <c r="P81" i="4" s="1"/>
  <c r="Q81" i="4" s="1"/>
  <c r="X81" i="4"/>
  <c r="K81" i="4"/>
  <c r="L81" i="4" s="1"/>
  <c r="N81" i="4" s="1"/>
  <c r="R48" i="4"/>
  <c r="S48" i="4" s="1"/>
  <c r="T48" i="4" s="1"/>
  <c r="AC35" i="4" l="1"/>
  <c r="AN35" i="4" s="1"/>
  <c r="Y109" i="4"/>
  <c r="AM109" i="4" s="1"/>
  <c r="AC94" i="4"/>
  <c r="AN94" i="4" s="1"/>
  <c r="AC24" i="4"/>
  <c r="AN24" i="4" s="1"/>
  <c r="AC66" i="4"/>
  <c r="AN66" i="4" s="1"/>
  <c r="AC39" i="4"/>
  <c r="AN39" i="4" s="1"/>
  <c r="AC64" i="4"/>
  <c r="AN64" i="4" s="1"/>
  <c r="AJ10" i="4"/>
  <c r="AL10" i="4" s="1"/>
  <c r="AP10" i="4" s="1"/>
  <c r="C57" i="16"/>
  <c r="D57" i="16" s="1"/>
  <c r="Y104" i="4"/>
  <c r="AJ104" i="4" s="1"/>
  <c r="AL104" i="4" s="1"/>
  <c r="AP104" i="4" s="1"/>
  <c r="Y36" i="4"/>
  <c r="AM36" i="4" s="1"/>
  <c r="AC12" i="4"/>
  <c r="AN12" i="4" s="1"/>
  <c r="AC58" i="4"/>
  <c r="AN58" i="4" s="1"/>
  <c r="Y59" i="4"/>
  <c r="AM59" i="4" s="1"/>
  <c r="Y98" i="4"/>
  <c r="AM98" i="4" s="1"/>
  <c r="Y58" i="4"/>
  <c r="AM58" i="4" s="1"/>
  <c r="Y64" i="4"/>
  <c r="AM64" i="4" s="1"/>
  <c r="Y68" i="4"/>
  <c r="AM68" i="4" s="1"/>
  <c r="Y24" i="4"/>
  <c r="AM24" i="4" s="1"/>
  <c r="Y53" i="4"/>
  <c r="AM53" i="4" s="1"/>
  <c r="AC38" i="4"/>
  <c r="AN38" i="4" s="1"/>
  <c r="AC82" i="4"/>
  <c r="AN82" i="4" s="1"/>
  <c r="AC68" i="4"/>
  <c r="AN68" i="4" s="1"/>
  <c r="AC36" i="4"/>
  <c r="AN36" i="4" s="1"/>
  <c r="Y14" i="4"/>
  <c r="AM14" i="4" s="1"/>
  <c r="AC13" i="4"/>
  <c r="AN13" i="4" s="1"/>
  <c r="AC34" i="4"/>
  <c r="AN34" i="4" s="1"/>
  <c r="AC67" i="4"/>
  <c r="AN67" i="4" s="1"/>
  <c r="Y13" i="4"/>
  <c r="AM13" i="4" s="1"/>
  <c r="AC105" i="4"/>
  <c r="AN105" i="4" s="1"/>
  <c r="AC14" i="4"/>
  <c r="AN14" i="4" s="1"/>
  <c r="A230" i="2"/>
  <c r="C62" i="16"/>
  <c r="D62" i="16" s="1"/>
  <c r="AC77" i="4"/>
  <c r="AN77" i="4" s="1"/>
  <c r="Y77" i="4"/>
  <c r="AM77" i="4" s="1"/>
  <c r="BM39" i="3"/>
  <c r="Y54" i="4"/>
  <c r="AM54" i="4" s="1"/>
  <c r="Y39" i="4"/>
  <c r="AM39" i="4" s="1"/>
  <c r="Y57" i="4"/>
  <c r="AM57" i="4" s="1"/>
  <c r="Y38" i="4"/>
  <c r="AM38" i="4" s="1"/>
  <c r="Y69" i="4"/>
  <c r="AM69" i="4" s="1"/>
  <c r="AC53" i="4"/>
  <c r="AN53" i="4" s="1"/>
  <c r="AC57" i="4"/>
  <c r="AN57" i="4" s="1"/>
  <c r="Y32" i="4"/>
  <c r="AM32" i="4" s="1"/>
  <c r="Y94" i="4"/>
  <c r="AJ94" i="4" s="1"/>
  <c r="AL94" i="4" s="1"/>
  <c r="AP94" i="4" s="1"/>
  <c r="Y87" i="4"/>
  <c r="AM87" i="4" s="1"/>
  <c r="AC70" i="4"/>
  <c r="AN70" i="4" s="1"/>
  <c r="AC54" i="4"/>
  <c r="AN54" i="4" s="1"/>
  <c r="Y82" i="4"/>
  <c r="AM82" i="4" s="1"/>
  <c r="AC61" i="4"/>
  <c r="AN61" i="4" s="1"/>
  <c r="AC86" i="4"/>
  <c r="AN86" i="4" s="1"/>
  <c r="Y9" i="4"/>
  <c r="AM9" i="4" s="1"/>
  <c r="Y42" i="4"/>
  <c r="AJ42" i="4" s="1"/>
  <c r="AL42" i="4" s="1"/>
  <c r="AP42" i="4" s="1"/>
  <c r="Y74" i="4"/>
  <c r="AM74" i="4" s="1"/>
  <c r="Y70" i="4"/>
  <c r="AM70" i="4" s="1"/>
  <c r="AC90" i="4"/>
  <c r="AN90" i="4" s="1"/>
  <c r="Y20" i="4"/>
  <c r="AM20" i="4" s="1"/>
  <c r="Y40" i="4"/>
  <c r="AM40" i="4" s="1"/>
  <c r="Y90" i="4"/>
  <c r="AM90" i="4" s="1"/>
  <c r="Y49" i="4"/>
  <c r="AM49" i="4" s="1"/>
  <c r="Y46" i="4"/>
  <c r="AM46" i="4" s="1"/>
  <c r="AC76" i="4"/>
  <c r="AN76" i="4" s="1"/>
  <c r="AC102" i="4"/>
  <c r="AN102" i="4" s="1"/>
  <c r="Y84" i="4"/>
  <c r="AM84" i="4" s="1"/>
  <c r="AC9" i="4"/>
  <c r="AN9" i="4" s="1"/>
  <c r="Y78" i="4"/>
  <c r="AM78" i="4" s="1"/>
  <c r="Y19" i="4"/>
  <c r="AM19" i="4" s="1"/>
  <c r="Y18" i="4"/>
  <c r="AM18" i="4" s="1"/>
  <c r="AC49" i="4"/>
  <c r="AN49" i="4" s="1"/>
  <c r="Y95" i="4"/>
  <c r="AM95" i="4" s="1"/>
  <c r="Y76" i="4"/>
  <c r="AM76" i="4" s="1"/>
  <c r="Y63" i="4"/>
  <c r="AJ63" i="4" s="1"/>
  <c r="AL63" i="4" s="1"/>
  <c r="AP63" i="4" s="1"/>
  <c r="Y67" i="4"/>
  <c r="Y35" i="4"/>
  <c r="AM35" i="4" s="1"/>
  <c r="Y52" i="4"/>
  <c r="AJ52" i="4" s="1"/>
  <c r="AL52" i="4" s="1"/>
  <c r="AP52" i="4" s="1"/>
  <c r="Y102" i="4"/>
  <c r="AM102" i="4" s="1"/>
  <c r="Y61" i="4"/>
  <c r="AM61" i="4" s="1"/>
  <c r="Y34" i="4"/>
  <c r="AM34" i="4" s="1"/>
  <c r="Y73" i="4"/>
  <c r="AJ73" i="4" s="1"/>
  <c r="AL73" i="4" s="1"/>
  <c r="AP73" i="4" s="1"/>
  <c r="AC11" i="4"/>
  <c r="AN11" i="4" s="1"/>
  <c r="AC79" i="4"/>
  <c r="AN79" i="4" s="1"/>
  <c r="Y62" i="4"/>
  <c r="AM62" i="4" s="1"/>
  <c r="Y44" i="4"/>
  <c r="AM44" i="4" s="1"/>
  <c r="Y50" i="4"/>
  <c r="AM50" i="4" s="1"/>
  <c r="Y97" i="4"/>
  <c r="AM97" i="4" s="1"/>
  <c r="Y86" i="4"/>
  <c r="AM86" i="4" s="1"/>
  <c r="AC97" i="4"/>
  <c r="AN97" i="4" s="1"/>
  <c r="AC78" i="4"/>
  <c r="AN78" i="4" s="1"/>
  <c r="AJ75" i="4"/>
  <c r="AL75" i="4" s="1"/>
  <c r="AP75" i="4" s="1"/>
  <c r="AC84" i="4"/>
  <c r="AN84" i="4" s="1"/>
  <c r="AC41" i="4"/>
  <c r="AN41" i="4" s="1"/>
  <c r="Y60" i="4"/>
  <c r="AM60" i="4" s="1"/>
  <c r="Y11" i="4"/>
  <c r="AM11" i="4" s="1"/>
  <c r="AC98" i="4"/>
  <c r="AN98" i="4" s="1"/>
  <c r="AC43" i="4"/>
  <c r="AN43" i="4" s="1"/>
  <c r="Y31" i="4"/>
  <c r="AM31" i="4" s="1"/>
  <c r="Y105" i="4"/>
  <c r="AM105" i="4" s="1"/>
  <c r="Y41" i="4"/>
  <c r="AM41" i="4" s="1"/>
  <c r="Y47" i="4"/>
  <c r="AM47" i="4" s="1"/>
  <c r="Y79" i="4"/>
  <c r="R8" i="8"/>
  <c r="S8" i="8" s="1"/>
  <c r="S30" i="8" s="1"/>
  <c r="C74" i="1" s="1"/>
  <c r="D74" i="1" s="1"/>
  <c r="Y108" i="4"/>
  <c r="AM108" i="4" s="1"/>
  <c r="AC109" i="4"/>
  <c r="AN109" i="4" s="1"/>
  <c r="Y91" i="4"/>
  <c r="AM91" i="4" s="1"/>
  <c r="BN14" i="3"/>
  <c r="Y66" i="4"/>
  <c r="AM66" i="4" s="1"/>
  <c r="B37" i="2"/>
  <c r="R5" i="8" s="1"/>
  <c r="S5" i="8" s="1"/>
  <c r="Y17" i="4"/>
  <c r="AM17" i="4" s="1"/>
  <c r="AJ99" i="4"/>
  <c r="AL99" i="4" s="1"/>
  <c r="AP99" i="4" s="1"/>
  <c r="AC106" i="4"/>
  <c r="AN106" i="4" s="1"/>
  <c r="AJ16" i="4"/>
  <c r="AL16" i="4" s="1"/>
  <c r="AP16" i="4" s="1"/>
  <c r="B72" i="1"/>
  <c r="Y43" i="4"/>
  <c r="AM43" i="4" s="1"/>
  <c r="Y106" i="4"/>
  <c r="AM106" i="4" s="1"/>
  <c r="B235" i="2"/>
  <c r="BM30" i="3"/>
  <c r="Y25" i="4"/>
  <c r="AM25" i="4" s="1"/>
  <c r="AJ107" i="4"/>
  <c r="AL107" i="4" s="1"/>
  <c r="AP107" i="4" s="1"/>
  <c r="BM18" i="3"/>
  <c r="AJ30" i="4"/>
  <c r="AL30" i="4" s="1"/>
  <c r="AP30" i="4" s="1"/>
  <c r="C199" i="2"/>
  <c r="B199" i="2" s="1"/>
  <c r="B200" i="2" s="1"/>
  <c r="C79" i="4"/>
  <c r="B79" i="4" s="1"/>
  <c r="B80" i="4" s="1"/>
  <c r="B70" i="4"/>
  <c r="BM29" i="3"/>
  <c r="B74" i="1"/>
  <c r="C3" i="8"/>
  <c r="C159" i="8" s="1"/>
  <c r="C158" i="8" s="1"/>
  <c r="C157" i="8" s="1"/>
  <c r="C156" i="8" s="1"/>
  <c r="C155" i="8" s="1"/>
  <c r="C154" i="8" s="1"/>
  <c r="C153" i="8" s="1"/>
  <c r="C152" i="8" s="1"/>
  <c r="C151" i="8" s="1"/>
  <c r="C150" i="8" s="1"/>
  <c r="C149" i="8" s="1"/>
  <c r="C148" i="8" s="1"/>
  <c r="C147" i="8" s="1"/>
  <c r="C146" i="8" s="1"/>
  <c r="C145" i="8" s="1"/>
  <c r="C144" i="8" s="1"/>
  <c r="C143" i="8" s="1"/>
  <c r="C142" i="8" s="1"/>
  <c r="C141" i="8" s="1"/>
  <c r="C140" i="8" s="1"/>
  <c r="C139" i="8" s="1"/>
  <c r="C138" i="8" s="1"/>
  <c r="C137" i="8" s="1"/>
  <c r="C136" i="8" s="1"/>
  <c r="C135" i="8" s="1"/>
  <c r="C134" i="8" s="1"/>
  <c r="C133" i="8" s="1"/>
  <c r="C132" i="8" s="1"/>
  <c r="C131" i="8" s="1"/>
  <c r="C130" i="8" s="1"/>
  <c r="C129" i="8" s="1"/>
  <c r="C128" i="8" s="1"/>
  <c r="C127" i="8" s="1"/>
  <c r="C126" i="8" s="1"/>
  <c r="C125" i="8" s="1"/>
  <c r="C124" i="8" s="1"/>
  <c r="C123" i="8" s="1"/>
  <c r="C122" i="8" s="1"/>
  <c r="C121" i="8" s="1"/>
  <c r="C120" i="8" s="1"/>
  <c r="C119" i="8" s="1"/>
  <c r="C118" i="8" s="1"/>
  <c r="C117" i="8" s="1"/>
  <c r="C116" i="8" s="1"/>
  <c r="C115" i="8" s="1"/>
  <c r="C114" i="8" s="1"/>
  <c r="C113" i="8" s="1"/>
  <c r="C112" i="8" s="1"/>
  <c r="C111" i="8" s="1"/>
  <c r="C110" i="8" s="1"/>
  <c r="C109" i="8" s="1"/>
  <c r="C108" i="8" s="1"/>
  <c r="C107" i="8" s="1"/>
  <c r="C106" i="8" s="1"/>
  <c r="C105" i="8" s="1"/>
  <c r="C104" i="8" s="1"/>
  <c r="C103" i="8" s="1"/>
  <c r="C102" i="8" s="1"/>
  <c r="C101" i="8" s="1"/>
  <c r="C100" i="8" s="1"/>
  <c r="C99" i="8" s="1"/>
  <c r="C98" i="8" s="1"/>
  <c r="C97" i="8" s="1"/>
  <c r="C96" i="8" s="1"/>
  <c r="C95" i="8" s="1"/>
  <c r="C94" i="8" s="1"/>
  <c r="C93" i="8" s="1"/>
  <c r="C92" i="8" s="1"/>
  <c r="C91" i="8" s="1"/>
  <c r="C90" i="8" s="1"/>
  <c r="C89" i="8" s="1"/>
  <c r="C88" i="8" s="1"/>
  <c r="C87" i="8" s="1"/>
  <c r="C86" i="8" s="1"/>
  <c r="C85" i="8" s="1"/>
  <c r="C84" i="8" s="1"/>
  <c r="C83" i="8" s="1"/>
  <c r="C82" i="8" s="1"/>
  <c r="C81" i="8" s="1"/>
  <c r="C80" i="8" s="1"/>
  <c r="C79" i="8" s="1"/>
  <c r="C78" i="8" s="1"/>
  <c r="C77" i="8" s="1"/>
  <c r="C76" i="8" s="1"/>
  <c r="C75" i="8" s="1"/>
  <c r="C74" i="8" s="1"/>
  <c r="C73" i="8" s="1"/>
  <c r="C72" i="8" s="1"/>
  <c r="C71" i="8" s="1"/>
  <c r="C70" i="8" s="1"/>
  <c r="C69" i="8" s="1"/>
  <c r="C68" i="8" s="1"/>
  <c r="C67" i="8" s="1"/>
  <c r="C66" i="8" s="1"/>
  <c r="C65" i="8" s="1"/>
  <c r="C64" i="8" s="1"/>
  <c r="C63" i="8" s="1"/>
  <c r="C62" i="8" s="1"/>
  <c r="C61" i="8" s="1"/>
  <c r="C60" i="8" s="1"/>
  <c r="C59" i="8" s="1"/>
  <c r="C58" i="8" s="1"/>
  <c r="C57" i="8" s="1"/>
  <c r="C56" i="8" s="1"/>
  <c r="C55" i="8" s="1"/>
  <c r="C54" i="8" s="1"/>
  <c r="C53" i="8" s="1"/>
  <c r="C52" i="8" s="1"/>
  <c r="C51" i="8" s="1"/>
  <c r="C50" i="8" s="1"/>
  <c r="C49" i="8" s="1"/>
  <c r="C48" i="8" s="1"/>
  <c r="C47" i="8" s="1"/>
  <c r="C46" i="8" s="1"/>
  <c r="C45" i="8" s="1"/>
  <c r="C44" i="8" s="1"/>
  <c r="C43" i="8" s="1"/>
  <c r="C42" i="8" s="1"/>
  <c r="C41" i="8" s="1"/>
  <c r="C40" i="8" s="1"/>
  <c r="C39" i="8" s="1"/>
  <c r="C38" i="8" s="1"/>
  <c r="C37" i="8" s="1"/>
  <c r="C36" i="8" s="1"/>
  <c r="C35" i="8" s="1"/>
  <c r="C34" i="8" s="1"/>
  <c r="C33" i="8" s="1"/>
  <c r="C32" i="8" s="1"/>
  <c r="C31" i="8" s="1"/>
  <c r="C30" i="8" s="1"/>
  <c r="C29" i="8" s="1"/>
  <c r="C28" i="8" s="1"/>
  <c r="C27" i="8" s="1"/>
  <c r="C26" i="8" s="1"/>
  <c r="C25" i="8" s="1"/>
  <c r="C24" i="8" s="1"/>
  <c r="C23" i="8" s="1"/>
  <c r="C22" i="8" s="1"/>
  <c r="C21" i="8" s="1"/>
  <c r="C20" i="8" s="1"/>
  <c r="C19" i="8" s="1"/>
  <c r="C18" i="8" s="1"/>
  <c r="C17" i="8" s="1"/>
  <c r="C16" i="8" s="1"/>
  <c r="C15" i="8" s="1"/>
  <c r="C14" i="8" s="1"/>
  <c r="C13" i="8" s="1"/>
  <c r="C12" i="8" s="1"/>
  <c r="C11" i="8" s="1"/>
  <c r="C10" i="8" s="1"/>
  <c r="C9" i="8" s="1"/>
  <c r="C8" i="8" s="1"/>
  <c r="C7" i="8" s="1"/>
  <c r="C6" i="8" s="1"/>
  <c r="C4" i="8" s="1"/>
  <c r="S28" i="8" s="1"/>
  <c r="C72" i="1" s="1"/>
  <c r="D72" i="1" s="1"/>
  <c r="R27" i="8"/>
  <c r="AC93" i="4"/>
  <c r="AN93" i="4" s="1"/>
  <c r="Y22" i="4"/>
  <c r="AM22" i="4" s="1"/>
  <c r="BM33" i="3"/>
  <c r="AJ27" i="4"/>
  <c r="AL27" i="4" s="1"/>
  <c r="AP27" i="4" s="1"/>
  <c r="BN37" i="3"/>
  <c r="AJ55" i="4"/>
  <c r="AL55" i="4" s="1"/>
  <c r="AP55" i="4" s="1"/>
  <c r="BM23" i="3"/>
  <c r="AJ33" i="4"/>
  <c r="AL33" i="4" s="1"/>
  <c r="AP33" i="4" s="1"/>
  <c r="BM26" i="3"/>
  <c r="BN9" i="3"/>
  <c r="AJ45" i="4"/>
  <c r="AL45" i="4" s="1"/>
  <c r="AP45" i="4" s="1"/>
  <c r="Y88" i="4"/>
  <c r="AM88" i="4" s="1"/>
  <c r="Z65" i="4"/>
  <c r="AA65" i="4" s="1"/>
  <c r="R65" i="4"/>
  <c r="S65" i="4" s="1"/>
  <c r="T65" i="4" s="1"/>
  <c r="Y101" i="4"/>
  <c r="AM101" i="4" s="1"/>
  <c r="AC17" i="4"/>
  <c r="AB65" i="4"/>
  <c r="K65" i="4"/>
  <c r="L65" i="4" s="1"/>
  <c r="N65" i="4" s="1"/>
  <c r="O65" i="4"/>
  <c r="P65" i="4" s="1"/>
  <c r="Q65" i="4" s="1"/>
  <c r="X65" i="4"/>
  <c r="Y65" i="4" s="1"/>
  <c r="AM65" i="4" s="1"/>
  <c r="Y100" i="4"/>
  <c r="AM100" i="4" s="1"/>
  <c r="AC47" i="4"/>
  <c r="AN47" i="4" s="1"/>
  <c r="Y83" i="4"/>
  <c r="AM83" i="4" s="1"/>
  <c r="Y26" i="4"/>
  <c r="AM26" i="4" s="1"/>
  <c r="AC100" i="4"/>
  <c r="AN100" i="4" s="1"/>
  <c r="Y89" i="4"/>
  <c r="AM89" i="4" s="1"/>
  <c r="Y29" i="4"/>
  <c r="AM29" i="4" s="1"/>
  <c r="AC26" i="4"/>
  <c r="AN26" i="4" s="1"/>
  <c r="AJ72" i="4"/>
  <c r="AL72" i="4" s="1"/>
  <c r="AP72" i="4" s="1"/>
  <c r="Y28" i="4"/>
  <c r="AM28" i="4" s="1"/>
  <c r="AJ37" i="4"/>
  <c r="AL37" i="4" s="1"/>
  <c r="AP37" i="4" s="1"/>
  <c r="Y15" i="4"/>
  <c r="AM15" i="4" s="1"/>
  <c r="Y80" i="4"/>
  <c r="AM80" i="4" s="1"/>
  <c r="AC103" i="4"/>
  <c r="AN103" i="4" s="1"/>
  <c r="Y103" i="4"/>
  <c r="AM103" i="4" s="1"/>
  <c r="AC74" i="4"/>
  <c r="AN74" i="4" s="1"/>
  <c r="AC80" i="4"/>
  <c r="AN80" i="4" s="1"/>
  <c r="Y85" i="4"/>
  <c r="AM85" i="4" s="1"/>
  <c r="AC91" i="4"/>
  <c r="AN91" i="4" s="1"/>
  <c r="Y93" i="4"/>
  <c r="AM93" i="4" s="1"/>
  <c r="AC23" i="4"/>
  <c r="AN23" i="4" s="1"/>
  <c r="Y23" i="4"/>
  <c r="AM23" i="4" s="1"/>
  <c r="Y56" i="4"/>
  <c r="AM56" i="4" s="1"/>
  <c r="Y71" i="4"/>
  <c r="AM71" i="4" s="1"/>
  <c r="AC40" i="4"/>
  <c r="AN40" i="4" s="1"/>
  <c r="AC83" i="4"/>
  <c r="AN83" i="4" s="1"/>
  <c r="Y92" i="4"/>
  <c r="AM92" i="4" s="1"/>
  <c r="Y81" i="4"/>
  <c r="AM81" i="4" s="1"/>
  <c r="Y21" i="4"/>
  <c r="AM21" i="4" s="1"/>
  <c r="AR40" i="3"/>
  <c r="B40" i="3"/>
  <c r="AQ40" i="3"/>
  <c r="A41" i="3"/>
  <c r="D40" i="3"/>
  <c r="C40" i="3"/>
  <c r="G40" i="3"/>
  <c r="H40" i="3" s="1"/>
  <c r="F40" i="3"/>
  <c r="AC85" i="4"/>
  <c r="AN85" i="4" s="1"/>
  <c r="BN39" i="3"/>
  <c r="AC20" i="4"/>
  <c r="AN20" i="4" s="1"/>
  <c r="Y51" i="4"/>
  <c r="AM51" i="4" s="1"/>
  <c r="AC48" i="4"/>
  <c r="AN48" i="4" s="1"/>
  <c r="Y48" i="4"/>
  <c r="AM48" i="4" s="1"/>
  <c r="AC96" i="4"/>
  <c r="AN96" i="4" s="1"/>
  <c r="Y96" i="4"/>
  <c r="AM96" i="4" s="1"/>
  <c r="AJ108" i="4" l="1"/>
  <c r="AL108" i="4" s="1"/>
  <c r="AP108" i="4" s="1"/>
  <c r="BM40" i="3"/>
  <c r="C58" i="16"/>
  <c r="D58" i="16" s="1"/>
  <c r="B116" i="2"/>
  <c r="A224" i="2" s="1"/>
  <c r="C41" i="16"/>
  <c r="D41" i="16" s="1"/>
  <c r="A211" i="2"/>
  <c r="B211" i="2"/>
  <c r="AJ24" i="4"/>
  <c r="AL24" i="4" s="1"/>
  <c r="AP24" i="4" s="1"/>
  <c r="AJ70" i="4"/>
  <c r="AL70" i="4" s="1"/>
  <c r="AP70" i="4" s="1"/>
  <c r="AM104" i="4"/>
  <c r="AJ39" i="4"/>
  <c r="AL39" i="4" s="1"/>
  <c r="AP39" i="4" s="1"/>
  <c r="AJ59" i="4"/>
  <c r="AL59" i="4" s="1"/>
  <c r="AP59" i="4" s="1"/>
  <c r="AJ12" i="4"/>
  <c r="AL12" i="4" s="1"/>
  <c r="AP12" i="4" s="1"/>
  <c r="AJ14" i="4"/>
  <c r="AL14" i="4" s="1"/>
  <c r="AP14" i="4" s="1"/>
  <c r="AJ58" i="4"/>
  <c r="AL58" i="4" s="1"/>
  <c r="AP58" i="4" s="1"/>
  <c r="AJ18" i="4"/>
  <c r="AL18" i="4" s="1"/>
  <c r="AP18" i="4" s="1"/>
  <c r="AJ36" i="4"/>
  <c r="AL36" i="4" s="1"/>
  <c r="AP36" i="4" s="1"/>
  <c r="AJ68" i="4"/>
  <c r="AL68" i="4" s="1"/>
  <c r="AP68" i="4" s="1"/>
  <c r="AJ64" i="4"/>
  <c r="AL64" i="4" s="1"/>
  <c r="AP64" i="4" s="1"/>
  <c r="AJ67" i="4"/>
  <c r="AL67" i="4" s="1"/>
  <c r="AP67" i="4" s="1"/>
  <c r="AJ69" i="4"/>
  <c r="AL69" i="4" s="1"/>
  <c r="AP69" i="4" s="1"/>
  <c r="AJ13" i="4"/>
  <c r="AL13" i="4" s="1"/>
  <c r="AP13" i="4" s="1"/>
  <c r="AJ77" i="4"/>
  <c r="AL77" i="4" s="1"/>
  <c r="AP77" i="4" s="1"/>
  <c r="AJ82" i="4"/>
  <c r="AL82" i="4" s="1"/>
  <c r="AP82" i="4" s="1"/>
  <c r="AJ38" i="4"/>
  <c r="AL38" i="4" s="1"/>
  <c r="AP38" i="4" s="1"/>
  <c r="AJ32" i="4"/>
  <c r="AL32" i="4" s="1"/>
  <c r="AP32" i="4" s="1"/>
  <c r="AM94" i="4"/>
  <c r="AM73" i="4"/>
  <c r="AJ57" i="4"/>
  <c r="AL57" i="4" s="1"/>
  <c r="AP57" i="4" s="1"/>
  <c r="AJ54" i="4"/>
  <c r="AL54" i="4" s="1"/>
  <c r="AP54" i="4" s="1"/>
  <c r="AJ53" i="4"/>
  <c r="AL53" i="4" s="1"/>
  <c r="AP53" i="4" s="1"/>
  <c r="AJ87" i="4"/>
  <c r="AL87" i="4" s="1"/>
  <c r="AP87" i="4" s="1"/>
  <c r="B45" i="2"/>
  <c r="A37" i="16" s="1"/>
  <c r="AJ49" i="4"/>
  <c r="AL49" i="4" s="1"/>
  <c r="AP49" i="4" s="1"/>
  <c r="AJ86" i="4"/>
  <c r="AL86" i="4" s="1"/>
  <c r="AP86" i="4" s="1"/>
  <c r="AM42" i="4"/>
  <c r="AJ102" i="4"/>
  <c r="AL102" i="4" s="1"/>
  <c r="AP102" i="4" s="1"/>
  <c r="AM52" i="4"/>
  <c r="AM63" i="4"/>
  <c r="AJ76" i="4"/>
  <c r="AL76" i="4" s="1"/>
  <c r="AP76" i="4" s="1"/>
  <c r="AJ9" i="4"/>
  <c r="AL9" i="4" s="1"/>
  <c r="AP9" i="4" s="1"/>
  <c r="AJ19" i="4"/>
  <c r="AL19" i="4" s="1"/>
  <c r="AP19" i="4" s="1"/>
  <c r="AJ90" i="4"/>
  <c r="AL90" i="4" s="1"/>
  <c r="AP90" i="4" s="1"/>
  <c r="AM67" i="4"/>
  <c r="AJ46" i="4"/>
  <c r="AL46" i="4" s="1"/>
  <c r="AP46" i="4" s="1"/>
  <c r="AJ62" i="4"/>
  <c r="AL62" i="4" s="1"/>
  <c r="AP62" i="4" s="1"/>
  <c r="AJ50" i="4"/>
  <c r="AL50" i="4" s="1"/>
  <c r="AP50" i="4" s="1"/>
  <c r="AJ35" i="4"/>
  <c r="AL35" i="4" s="1"/>
  <c r="AP35" i="4" s="1"/>
  <c r="AJ60" i="4"/>
  <c r="AL60" i="4" s="1"/>
  <c r="AP60" i="4" s="1"/>
  <c r="AJ95" i="4"/>
  <c r="AL95" i="4" s="1"/>
  <c r="AP95" i="4" s="1"/>
  <c r="AJ66" i="4"/>
  <c r="AL66" i="4" s="1"/>
  <c r="AP66" i="4" s="1"/>
  <c r="AJ61" i="4"/>
  <c r="AL61" i="4" s="1"/>
  <c r="AP61" i="4" s="1"/>
  <c r="AJ31" i="4"/>
  <c r="AL31" i="4" s="1"/>
  <c r="AP31" i="4" s="1"/>
  <c r="AJ44" i="4"/>
  <c r="AL44" i="4" s="1"/>
  <c r="AP44" i="4" s="1"/>
  <c r="AJ34" i="4"/>
  <c r="AL34" i="4" s="1"/>
  <c r="AP34" i="4" s="1"/>
  <c r="AJ84" i="4"/>
  <c r="AL84" i="4" s="1"/>
  <c r="AP84" i="4" s="1"/>
  <c r="AJ25" i="4"/>
  <c r="AL25" i="4" s="1"/>
  <c r="AP25" i="4" s="1"/>
  <c r="AJ78" i="4"/>
  <c r="AL78" i="4" s="1"/>
  <c r="AP78" i="4" s="1"/>
  <c r="AJ105" i="4"/>
  <c r="AL105" i="4" s="1"/>
  <c r="AP105" i="4" s="1"/>
  <c r="AJ98" i="4"/>
  <c r="AL98" i="4" s="1"/>
  <c r="AP98" i="4" s="1"/>
  <c r="AJ97" i="4"/>
  <c r="AL97" i="4" s="1"/>
  <c r="AP97" i="4" s="1"/>
  <c r="AJ79" i="4"/>
  <c r="AL79" i="4" s="1"/>
  <c r="AP79" i="4" s="1"/>
  <c r="AJ11" i="4"/>
  <c r="AL11" i="4" s="1"/>
  <c r="AP11" i="4" s="1"/>
  <c r="AJ43" i="4"/>
  <c r="AL43" i="4" s="1"/>
  <c r="AP43" i="4" s="1"/>
  <c r="AJ41" i="4"/>
  <c r="AL41" i="4" s="1"/>
  <c r="AP41" i="4" s="1"/>
  <c r="AM79" i="4"/>
  <c r="B119" i="2"/>
  <c r="A227" i="2" s="1"/>
  <c r="AJ109" i="4"/>
  <c r="AL109" i="4" s="1"/>
  <c r="AP109" i="4" s="1"/>
  <c r="B75" i="1"/>
  <c r="E3" i="8"/>
  <c r="E159" i="8" s="1"/>
  <c r="E158" i="8" s="1"/>
  <c r="E157" i="8" s="1"/>
  <c r="E156" i="8" s="1"/>
  <c r="E155" i="8" s="1"/>
  <c r="E154" i="8" s="1"/>
  <c r="E153" i="8" s="1"/>
  <c r="E152" i="8" s="1"/>
  <c r="E151" i="8" s="1"/>
  <c r="E150" i="8" s="1"/>
  <c r="E149" i="8" s="1"/>
  <c r="E148" i="8" s="1"/>
  <c r="E147" i="8" s="1"/>
  <c r="E146" i="8" s="1"/>
  <c r="E145" i="8" s="1"/>
  <c r="E144" i="8" s="1"/>
  <c r="E143" i="8" s="1"/>
  <c r="E142" i="8" s="1"/>
  <c r="E141" i="8" s="1"/>
  <c r="E140" i="8" s="1"/>
  <c r="E139" i="8" s="1"/>
  <c r="E138" i="8" s="1"/>
  <c r="E137" i="8" s="1"/>
  <c r="E136" i="8" s="1"/>
  <c r="E135" i="8" s="1"/>
  <c r="E134" i="8" s="1"/>
  <c r="E133" i="8" s="1"/>
  <c r="E132" i="8" s="1"/>
  <c r="E131" i="8" s="1"/>
  <c r="E130" i="8" s="1"/>
  <c r="E129" i="8" s="1"/>
  <c r="E128" i="8" s="1"/>
  <c r="E127" i="8" s="1"/>
  <c r="E126" i="8" s="1"/>
  <c r="E125" i="8" s="1"/>
  <c r="E124" i="8" s="1"/>
  <c r="E123" i="8" s="1"/>
  <c r="E122" i="8" s="1"/>
  <c r="E121" i="8" s="1"/>
  <c r="E120" i="8" s="1"/>
  <c r="E119" i="8" s="1"/>
  <c r="E118" i="8" s="1"/>
  <c r="E117" i="8" s="1"/>
  <c r="E116" i="8" s="1"/>
  <c r="E115" i="8" s="1"/>
  <c r="E114" i="8" s="1"/>
  <c r="E113" i="8" s="1"/>
  <c r="E112" i="8" s="1"/>
  <c r="E111" i="8" s="1"/>
  <c r="E110" i="8" s="1"/>
  <c r="E109" i="8" s="1"/>
  <c r="E108" i="8" s="1"/>
  <c r="E107" i="8" s="1"/>
  <c r="E106" i="8" s="1"/>
  <c r="E105" i="8" s="1"/>
  <c r="E104" i="8" s="1"/>
  <c r="E103" i="8" s="1"/>
  <c r="E102" i="8" s="1"/>
  <c r="E101" i="8" s="1"/>
  <c r="E100" i="8" s="1"/>
  <c r="E99" i="8" s="1"/>
  <c r="E98" i="8" s="1"/>
  <c r="E97" i="8" s="1"/>
  <c r="E96" i="8" s="1"/>
  <c r="E95" i="8" s="1"/>
  <c r="E94" i="8" s="1"/>
  <c r="E93" i="8" s="1"/>
  <c r="E92" i="8" s="1"/>
  <c r="E91" i="8" s="1"/>
  <c r="E90" i="8" s="1"/>
  <c r="E89" i="8" s="1"/>
  <c r="E88" i="8" s="1"/>
  <c r="E87" i="8" s="1"/>
  <c r="E86" i="8" s="1"/>
  <c r="E85" i="8" s="1"/>
  <c r="E84" i="8" s="1"/>
  <c r="E83" i="8" s="1"/>
  <c r="E82" i="8" s="1"/>
  <c r="E81" i="8" s="1"/>
  <c r="E80" i="8" s="1"/>
  <c r="E79" i="8" s="1"/>
  <c r="E78" i="8" s="1"/>
  <c r="E77" i="8" s="1"/>
  <c r="E76" i="8" s="1"/>
  <c r="E75" i="8" s="1"/>
  <c r="E74" i="8" s="1"/>
  <c r="E73" i="8" s="1"/>
  <c r="E72" i="8" s="1"/>
  <c r="E71" i="8" s="1"/>
  <c r="E70" i="8" s="1"/>
  <c r="E69" i="8" s="1"/>
  <c r="E68" i="8" s="1"/>
  <c r="E67" i="8" s="1"/>
  <c r="E66" i="8" s="1"/>
  <c r="E65" i="8" s="1"/>
  <c r="E64" i="8" s="1"/>
  <c r="E63" i="8" s="1"/>
  <c r="E62" i="8" s="1"/>
  <c r="E61" i="8" s="1"/>
  <c r="E60" i="8" s="1"/>
  <c r="E59" i="8" s="1"/>
  <c r="E58" i="8" s="1"/>
  <c r="E57" i="8" s="1"/>
  <c r="E56" i="8" s="1"/>
  <c r="E55" i="8" s="1"/>
  <c r="E54" i="8" s="1"/>
  <c r="E53" i="8" s="1"/>
  <c r="E52" i="8" s="1"/>
  <c r="E51" i="8" s="1"/>
  <c r="E50" i="8" s="1"/>
  <c r="E49" i="8" s="1"/>
  <c r="E48" i="8" s="1"/>
  <c r="E47" i="8" s="1"/>
  <c r="E46" i="8" s="1"/>
  <c r="E45" i="8" s="1"/>
  <c r="E44" i="8" s="1"/>
  <c r="E43" i="8" s="1"/>
  <c r="E42" i="8" s="1"/>
  <c r="E41" i="8" s="1"/>
  <c r="E40" i="8" s="1"/>
  <c r="E39" i="8" s="1"/>
  <c r="E38" i="8" s="1"/>
  <c r="E37" i="8" s="1"/>
  <c r="E36" i="8" s="1"/>
  <c r="E35" i="8" s="1"/>
  <c r="E34" i="8" s="1"/>
  <c r="E33" i="8" s="1"/>
  <c r="E32" i="8" s="1"/>
  <c r="E31" i="8" s="1"/>
  <c r="E30" i="8" s="1"/>
  <c r="E29" i="8" s="1"/>
  <c r="E28" i="8" s="1"/>
  <c r="E27" i="8" s="1"/>
  <c r="E26" i="8" s="1"/>
  <c r="E25" i="8" s="1"/>
  <c r="E24" i="8" s="1"/>
  <c r="E23" i="8" s="1"/>
  <c r="E22" i="8" s="1"/>
  <c r="E21" i="8" s="1"/>
  <c r="E20" i="8" s="1"/>
  <c r="E19" i="8" s="1"/>
  <c r="E18" i="8" s="1"/>
  <c r="E17" i="8" s="1"/>
  <c r="E16" i="8" s="1"/>
  <c r="E15" i="8" s="1"/>
  <c r="E14" i="8" s="1"/>
  <c r="E13" i="8" s="1"/>
  <c r="E12" i="8" s="1"/>
  <c r="E11" i="8" s="1"/>
  <c r="E10" i="8" s="1"/>
  <c r="E9" i="8" s="1"/>
  <c r="E8" i="8" s="1"/>
  <c r="E7" i="8" s="1"/>
  <c r="E6" i="8" s="1"/>
  <c r="E4" i="8" s="1"/>
  <c r="S31" i="8" s="1"/>
  <c r="C75" i="1" s="1"/>
  <c r="D75" i="1" s="1"/>
  <c r="B73" i="1"/>
  <c r="D3" i="8"/>
  <c r="D159" i="8" s="1"/>
  <c r="D158" i="8" s="1"/>
  <c r="D157" i="8" s="1"/>
  <c r="D156" i="8" s="1"/>
  <c r="D155" i="8" s="1"/>
  <c r="D154" i="8" s="1"/>
  <c r="D153" i="8" s="1"/>
  <c r="D152" i="8" s="1"/>
  <c r="D151" i="8" s="1"/>
  <c r="D150" i="8" s="1"/>
  <c r="D149" i="8" s="1"/>
  <c r="D148" i="8" s="1"/>
  <c r="D147" i="8" s="1"/>
  <c r="D146" i="8" s="1"/>
  <c r="D145" i="8" s="1"/>
  <c r="D144" i="8" s="1"/>
  <c r="D143" i="8" s="1"/>
  <c r="D142" i="8" s="1"/>
  <c r="D141" i="8" s="1"/>
  <c r="D140" i="8" s="1"/>
  <c r="D139" i="8" s="1"/>
  <c r="D138" i="8" s="1"/>
  <c r="D137" i="8" s="1"/>
  <c r="D136" i="8" s="1"/>
  <c r="D135" i="8" s="1"/>
  <c r="D134" i="8" s="1"/>
  <c r="D133" i="8" s="1"/>
  <c r="D132" i="8" s="1"/>
  <c r="D131" i="8" s="1"/>
  <c r="D130" i="8" s="1"/>
  <c r="D129" i="8" s="1"/>
  <c r="D128" i="8" s="1"/>
  <c r="D127" i="8" s="1"/>
  <c r="D126" i="8" s="1"/>
  <c r="D125" i="8" s="1"/>
  <c r="D124" i="8" s="1"/>
  <c r="D123" i="8" s="1"/>
  <c r="D122" i="8" s="1"/>
  <c r="D121" i="8" s="1"/>
  <c r="D120" i="8" s="1"/>
  <c r="D119" i="8" s="1"/>
  <c r="D118" i="8" s="1"/>
  <c r="D117" i="8" s="1"/>
  <c r="D116" i="8" s="1"/>
  <c r="D115" i="8" s="1"/>
  <c r="D114" i="8" s="1"/>
  <c r="D113" i="8" s="1"/>
  <c r="D112" i="8" s="1"/>
  <c r="D111" i="8" s="1"/>
  <c r="D110" i="8" s="1"/>
  <c r="D109" i="8" s="1"/>
  <c r="D108" i="8" s="1"/>
  <c r="D107" i="8" s="1"/>
  <c r="D106" i="8" s="1"/>
  <c r="D105" i="8" s="1"/>
  <c r="D104" i="8" s="1"/>
  <c r="D103" i="8" s="1"/>
  <c r="D102" i="8" s="1"/>
  <c r="D101" i="8" s="1"/>
  <c r="D100" i="8" s="1"/>
  <c r="D99" i="8" s="1"/>
  <c r="D98" i="8" s="1"/>
  <c r="D97" i="8" s="1"/>
  <c r="D96" i="8" s="1"/>
  <c r="D95" i="8" s="1"/>
  <c r="D94" i="8" s="1"/>
  <c r="D93" i="8" s="1"/>
  <c r="D92" i="8" s="1"/>
  <c r="D91" i="8" s="1"/>
  <c r="D90" i="8" s="1"/>
  <c r="D89" i="8" s="1"/>
  <c r="D88" i="8" s="1"/>
  <c r="D87" i="8" s="1"/>
  <c r="D86" i="8" s="1"/>
  <c r="D85" i="8" s="1"/>
  <c r="D84" i="8" s="1"/>
  <c r="D83" i="8" s="1"/>
  <c r="D82" i="8" s="1"/>
  <c r="D81" i="8" s="1"/>
  <c r="D80" i="8" s="1"/>
  <c r="D79" i="8" s="1"/>
  <c r="D78" i="8" s="1"/>
  <c r="D77" i="8" s="1"/>
  <c r="D76" i="8" s="1"/>
  <c r="D75" i="8" s="1"/>
  <c r="D74" i="8" s="1"/>
  <c r="D73" i="8" s="1"/>
  <c r="D72" i="8" s="1"/>
  <c r="D71" i="8" s="1"/>
  <c r="D70" i="8" s="1"/>
  <c r="D69" i="8" s="1"/>
  <c r="D68" i="8" s="1"/>
  <c r="D67" i="8" s="1"/>
  <c r="D66" i="8" s="1"/>
  <c r="D65" i="8" s="1"/>
  <c r="D64" i="8" s="1"/>
  <c r="D63" i="8" s="1"/>
  <c r="D62" i="8" s="1"/>
  <c r="D61" i="8" s="1"/>
  <c r="D60" i="8" s="1"/>
  <c r="D59" i="8" s="1"/>
  <c r="D58" i="8" s="1"/>
  <c r="D57" i="8" s="1"/>
  <c r="D56" i="8" s="1"/>
  <c r="D55" i="8" s="1"/>
  <c r="D54" i="8" s="1"/>
  <c r="D53" i="8" s="1"/>
  <c r="D52" i="8" s="1"/>
  <c r="D51" i="8" s="1"/>
  <c r="D50" i="8" s="1"/>
  <c r="D49" i="8" s="1"/>
  <c r="D48" i="8" s="1"/>
  <c r="D47" i="8" s="1"/>
  <c r="D46" i="8" s="1"/>
  <c r="D45" i="8" s="1"/>
  <c r="D44" i="8" s="1"/>
  <c r="D43" i="8" s="1"/>
  <c r="D42" i="8" s="1"/>
  <c r="D41" i="8" s="1"/>
  <c r="D40" i="8" s="1"/>
  <c r="D39" i="8" s="1"/>
  <c r="D38" i="8" s="1"/>
  <c r="D37" i="8" s="1"/>
  <c r="D36" i="8" s="1"/>
  <c r="D35" i="8" s="1"/>
  <c r="D34" i="8" s="1"/>
  <c r="D33" i="8" s="1"/>
  <c r="D32" i="8" s="1"/>
  <c r="D31" i="8" s="1"/>
  <c r="D30" i="8" s="1"/>
  <c r="D29" i="8" s="1"/>
  <c r="D28" i="8" s="1"/>
  <c r="D27" i="8" s="1"/>
  <c r="D26" i="8" s="1"/>
  <c r="D25" i="8" s="1"/>
  <c r="D24" i="8" s="1"/>
  <c r="D23" i="8" s="1"/>
  <c r="D22" i="8" s="1"/>
  <c r="D21" i="8" s="1"/>
  <c r="D20" i="8" s="1"/>
  <c r="D19" i="8" s="1"/>
  <c r="D18" i="8" s="1"/>
  <c r="D17" i="8" s="1"/>
  <c r="D16" i="8" s="1"/>
  <c r="D15" i="8" s="1"/>
  <c r="D14" i="8" s="1"/>
  <c r="D13" i="8" s="1"/>
  <c r="D12" i="8" s="1"/>
  <c r="D11" i="8" s="1"/>
  <c r="D10" i="8" s="1"/>
  <c r="D9" i="8" s="1"/>
  <c r="D8" i="8" s="1"/>
  <c r="D7" i="8" s="1"/>
  <c r="D6" i="8" s="1"/>
  <c r="D4" i="8" s="1"/>
  <c r="S29" i="8" s="1"/>
  <c r="C73" i="1" s="1"/>
  <c r="D73" i="1" s="1"/>
  <c r="AJ106" i="4"/>
  <c r="AL106" i="4" s="1"/>
  <c r="AP106" i="4" s="1"/>
  <c r="R30" i="8"/>
  <c r="R28" i="8"/>
  <c r="AJ22" i="4"/>
  <c r="AL22" i="4" s="1"/>
  <c r="AP22" i="4" s="1"/>
  <c r="AC65" i="4"/>
  <c r="AN65" i="4" s="1"/>
  <c r="AJ88" i="4"/>
  <c r="AL88" i="4" s="1"/>
  <c r="AP88" i="4" s="1"/>
  <c r="AJ74" i="4"/>
  <c r="AL74" i="4" s="1"/>
  <c r="AP74" i="4" s="1"/>
  <c r="AJ93" i="4"/>
  <c r="AL93" i="4" s="1"/>
  <c r="AP93" i="4" s="1"/>
  <c r="AJ101" i="4"/>
  <c r="AL101" i="4" s="1"/>
  <c r="AP101" i="4" s="1"/>
  <c r="AJ89" i="4"/>
  <c r="AL89" i="4" s="1"/>
  <c r="AP89" i="4" s="1"/>
  <c r="AJ40" i="4"/>
  <c r="AL40" i="4" s="1"/>
  <c r="AP40" i="4" s="1"/>
  <c r="AJ28" i="4"/>
  <c r="AL28" i="4" s="1"/>
  <c r="AP28" i="4" s="1"/>
  <c r="AN17" i="4"/>
  <c r="AJ17" i="4"/>
  <c r="AL17" i="4" s="1"/>
  <c r="AP17" i="4" s="1"/>
  <c r="AJ47" i="4"/>
  <c r="AL47" i="4" s="1"/>
  <c r="AP47" i="4" s="1"/>
  <c r="AJ100" i="4"/>
  <c r="AL100" i="4" s="1"/>
  <c r="AP100" i="4" s="1"/>
  <c r="AJ29" i="4"/>
  <c r="AL29" i="4" s="1"/>
  <c r="AP29" i="4" s="1"/>
  <c r="AJ26" i="4"/>
  <c r="AL26" i="4" s="1"/>
  <c r="AP26" i="4" s="1"/>
  <c r="AJ81" i="4"/>
  <c r="AL81" i="4" s="1"/>
  <c r="AP81" i="4" s="1"/>
  <c r="AJ56" i="4"/>
  <c r="AL56" i="4" s="1"/>
  <c r="AP56" i="4" s="1"/>
  <c r="AJ15" i="4"/>
  <c r="AL15" i="4" s="1"/>
  <c r="AP15" i="4" s="1"/>
  <c r="AJ71" i="4"/>
  <c r="AL71" i="4" s="1"/>
  <c r="AP71" i="4" s="1"/>
  <c r="AJ103" i="4"/>
  <c r="AL103" i="4" s="1"/>
  <c r="AP103" i="4" s="1"/>
  <c r="AJ80" i="4"/>
  <c r="AL80" i="4" s="1"/>
  <c r="AP80" i="4" s="1"/>
  <c r="AJ23" i="4"/>
  <c r="AL23" i="4" s="1"/>
  <c r="AP23" i="4" s="1"/>
  <c r="AJ91" i="4"/>
  <c r="AL91" i="4" s="1"/>
  <c r="AP91" i="4" s="1"/>
  <c r="AJ92" i="4"/>
  <c r="AL92" i="4" s="1"/>
  <c r="AP92" i="4" s="1"/>
  <c r="AJ83" i="4"/>
  <c r="AL83" i="4" s="1"/>
  <c r="AP83" i="4" s="1"/>
  <c r="AJ20" i="4"/>
  <c r="AL20" i="4" s="1"/>
  <c r="AP20" i="4" s="1"/>
  <c r="AJ48" i="4"/>
  <c r="AL48" i="4" s="1"/>
  <c r="AP48" i="4" s="1"/>
  <c r="AJ51" i="4"/>
  <c r="AL51" i="4" s="1"/>
  <c r="AP51" i="4" s="1"/>
  <c r="AJ85" i="4"/>
  <c r="AL85" i="4" s="1"/>
  <c r="AP85" i="4" s="1"/>
  <c r="AJ21" i="4"/>
  <c r="AL21" i="4" s="1"/>
  <c r="AP21" i="4" s="1"/>
  <c r="AQ41" i="3"/>
  <c r="AR41" i="3"/>
  <c r="A42" i="3"/>
  <c r="B41" i="3"/>
  <c r="D41" i="3"/>
  <c r="C41" i="3"/>
  <c r="G41" i="3"/>
  <c r="H41" i="3" s="1"/>
  <c r="F41" i="3"/>
  <c r="BN40" i="3"/>
  <c r="AJ96" i="4"/>
  <c r="AL96" i="4" s="1"/>
  <c r="AP96" i="4" s="1"/>
  <c r="BM41" i="3" l="1"/>
  <c r="B224" i="2"/>
  <c r="C43" i="16"/>
  <c r="D43" i="16" s="1"/>
  <c r="C42" i="16"/>
  <c r="D42" i="16" s="1"/>
  <c r="B117" i="2"/>
  <c r="B225" i="2" s="1"/>
  <c r="D53" i="16"/>
  <c r="E25" i="1"/>
  <c r="B227" i="2"/>
  <c r="BN41" i="3"/>
  <c r="R29" i="8"/>
  <c r="R31" i="8"/>
  <c r="AJ65" i="4"/>
  <c r="AL65" i="4" s="1"/>
  <c r="AP65" i="4" s="1"/>
  <c r="AQ42" i="3"/>
  <c r="B42" i="3"/>
  <c r="A43" i="3"/>
  <c r="AR42" i="3"/>
  <c r="C42" i="3"/>
  <c r="D42" i="3"/>
  <c r="G42" i="3"/>
  <c r="H42" i="3" s="1"/>
  <c r="F42" i="3"/>
  <c r="AD33" i="3" l="1"/>
  <c r="B118" i="2"/>
  <c r="AE29" i="3" s="1"/>
  <c r="B120" i="2"/>
  <c r="AK19" i="3" s="1"/>
  <c r="AD22" i="3"/>
  <c r="AD16" i="3"/>
  <c r="AD17" i="3"/>
  <c r="AD34" i="3"/>
  <c r="AD36" i="3"/>
  <c r="AD11" i="3"/>
  <c r="AD42" i="3"/>
  <c r="AD12" i="3"/>
  <c r="AD23" i="3"/>
  <c r="AD14" i="3"/>
  <c r="AD29" i="3"/>
  <c r="AD683" i="3"/>
  <c r="AD25" i="3"/>
  <c r="AD18" i="3"/>
  <c r="AD37" i="3"/>
  <c r="A225" i="2"/>
  <c r="AD9" i="3"/>
  <c r="AD19" i="3"/>
  <c r="AD32" i="3"/>
  <c r="AD31" i="3"/>
  <c r="B126" i="2"/>
  <c r="P41" i="3" s="1"/>
  <c r="AD21" i="3"/>
  <c r="AD20" i="3"/>
  <c r="AD13" i="3"/>
  <c r="AD39" i="3"/>
  <c r="AD35" i="3"/>
  <c r="AD10" i="3"/>
  <c r="AD28" i="3"/>
  <c r="AD24" i="3"/>
  <c r="AD38" i="3"/>
  <c r="AD26" i="3"/>
  <c r="AD682" i="3"/>
  <c r="AD27" i="3"/>
  <c r="AD30" i="3"/>
  <c r="AD15" i="3"/>
  <c r="AD41" i="3"/>
  <c r="AD40" i="3"/>
  <c r="BM42" i="3"/>
  <c r="BN42" i="3"/>
  <c r="AQ43" i="3"/>
  <c r="AR43" i="3"/>
  <c r="A44" i="3"/>
  <c r="B43" i="3"/>
  <c r="C43" i="3"/>
  <c r="D43" i="3"/>
  <c r="AD43" i="3"/>
  <c r="G43" i="3"/>
  <c r="H43" i="3" s="1"/>
  <c r="F43" i="3"/>
  <c r="AK12" i="3" l="1"/>
  <c r="AM42" i="3"/>
  <c r="AF26" i="3"/>
  <c r="AK16" i="3"/>
  <c r="AF35" i="3"/>
  <c r="AF21" i="3"/>
  <c r="O27" i="3"/>
  <c r="AF33" i="3"/>
  <c r="AF30" i="3"/>
  <c r="AE37" i="3"/>
  <c r="AE43" i="3"/>
  <c r="AE41" i="3"/>
  <c r="AF9" i="3"/>
  <c r="O41" i="3"/>
  <c r="O13" i="3"/>
  <c r="P22" i="3"/>
  <c r="O683" i="3"/>
  <c r="M682" i="3"/>
  <c r="P26" i="3"/>
  <c r="P14" i="3"/>
  <c r="P36" i="3"/>
  <c r="A228" i="2"/>
  <c r="AK30" i="3"/>
  <c r="AE12" i="3"/>
  <c r="AH12" i="3" s="1"/>
  <c r="AF13" i="3"/>
  <c r="AE15" i="3"/>
  <c r="M19" i="3"/>
  <c r="P42" i="3"/>
  <c r="O12" i="3"/>
  <c r="O28" i="3"/>
  <c r="P17" i="3"/>
  <c r="O23" i="3"/>
  <c r="P15" i="3"/>
  <c r="P16" i="3"/>
  <c r="P682" i="3"/>
  <c r="AF38" i="3"/>
  <c r="AF27" i="3"/>
  <c r="AE38" i="3"/>
  <c r="M24" i="3"/>
  <c r="AE10" i="3"/>
  <c r="M26" i="3"/>
  <c r="M43" i="3"/>
  <c r="AE18" i="3"/>
  <c r="AF12" i="3"/>
  <c r="AF23" i="3"/>
  <c r="AF29" i="3"/>
  <c r="AG29" i="3" s="1"/>
  <c r="AF17" i="3"/>
  <c r="AE40" i="3"/>
  <c r="AF22" i="3"/>
  <c r="AF37" i="3"/>
  <c r="AF683" i="3"/>
  <c r="AF24" i="3"/>
  <c r="AF16" i="3"/>
  <c r="B129" i="2"/>
  <c r="V42" i="3" s="1"/>
  <c r="AE23" i="3"/>
  <c r="M25" i="3"/>
  <c r="M31" i="3"/>
  <c r="AE11" i="3"/>
  <c r="M28" i="3"/>
  <c r="M37" i="3"/>
  <c r="M11" i="3"/>
  <c r="M36" i="3"/>
  <c r="AF39" i="3"/>
  <c r="AE27" i="3"/>
  <c r="AE14" i="3"/>
  <c r="M34" i="3"/>
  <c r="AE20" i="3"/>
  <c r="M23" i="3"/>
  <c r="M38" i="3"/>
  <c r="AE42" i="3"/>
  <c r="M27" i="3"/>
  <c r="P20" i="3"/>
  <c r="P21" i="3"/>
  <c r="O32" i="3"/>
  <c r="P24" i="3"/>
  <c r="P35" i="3"/>
  <c r="O38" i="3"/>
  <c r="O10" i="3"/>
  <c r="O30" i="3"/>
  <c r="O35" i="3"/>
  <c r="P40" i="3"/>
  <c r="O24" i="3"/>
  <c r="P37" i="3"/>
  <c r="P23" i="3"/>
  <c r="O9" i="3"/>
  <c r="O37" i="3"/>
  <c r="O36" i="3"/>
  <c r="O16" i="3"/>
  <c r="O25" i="3"/>
  <c r="P13" i="3"/>
  <c r="O42" i="3"/>
  <c r="AM39" i="3"/>
  <c r="B128" i="2"/>
  <c r="T42" i="3" s="1"/>
  <c r="AM29" i="3"/>
  <c r="AM24" i="3"/>
  <c r="AM37" i="3"/>
  <c r="AK43" i="3"/>
  <c r="AM27" i="3"/>
  <c r="AM682" i="3"/>
  <c r="AK11" i="3"/>
  <c r="AK23" i="3"/>
  <c r="AM26" i="3"/>
  <c r="AK32" i="3"/>
  <c r="AM17" i="3"/>
  <c r="AK33" i="3"/>
  <c r="AK29" i="3"/>
  <c r="AK41" i="3"/>
  <c r="AM20" i="3"/>
  <c r="AK21" i="3"/>
  <c r="AM15" i="3"/>
  <c r="AK15" i="3"/>
  <c r="AM31" i="3"/>
  <c r="AM11" i="3"/>
  <c r="AM683" i="3"/>
  <c r="AK17" i="3"/>
  <c r="AK682" i="3"/>
  <c r="AM30" i="3"/>
  <c r="AK14" i="3"/>
  <c r="AK27" i="3"/>
  <c r="AK22" i="3"/>
  <c r="AK26" i="3"/>
  <c r="AK20" i="3"/>
  <c r="AK31" i="3"/>
  <c r="AM28" i="3"/>
  <c r="AK38" i="3"/>
  <c r="AM43" i="3"/>
  <c r="AN43" i="3" s="1"/>
  <c r="AK39" i="3"/>
  <c r="AO39" i="3" s="1"/>
  <c r="AM38" i="3"/>
  <c r="AM23" i="3"/>
  <c r="AM16" i="3"/>
  <c r="AM19" i="3"/>
  <c r="AN19" i="3" s="1"/>
  <c r="AK24" i="3"/>
  <c r="AM41" i="3"/>
  <c r="AK28" i="3"/>
  <c r="AK36" i="3"/>
  <c r="AM18" i="3"/>
  <c r="AM13" i="3"/>
  <c r="AK34" i="3"/>
  <c r="B228" i="2"/>
  <c r="AM40" i="3"/>
  <c r="AK683" i="3"/>
  <c r="AM21" i="3"/>
  <c r="AK9" i="3"/>
  <c r="B127" i="2"/>
  <c r="R42" i="3" s="1"/>
  <c r="AM12" i="3"/>
  <c r="AO12" i="3" s="1"/>
  <c r="AK25" i="3"/>
  <c r="AK13" i="3"/>
  <c r="AK37" i="3"/>
  <c r="AM10" i="3"/>
  <c r="AM9" i="3"/>
  <c r="AM34" i="3"/>
  <c r="AK42" i="3"/>
  <c r="AO42" i="3" s="1"/>
  <c r="AM33" i="3"/>
  <c r="AK40" i="3"/>
  <c r="AM14" i="3"/>
  <c r="AM22" i="3"/>
  <c r="AK35" i="3"/>
  <c r="AM25" i="3"/>
  <c r="AM32" i="3"/>
  <c r="AM35" i="3"/>
  <c r="AM36" i="3"/>
  <c r="AK10" i="3"/>
  <c r="AK18" i="3"/>
  <c r="AE683" i="3"/>
  <c r="AE24" i="3"/>
  <c r="AH24" i="3" s="1"/>
  <c r="AE21" i="3"/>
  <c r="AE22" i="3"/>
  <c r="AE9" i="3"/>
  <c r="M41" i="3"/>
  <c r="O39" i="3"/>
  <c r="P43" i="3"/>
  <c r="AF43" i="3"/>
  <c r="O43" i="3"/>
  <c r="AE30" i="3"/>
  <c r="AE31" i="3"/>
  <c r="AF28" i="3"/>
  <c r="B226" i="2"/>
  <c r="AF15" i="3"/>
  <c r="AH15" i="3" s="1"/>
  <c r="AF11" i="3"/>
  <c r="AF32" i="3"/>
  <c r="AF34" i="3"/>
  <c r="AF18" i="3"/>
  <c r="AF25" i="3"/>
  <c r="AF682" i="3"/>
  <c r="AE682" i="3"/>
  <c r="AE34" i="3"/>
  <c r="AF19" i="3"/>
  <c r="AF14" i="3"/>
  <c r="AF10" i="3"/>
  <c r="AF36" i="3"/>
  <c r="M40" i="3"/>
  <c r="AE26" i="3"/>
  <c r="A226" i="2"/>
  <c r="AF31" i="3"/>
  <c r="AF40" i="3"/>
  <c r="P31" i="3"/>
  <c r="F71" i="1"/>
  <c r="P9" i="3"/>
  <c r="AF20" i="3"/>
  <c r="AG20" i="3" s="1"/>
  <c r="O29" i="3"/>
  <c r="P19" i="3"/>
  <c r="O22" i="3"/>
  <c r="O21" i="3"/>
  <c r="O20" i="3"/>
  <c r="O19" i="3"/>
  <c r="P11" i="3"/>
  <c r="P27" i="3"/>
  <c r="P28" i="3"/>
  <c r="P32" i="3"/>
  <c r="P18" i="3"/>
  <c r="O15" i="3"/>
  <c r="O11" i="3"/>
  <c r="O31" i="3"/>
  <c r="O682" i="3"/>
  <c r="P683" i="3"/>
  <c r="AE39" i="3"/>
  <c r="AE32" i="3"/>
  <c r="AE17" i="3"/>
  <c r="AE13" i="3"/>
  <c r="AG13" i="3" s="1"/>
  <c r="AE25" i="3"/>
  <c r="M14" i="3"/>
  <c r="M35" i="3"/>
  <c r="M13" i="3"/>
  <c r="M29" i="3"/>
  <c r="AE16" i="3"/>
  <c r="M39" i="3"/>
  <c r="M15" i="3"/>
  <c r="M22" i="3"/>
  <c r="M10" i="3"/>
  <c r="M21" i="3"/>
  <c r="M42" i="3"/>
  <c r="P29" i="3"/>
  <c r="O33" i="3"/>
  <c r="P10" i="3"/>
  <c r="O14" i="3"/>
  <c r="P30" i="3"/>
  <c r="O17" i="3"/>
  <c r="O18" i="3"/>
  <c r="P12" i="3"/>
  <c r="O26" i="3"/>
  <c r="O40" i="3"/>
  <c r="AE35" i="3"/>
  <c r="AE19" i="3"/>
  <c r="AG19" i="3" s="1"/>
  <c r="M20" i="3"/>
  <c r="M18" i="3"/>
  <c r="AE28" i="3"/>
  <c r="M9" i="3"/>
  <c r="M12" i="3"/>
  <c r="P25" i="3"/>
  <c r="P38" i="3"/>
  <c r="P33" i="3"/>
  <c r="P39" i="3"/>
  <c r="AE36" i="3"/>
  <c r="M32" i="3"/>
  <c r="M30" i="3"/>
  <c r="P34" i="3"/>
  <c r="O34" i="3"/>
  <c r="M17" i="3"/>
  <c r="M16" i="3"/>
  <c r="M33" i="3"/>
  <c r="M683" i="3"/>
  <c r="AF42" i="3"/>
  <c r="AF41" i="3"/>
  <c r="AE33" i="3"/>
  <c r="A684" i="3"/>
  <c r="AF684" i="3" s="1"/>
  <c r="BN43" i="3"/>
  <c r="BM43" i="3"/>
  <c r="AR44" i="3"/>
  <c r="B44" i="3"/>
  <c r="AQ44" i="3"/>
  <c r="A45" i="3"/>
  <c r="C44" i="3"/>
  <c r="AM44" i="3"/>
  <c r="AK44" i="3"/>
  <c r="AD44" i="3"/>
  <c r="O44" i="3"/>
  <c r="AF44" i="3"/>
  <c r="AE44" i="3"/>
  <c r="M44" i="3"/>
  <c r="P44" i="3"/>
  <c r="F44" i="3"/>
  <c r="D44" i="3"/>
  <c r="G44" i="3"/>
  <c r="H44" i="3" s="1"/>
  <c r="AO28" i="3" l="1"/>
  <c r="AH42" i="3"/>
  <c r="AG38" i="3"/>
  <c r="AO13" i="3"/>
  <c r="AG683" i="3"/>
  <c r="AN27" i="3"/>
  <c r="AN25" i="3"/>
  <c r="AG23" i="3"/>
  <c r="AN41" i="3"/>
  <c r="AN682" i="3"/>
  <c r="AO16" i="3"/>
  <c r="S10" i="3"/>
  <c r="S34" i="3"/>
  <c r="T38" i="3"/>
  <c r="T14" i="3"/>
  <c r="T26" i="3"/>
  <c r="S44" i="3"/>
  <c r="T23" i="3"/>
  <c r="F73" i="1"/>
  <c r="Q10" i="3"/>
  <c r="T20" i="3"/>
  <c r="Q41" i="3"/>
  <c r="S28" i="3"/>
  <c r="AN22" i="3"/>
  <c r="AG28" i="3"/>
  <c r="R24" i="3"/>
  <c r="R43" i="3"/>
  <c r="T27" i="3"/>
  <c r="S11" i="3"/>
  <c r="R31" i="3"/>
  <c r="Q21" i="3"/>
  <c r="S13" i="3"/>
  <c r="R14" i="3"/>
  <c r="R11" i="3"/>
  <c r="T40" i="3"/>
  <c r="S43" i="3"/>
  <c r="Q23" i="3"/>
  <c r="S17" i="3"/>
  <c r="AO24" i="3"/>
  <c r="AN17" i="3"/>
  <c r="V34" i="3"/>
  <c r="AH23" i="3"/>
  <c r="T37" i="3"/>
  <c r="T33" i="3"/>
  <c r="AG16" i="3"/>
  <c r="AO40" i="3"/>
  <c r="S42" i="3"/>
  <c r="AG33" i="3"/>
  <c r="AN36" i="3"/>
  <c r="AN26" i="3"/>
  <c r="AO11" i="3"/>
  <c r="AO29" i="3"/>
  <c r="V682" i="3"/>
  <c r="AO682" i="3"/>
  <c r="T30" i="3"/>
  <c r="T18" i="3"/>
  <c r="AH9" i="3"/>
  <c r="U40" i="3"/>
  <c r="V33" i="3"/>
  <c r="V29" i="3"/>
  <c r="V37" i="3"/>
  <c r="AH35" i="3"/>
  <c r="AG26" i="3"/>
  <c r="AH25" i="3"/>
  <c r="AG18" i="3"/>
  <c r="Q684" i="3"/>
  <c r="AN16" i="3"/>
  <c r="Y42" i="3"/>
  <c r="Z42" i="3" s="1"/>
  <c r="AO17" i="3"/>
  <c r="AN9" i="3"/>
  <c r="Q35" i="3"/>
  <c r="R38" i="3"/>
  <c r="Q20" i="3"/>
  <c r="Q683" i="3"/>
  <c r="R10" i="3"/>
  <c r="Q13" i="3"/>
  <c r="R41" i="3"/>
  <c r="Q26" i="3"/>
  <c r="R17" i="3"/>
  <c r="AN35" i="3"/>
  <c r="AN34" i="3"/>
  <c r="AN683" i="3"/>
  <c r="AO23" i="3"/>
  <c r="AO30" i="3"/>
  <c r="AO15" i="3"/>
  <c r="AH29" i="3"/>
  <c r="AU29" i="3" s="1"/>
  <c r="U24" i="3"/>
  <c r="U21" i="3"/>
  <c r="V28" i="3"/>
  <c r="U682" i="3"/>
  <c r="AH38" i="3"/>
  <c r="AU38" i="3" s="1"/>
  <c r="V31" i="3"/>
  <c r="V15" i="3"/>
  <c r="U26" i="3"/>
  <c r="V10" i="3"/>
  <c r="U20" i="3"/>
  <c r="U28" i="3"/>
  <c r="V32" i="3"/>
  <c r="U10" i="3"/>
  <c r="AD684" i="3"/>
  <c r="AO21" i="3"/>
  <c r="AG37" i="3"/>
  <c r="V44" i="3"/>
  <c r="AH26" i="3"/>
  <c r="U42" i="3"/>
  <c r="V14" i="3"/>
  <c r="V11" i="3"/>
  <c r="U19" i="3"/>
  <c r="V38" i="3"/>
  <c r="V36" i="3"/>
  <c r="U36" i="3"/>
  <c r="U31" i="3"/>
  <c r="V39" i="3"/>
  <c r="V35" i="3"/>
  <c r="U30" i="3"/>
  <c r="U14" i="3"/>
  <c r="U29" i="3"/>
  <c r="V21" i="3"/>
  <c r="V16" i="3"/>
  <c r="V43" i="3"/>
  <c r="U25" i="3"/>
  <c r="AN11" i="3"/>
  <c r="AO19" i="3"/>
  <c r="AN12" i="3"/>
  <c r="V12" i="3"/>
  <c r="AO26" i="3"/>
  <c r="AO27" i="3"/>
  <c r="AH33" i="3"/>
  <c r="AO41" i="3"/>
  <c r="AN39" i="3"/>
  <c r="AG12" i="3"/>
  <c r="AU12" i="3" s="1"/>
  <c r="AH37" i="3"/>
  <c r="U44" i="3"/>
  <c r="V27" i="3"/>
  <c r="U23" i="3"/>
  <c r="U12" i="3"/>
  <c r="U35" i="3"/>
  <c r="U33" i="3"/>
  <c r="V25" i="3"/>
  <c r="U18" i="3"/>
  <c r="U16" i="3"/>
  <c r="A687" i="3"/>
  <c r="AR687" i="3" s="1"/>
  <c r="U13" i="3"/>
  <c r="U27" i="3"/>
  <c r="V22" i="3"/>
  <c r="V18" i="3"/>
  <c r="V20" i="3"/>
  <c r="V26" i="3"/>
  <c r="U32" i="3"/>
  <c r="V683" i="3"/>
  <c r="V41" i="3"/>
  <c r="AG24" i="3"/>
  <c r="AU24" i="3" s="1"/>
  <c r="V24" i="3"/>
  <c r="U17" i="3"/>
  <c r="U9" i="3"/>
  <c r="U34" i="3"/>
  <c r="V23" i="3"/>
  <c r="U11" i="3"/>
  <c r="V30" i="3"/>
  <c r="U37" i="3"/>
  <c r="V13" i="3"/>
  <c r="U22" i="3"/>
  <c r="U15" i="3"/>
  <c r="U38" i="3"/>
  <c r="V40" i="3"/>
  <c r="AG35" i="3"/>
  <c r="AT35" i="3" s="1"/>
  <c r="V19" i="3"/>
  <c r="V9" i="3"/>
  <c r="U41" i="3"/>
  <c r="U43" i="3"/>
  <c r="V17" i="3"/>
  <c r="U39" i="3"/>
  <c r="F74" i="1"/>
  <c r="U683" i="3"/>
  <c r="AG41" i="3"/>
  <c r="AG40" i="3"/>
  <c r="AH10" i="3"/>
  <c r="AH11" i="3"/>
  <c r="AH21" i="3"/>
  <c r="AN37" i="3"/>
  <c r="AN21" i="3"/>
  <c r="AO18" i="3"/>
  <c r="AO38" i="3"/>
  <c r="AN28" i="3"/>
  <c r="AO22" i="3"/>
  <c r="AN14" i="3"/>
  <c r="AN24" i="3"/>
  <c r="AG14" i="3"/>
  <c r="AH22" i="3"/>
  <c r="AH27" i="3"/>
  <c r="AH43" i="3"/>
  <c r="AH30" i="3"/>
  <c r="AH683" i="3"/>
  <c r="V684" i="3"/>
  <c r="Q16" i="3"/>
  <c r="Q14" i="3"/>
  <c r="R23" i="3"/>
  <c r="R29" i="3"/>
  <c r="Q36" i="3"/>
  <c r="Q12" i="3"/>
  <c r="Q31" i="3"/>
  <c r="A685" i="3"/>
  <c r="G685" i="3" s="1"/>
  <c r="H685" i="3" s="1"/>
  <c r="Q682" i="3"/>
  <c r="R13" i="3"/>
  <c r="Q33" i="3"/>
  <c r="R15" i="3"/>
  <c r="R683" i="3"/>
  <c r="AN42" i="3"/>
  <c r="R19" i="3"/>
  <c r="Q9" i="3"/>
  <c r="AO14" i="3"/>
  <c r="A686" i="3"/>
  <c r="U686" i="3" s="1"/>
  <c r="T22" i="3"/>
  <c r="T12" i="3"/>
  <c r="S36" i="3"/>
  <c r="S38" i="3"/>
  <c r="S18" i="3"/>
  <c r="S23" i="3"/>
  <c r="T21" i="3"/>
  <c r="T683" i="3"/>
  <c r="S32" i="3"/>
  <c r="S37" i="3"/>
  <c r="T32" i="3"/>
  <c r="S26" i="3"/>
  <c r="S40" i="3"/>
  <c r="R18" i="3"/>
  <c r="T10" i="3"/>
  <c r="S9" i="3"/>
  <c r="T682" i="3"/>
  <c r="S41" i="3"/>
  <c r="T9" i="3"/>
  <c r="Q27" i="3"/>
  <c r="AG30" i="3"/>
  <c r="AN30" i="3"/>
  <c r="AG27" i="3"/>
  <c r="AG10" i="3"/>
  <c r="AG17" i="3"/>
  <c r="AG39" i="3"/>
  <c r="AH14" i="3"/>
  <c r="AH18" i="3"/>
  <c r="AG43" i="3"/>
  <c r="AG22" i="3"/>
  <c r="AN40" i="3"/>
  <c r="AN38" i="3"/>
  <c r="AO31" i="3"/>
  <c r="AN20" i="3"/>
  <c r="AN33" i="3"/>
  <c r="AO32" i="3"/>
  <c r="AN23" i="3"/>
  <c r="AO43" i="3"/>
  <c r="S684" i="3"/>
  <c r="G684" i="3"/>
  <c r="H684" i="3" s="1"/>
  <c r="T44" i="3"/>
  <c r="R44" i="3"/>
  <c r="Q44" i="3"/>
  <c r="R20" i="3"/>
  <c r="R12" i="3"/>
  <c r="R36" i="3"/>
  <c r="Q11" i="3"/>
  <c r="Q34" i="3"/>
  <c r="F72" i="1"/>
  <c r="R27" i="3"/>
  <c r="Q29" i="3"/>
  <c r="Q24" i="3"/>
  <c r="R34" i="3"/>
  <c r="Q17" i="3"/>
  <c r="R9" i="3"/>
  <c r="R35" i="3"/>
  <c r="R28" i="3"/>
  <c r="R33" i="3"/>
  <c r="Q38" i="3"/>
  <c r="R39" i="3"/>
  <c r="Q40" i="3"/>
  <c r="Q37" i="3"/>
  <c r="R32" i="3"/>
  <c r="R30" i="3"/>
  <c r="R37" i="3"/>
  <c r="Q15" i="3"/>
  <c r="R22" i="3"/>
  <c r="Q32" i="3"/>
  <c r="Q30" i="3"/>
  <c r="R682" i="3"/>
  <c r="Q43" i="3"/>
  <c r="AO33" i="3"/>
  <c r="Q22" i="3"/>
  <c r="Q19" i="3"/>
  <c r="Q18" i="3"/>
  <c r="R26" i="3"/>
  <c r="R40" i="3"/>
  <c r="AN32" i="3"/>
  <c r="AO37" i="3"/>
  <c r="S20" i="3"/>
  <c r="S29" i="3"/>
  <c r="S21" i="3"/>
  <c r="T24" i="3"/>
  <c r="T29" i="3"/>
  <c r="T25" i="3"/>
  <c r="T13" i="3"/>
  <c r="S19" i="3"/>
  <c r="S35" i="3"/>
  <c r="S31" i="3"/>
  <c r="S24" i="3"/>
  <c r="S12" i="3"/>
  <c r="T17" i="3"/>
  <c r="S16" i="3"/>
  <c r="T28" i="3"/>
  <c r="S682" i="3"/>
  <c r="S39" i="3"/>
  <c r="T41" i="3"/>
  <c r="S33" i="3"/>
  <c r="T34" i="3"/>
  <c r="S15" i="3"/>
  <c r="T16" i="3"/>
  <c r="T15" i="3"/>
  <c r="S30" i="3"/>
  <c r="T31" i="3"/>
  <c r="T36" i="3"/>
  <c r="S683" i="3"/>
  <c r="R21" i="3"/>
  <c r="R16" i="3"/>
  <c r="Q39" i="3"/>
  <c r="S25" i="3"/>
  <c r="S14" i="3"/>
  <c r="T11" i="3"/>
  <c r="T19" i="3"/>
  <c r="T39" i="3"/>
  <c r="S27" i="3"/>
  <c r="S22" i="3"/>
  <c r="T35" i="3"/>
  <c r="R25" i="3"/>
  <c r="T43" i="3"/>
  <c r="Q42" i="3"/>
  <c r="AO683" i="3"/>
  <c r="AO10" i="3"/>
  <c r="Q28" i="3"/>
  <c r="Q25" i="3"/>
  <c r="AG21" i="3"/>
  <c r="AE684" i="3"/>
  <c r="AK684" i="3"/>
  <c r="O684" i="3"/>
  <c r="AG9" i="3"/>
  <c r="AH36" i="3"/>
  <c r="AG15" i="3"/>
  <c r="AT15" i="3" s="1"/>
  <c r="AH17" i="3"/>
  <c r="AH39" i="3"/>
  <c r="AG42" i="3"/>
  <c r="AT42" i="3" s="1"/>
  <c r="AG34" i="3"/>
  <c r="AH31" i="3"/>
  <c r="AG31" i="3"/>
  <c r="AH41" i="3"/>
  <c r="AH13" i="3"/>
  <c r="AH40" i="3"/>
  <c r="M684" i="3"/>
  <c r="AH20" i="3"/>
  <c r="AT20" i="3" s="1"/>
  <c r="U684" i="3"/>
  <c r="D684" i="3"/>
  <c r="T684" i="3"/>
  <c r="C684" i="3"/>
  <c r="AH16" i="3"/>
  <c r="P684" i="3"/>
  <c r="AM684" i="3"/>
  <c r="R684" i="3"/>
  <c r="AN29" i="3"/>
  <c r="AN31" i="3"/>
  <c r="AN15" i="3"/>
  <c r="AO20" i="3"/>
  <c r="AO25" i="3"/>
  <c r="AO34" i="3"/>
  <c r="AN18" i="3"/>
  <c r="AO35" i="3"/>
  <c r="AN10" i="3"/>
  <c r="AO9" i="3"/>
  <c r="AN13" i="3"/>
  <c r="AO36" i="3"/>
  <c r="AG32" i="3"/>
  <c r="AH682" i="3"/>
  <c r="AG25" i="3"/>
  <c r="AH34" i="3"/>
  <c r="AH19" i="3"/>
  <c r="AT19" i="3" s="1"/>
  <c r="AG11" i="3"/>
  <c r="AH32" i="3"/>
  <c r="AG682" i="3"/>
  <c r="AG36" i="3"/>
  <c r="AH28" i="3"/>
  <c r="B684" i="3"/>
  <c r="AR684" i="3"/>
  <c r="F684" i="3"/>
  <c r="AQ684" i="3"/>
  <c r="BM44" i="3"/>
  <c r="AO44" i="3"/>
  <c r="AG44" i="3"/>
  <c r="AH44" i="3"/>
  <c r="AQ45" i="3"/>
  <c r="AR45" i="3"/>
  <c r="A46" i="3"/>
  <c r="B45" i="3"/>
  <c r="AM45" i="3"/>
  <c r="AK45" i="3"/>
  <c r="T45" i="3"/>
  <c r="C45" i="3"/>
  <c r="Q45" i="3"/>
  <c r="P45" i="3"/>
  <c r="R45" i="3"/>
  <c r="AD45" i="3"/>
  <c r="O45" i="3"/>
  <c r="AE45" i="3"/>
  <c r="M45" i="3"/>
  <c r="U45" i="3"/>
  <c r="AF45" i="3"/>
  <c r="V45" i="3"/>
  <c r="D45" i="3"/>
  <c r="G45" i="3"/>
  <c r="H45" i="3" s="1"/>
  <c r="F45" i="3"/>
  <c r="S45" i="3"/>
  <c r="BN44" i="3"/>
  <c r="AN44" i="3"/>
  <c r="AT683" i="3" l="1"/>
  <c r="AT23" i="3"/>
  <c r="Y14" i="3"/>
  <c r="Z14" i="3" s="1"/>
  <c r="X34" i="3"/>
  <c r="AT33" i="3"/>
  <c r="AU28" i="3"/>
  <c r="D686" i="3"/>
  <c r="Y23" i="3"/>
  <c r="Z23" i="3" s="1"/>
  <c r="X17" i="3"/>
  <c r="Y31" i="3"/>
  <c r="Z31" i="3" s="1"/>
  <c r="X10" i="3"/>
  <c r="AU23" i="3"/>
  <c r="AV23" i="3" s="1"/>
  <c r="D685" i="3"/>
  <c r="X21" i="3"/>
  <c r="AQ685" i="3"/>
  <c r="Y38" i="3"/>
  <c r="Z38" i="3" s="1"/>
  <c r="AK685" i="3"/>
  <c r="AW682" i="3"/>
  <c r="AT11" i="3"/>
  <c r="U685" i="3"/>
  <c r="X28" i="3"/>
  <c r="AH684" i="3"/>
  <c r="AF685" i="3"/>
  <c r="R686" i="3"/>
  <c r="X683" i="3"/>
  <c r="AU35" i="3"/>
  <c r="AV35" i="3" s="1"/>
  <c r="AT37" i="3"/>
  <c r="AP9" i="3"/>
  <c r="S686" i="3"/>
  <c r="X37" i="3"/>
  <c r="B686" i="3"/>
  <c r="AX35" i="3"/>
  <c r="O686" i="3"/>
  <c r="AX21" i="3"/>
  <c r="Y40" i="3"/>
  <c r="Z40" i="3" s="1"/>
  <c r="AX23" i="3"/>
  <c r="M686" i="3"/>
  <c r="Y26" i="3"/>
  <c r="Z26" i="3" s="1"/>
  <c r="X26" i="3"/>
  <c r="AT16" i="3"/>
  <c r="Y24" i="3"/>
  <c r="Z24" i="3" s="1"/>
  <c r="X44" i="3"/>
  <c r="Y34" i="3"/>
  <c r="Z34" i="3" s="1"/>
  <c r="Y19" i="3"/>
  <c r="Z19" i="3" s="1"/>
  <c r="AT38" i="3"/>
  <c r="AV38" i="3" s="1"/>
  <c r="Y29" i="3"/>
  <c r="Z29" i="3" s="1"/>
  <c r="X40" i="3"/>
  <c r="AX12" i="3"/>
  <c r="AX683" i="3"/>
  <c r="X29" i="3"/>
  <c r="AT43" i="3"/>
  <c r="Y10" i="3"/>
  <c r="Z10" i="3" s="1"/>
  <c r="X16" i="3"/>
  <c r="Y37" i="3"/>
  <c r="Z37" i="3" s="1"/>
  <c r="Y33" i="3"/>
  <c r="Z33" i="3" s="1"/>
  <c r="AU21" i="3"/>
  <c r="AU683" i="3"/>
  <c r="AV683" i="3" s="1"/>
  <c r="Y11" i="3"/>
  <c r="Z11" i="3" s="1"/>
  <c r="AT18" i="3"/>
  <c r="AT29" i="3"/>
  <c r="AV29" i="3" s="1"/>
  <c r="D687" i="3"/>
  <c r="AU18" i="3"/>
  <c r="AU25" i="3"/>
  <c r="AW29" i="3"/>
  <c r="X682" i="3"/>
  <c r="AW16" i="3"/>
  <c r="X13" i="3"/>
  <c r="AW21" i="3"/>
  <c r="AW23" i="3"/>
  <c r="X20" i="3"/>
  <c r="AX40" i="3"/>
  <c r="X22" i="3"/>
  <c r="X33" i="3"/>
  <c r="Y28" i="3"/>
  <c r="Z28" i="3" s="1"/>
  <c r="AW33" i="3"/>
  <c r="Y682" i="3"/>
  <c r="Z682" i="3" s="1"/>
  <c r="AX38" i="3"/>
  <c r="X19" i="3"/>
  <c r="Y18" i="3"/>
  <c r="Z18" i="3" s="1"/>
  <c r="X12" i="3"/>
  <c r="Y27" i="3"/>
  <c r="Z27" i="3" s="1"/>
  <c r="Y21" i="3"/>
  <c r="Z21" i="3" s="1"/>
  <c r="X14" i="3"/>
  <c r="AW26" i="3"/>
  <c r="Y32" i="3"/>
  <c r="Z32" i="3" s="1"/>
  <c r="AT26" i="3"/>
  <c r="P687" i="3"/>
  <c r="AX26" i="3"/>
  <c r="AW30" i="3"/>
  <c r="AG684" i="3"/>
  <c r="AU26" i="3"/>
  <c r="AX37" i="3"/>
  <c r="S687" i="3"/>
  <c r="T687" i="3"/>
  <c r="AE687" i="3"/>
  <c r="B687" i="3"/>
  <c r="AX24" i="3"/>
  <c r="AU37" i="3"/>
  <c r="Y683" i="3"/>
  <c r="Z683" i="3" s="1"/>
  <c r="AX43" i="3"/>
  <c r="Y35" i="3"/>
  <c r="Z35" i="3" s="1"/>
  <c r="Y36" i="3"/>
  <c r="Z36" i="3" s="1"/>
  <c r="Y12" i="3"/>
  <c r="Z12" i="3" s="1"/>
  <c r="AU27" i="3"/>
  <c r="X15" i="3"/>
  <c r="AW37" i="3"/>
  <c r="X18" i="3"/>
  <c r="AX33" i="3"/>
  <c r="Y43" i="3"/>
  <c r="Z43" i="3" s="1"/>
  <c r="X31" i="3"/>
  <c r="AX27" i="3"/>
  <c r="AR685" i="3"/>
  <c r="AD685" i="3"/>
  <c r="C687" i="3"/>
  <c r="AU33" i="3"/>
  <c r="R685" i="3"/>
  <c r="F687" i="3"/>
  <c r="G686" i="3"/>
  <c r="H686" i="3" s="1"/>
  <c r="P686" i="3"/>
  <c r="P685" i="3"/>
  <c r="AW24" i="3"/>
  <c r="F686" i="3"/>
  <c r="V686" i="3"/>
  <c r="AE686" i="3"/>
  <c r="M685" i="3"/>
  <c r="Y30" i="3"/>
  <c r="Z30" i="3" s="1"/>
  <c r="X9" i="3"/>
  <c r="Y41" i="3"/>
  <c r="Z41" i="3" s="1"/>
  <c r="Y20" i="3"/>
  <c r="Z20" i="3" s="1"/>
  <c r="Y22" i="3"/>
  <c r="Z22" i="3" s="1"/>
  <c r="Y25" i="3"/>
  <c r="Z25" i="3" s="1"/>
  <c r="X30" i="3"/>
  <c r="X36" i="3"/>
  <c r="Y44" i="3"/>
  <c r="Z44" i="3" s="1"/>
  <c r="AX14" i="3"/>
  <c r="AW27" i="3"/>
  <c r="AT30" i="3"/>
  <c r="AW17" i="3"/>
  <c r="AU43" i="3"/>
  <c r="AW22" i="3"/>
  <c r="AX41" i="3"/>
  <c r="AT12" i="3"/>
  <c r="AV12" i="3" s="1"/>
  <c r="AW683" i="3"/>
  <c r="AW12" i="3"/>
  <c r="AT22" i="3"/>
  <c r="AX16" i="3"/>
  <c r="AU17" i="3"/>
  <c r="AU34" i="3"/>
  <c r="AT41" i="3"/>
  <c r="AT17" i="3"/>
  <c r="X42" i="3"/>
  <c r="Y16" i="3"/>
  <c r="Z16" i="3" s="1"/>
  <c r="Y17" i="3"/>
  <c r="Z17" i="3" s="1"/>
  <c r="X35" i="3"/>
  <c r="X32" i="3"/>
  <c r="X23" i="3"/>
  <c r="AW39" i="3"/>
  <c r="X39" i="3"/>
  <c r="AW43" i="3"/>
  <c r="AU22" i="3"/>
  <c r="AU10" i="3"/>
  <c r="X41" i="3"/>
  <c r="Y39" i="3"/>
  <c r="Z39" i="3" s="1"/>
  <c r="X24" i="3"/>
  <c r="AW18" i="3"/>
  <c r="X27" i="3"/>
  <c r="X38" i="3"/>
  <c r="Y15" i="3"/>
  <c r="Z15" i="3" s="1"/>
  <c r="Y13" i="3"/>
  <c r="Z13" i="3" s="1"/>
  <c r="AU30" i="3"/>
  <c r="AT27" i="3"/>
  <c r="AU14" i="3"/>
  <c r="X43" i="3"/>
  <c r="Y9" i="3"/>
  <c r="Z9" i="3" s="1"/>
  <c r="X11" i="3"/>
  <c r="AW38" i="3"/>
  <c r="R687" i="3"/>
  <c r="Q687" i="3"/>
  <c r="AM687" i="3"/>
  <c r="G687" i="3"/>
  <c r="H687" i="3" s="1"/>
  <c r="M687" i="3"/>
  <c r="AT10" i="3"/>
  <c r="AW10" i="3"/>
  <c r="AX30" i="3"/>
  <c r="AX18" i="3"/>
  <c r="AT40" i="3"/>
  <c r="S685" i="3"/>
  <c r="C685" i="3"/>
  <c r="AM685" i="3"/>
  <c r="O685" i="3"/>
  <c r="AX22" i="3"/>
  <c r="AK687" i="3"/>
  <c r="V687" i="3"/>
  <c r="AD687" i="3"/>
  <c r="T685" i="3"/>
  <c r="AE685" i="3"/>
  <c r="AT24" i="3"/>
  <c r="AW14" i="3"/>
  <c r="U687" i="3"/>
  <c r="AF687" i="3"/>
  <c r="AQ686" i="3"/>
  <c r="T686" i="3"/>
  <c r="C686" i="3"/>
  <c r="AM686" i="3"/>
  <c r="AK686" i="3"/>
  <c r="O687" i="3"/>
  <c r="AQ687" i="3"/>
  <c r="F685" i="3"/>
  <c r="Q686" i="3"/>
  <c r="AD686" i="3"/>
  <c r="V685" i="3"/>
  <c r="Q685" i="3"/>
  <c r="AR686" i="3"/>
  <c r="B685" i="3"/>
  <c r="AF686" i="3"/>
  <c r="AT14" i="3"/>
  <c r="AX15" i="3"/>
  <c r="X25" i="3"/>
  <c r="AW42" i="3"/>
  <c r="AT31" i="3"/>
  <c r="AX10" i="3"/>
  <c r="AT682" i="3"/>
  <c r="AU15" i="3"/>
  <c r="AV15" i="3" s="1"/>
  <c r="AX29" i="3"/>
  <c r="AW34" i="3"/>
  <c r="AX9" i="3"/>
  <c r="AX34" i="3"/>
  <c r="AX39" i="3"/>
  <c r="AX11" i="3"/>
  <c r="AX682" i="3"/>
  <c r="AW28" i="3"/>
  <c r="AU9" i="3"/>
  <c r="AU3" i="3" s="1"/>
  <c r="AU4" i="3" s="1"/>
  <c r="AT9" i="3"/>
  <c r="AT3" i="3" s="1"/>
  <c r="AT4" i="3" s="1"/>
  <c r="AW9" i="3"/>
  <c r="AT21" i="3"/>
  <c r="AX42" i="3"/>
  <c r="AI9" i="3"/>
  <c r="AU42" i="3"/>
  <c r="AV42" i="3" s="1"/>
  <c r="AU16" i="3"/>
  <c r="AX17" i="3"/>
  <c r="AU41" i="3"/>
  <c r="AN684" i="3"/>
  <c r="AU31" i="3"/>
  <c r="AW15" i="3"/>
  <c r="AU682" i="3"/>
  <c r="AT39" i="3"/>
  <c r="AU39" i="3"/>
  <c r="AW11" i="3"/>
  <c r="AX20" i="3"/>
  <c r="AO684" i="3"/>
  <c r="AU11" i="3"/>
  <c r="AW40" i="3"/>
  <c r="AX28" i="3"/>
  <c r="AT36" i="3"/>
  <c r="AW25" i="3"/>
  <c r="Y684" i="3"/>
  <c r="Z684" i="3" s="1"/>
  <c r="AX25" i="3"/>
  <c r="AW31" i="3"/>
  <c r="AX13" i="3"/>
  <c r="AT32" i="3"/>
  <c r="AT13" i="3"/>
  <c r="AW41" i="3"/>
  <c r="AW13" i="3"/>
  <c r="AU13" i="3"/>
  <c r="AT34" i="3"/>
  <c r="AU40" i="3"/>
  <c r="AX32" i="3"/>
  <c r="AT28" i="3"/>
  <c r="AU20" i="3"/>
  <c r="AV20" i="3" s="1"/>
  <c r="AW20" i="3"/>
  <c r="X684" i="3"/>
  <c r="AW32" i="3"/>
  <c r="AX36" i="3"/>
  <c r="AW35" i="3"/>
  <c r="AU32" i="3"/>
  <c r="AU36" i="3"/>
  <c r="AU19" i="3"/>
  <c r="AV19" i="3" s="1"/>
  <c r="AX19" i="3"/>
  <c r="AT25" i="3"/>
  <c r="AW19" i="3"/>
  <c r="AW36" i="3"/>
  <c r="AX31" i="3"/>
  <c r="BM45" i="3"/>
  <c r="AU44" i="3"/>
  <c r="AG45" i="3"/>
  <c r="AO45" i="3"/>
  <c r="AT44" i="3"/>
  <c r="AW44" i="3"/>
  <c r="X45" i="3"/>
  <c r="Y45" i="3"/>
  <c r="Z45" i="3" s="1"/>
  <c r="BN45" i="3"/>
  <c r="AQ46" i="3"/>
  <c r="B46" i="3"/>
  <c r="A47" i="3"/>
  <c r="AR46" i="3"/>
  <c r="D46" i="3"/>
  <c r="AM46" i="3"/>
  <c r="T46" i="3"/>
  <c r="R46" i="3"/>
  <c r="AK46" i="3"/>
  <c r="O46" i="3"/>
  <c r="Q46" i="3"/>
  <c r="AD46" i="3"/>
  <c r="P46" i="3"/>
  <c r="M46" i="3"/>
  <c r="AF46" i="3"/>
  <c r="U46" i="3"/>
  <c r="V46" i="3"/>
  <c r="AE46" i="3"/>
  <c r="G46" i="3"/>
  <c r="H46" i="3" s="1"/>
  <c r="C46" i="3"/>
  <c r="F46" i="3"/>
  <c r="S46" i="3"/>
  <c r="AN45" i="3"/>
  <c r="AX44" i="3"/>
  <c r="AH45" i="3"/>
  <c r="AY12" i="3" l="1"/>
  <c r="BC12" i="3" s="1"/>
  <c r="BD12" i="3" s="1"/>
  <c r="AV33" i="3"/>
  <c r="AV28" i="3"/>
  <c r="AV11" i="3"/>
  <c r="AY16" i="3"/>
  <c r="AY9" i="3"/>
  <c r="AY24" i="3"/>
  <c r="BA23" i="3"/>
  <c r="BB23" i="3" s="1"/>
  <c r="BA29" i="3"/>
  <c r="BB29" i="3" s="1"/>
  <c r="AV14" i="3"/>
  <c r="AV41" i="3"/>
  <c r="AY18" i="3"/>
  <c r="AY36" i="3"/>
  <c r="AY35" i="3"/>
  <c r="BC35" i="3" s="1"/>
  <c r="BG35" i="3" s="1"/>
  <c r="BH35" i="3" s="1"/>
  <c r="BI35" i="3" s="1"/>
  <c r="AW684" i="3"/>
  <c r="AT684" i="3"/>
  <c r="AY682" i="3"/>
  <c r="AO685" i="3"/>
  <c r="AV37" i="3"/>
  <c r="BA37" i="3"/>
  <c r="BF37" i="3" s="1"/>
  <c r="AY17" i="3"/>
  <c r="AY683" i="3"/>
  <c r="BC683" i="3" s="1"/>
  <c r="BG683" i="3" s="1"/>
  <c r="BH683" i="3" s="1"/>
  <c r="BI683" i="3" s="1"/>
  <c r="AY21" i="3"/>
  <c r="BA24" i="3"/>
  <c r="BF24" i="3" s="1"/>
  <c r="AV43" i="3"/>
  <c r="AY23" i="3"/>
  <c r="BC23" i="3" s="1"/>
  <c r="BD23" i="3" s="1"/>
  <c r="AV21" i="3"/>
  <c r="AV18" i="3"/>
  <c r="AY41" i="3"/>
  <c r="AY40" i="3"/>
  <c r="AH687" i="3"/>
  <c r="AG687" i="3"/>
  <c r="AH685" i="3"/>
  <c r="AY38" i="3"/>
  <c r="BC38" i="3" s="1"/>
  <c r="BD38" i="3" s="1"/>
  <c r="AY29" i="3"/>
  <c r="BC29" i="3" s="1"/>
  <c r="BG29" i="3" s="1"/>
  <c r="BH29" i="3" s="1"/>
  <c r="BI29" i="3" s="1"/>
  <c r="AY37" i="3"/>
  <c r="AV30" i="3"/>
  <c r="AV22" i="3"/>
  <c r="AV17" i="3"/>
  <c r="BA33" i="3"/>
  <c r="BF33" i="3" s="1"/>
  <c r="AV26" i="3"/>
  <c r="AY33" i="3"/>
  <c r="BC33" i="3" s="1"/>
  <c r="BD33" i="3" s="1"/>
  <c r="AU684" i="3"/>
  <c r="BA12" i="3"/>
  <c r="BB12" i="3" s="1"/>
  <c r="AV40" i="3"/>
  <c r="AV27" i="3"/>
  <c r="BA30" i="3"/>
  <c r="BQ30" i="3" s="1"/>
  <c r="BA14" i="3"/>
  <c r="BQ14" i="3" s="1"/>
  <c r="AY26" i="3"/>
  <c r="BA26" i="3"/>
  <c r="BB26" i="3" s="1"/>
  <c r="BA38" i="3"/>
  <c r="BB38" i="3" s="1"/>
  <c r="AY30" i="3"/>
  <c r="Y686" i="3"/>
  <c r="Z686" i="3" s="1"/>
  <c r="AG685" i="3"/>
  <c r="BA16" i="3"/>
  <c r="BF16" i="3" s="1"/>
  <c r="BA43" i="3"/>
  <c r="BB43" i="3" s="1"/>
  <c r="X686" i="3"/>
  <c r="AN685" i="3"/>
  <c r="AY14" i="3"/>
  <c r="X687" i="3"/>
  <c r="AY27" i="3"/>
  <c r="BA683" i="3"/>
  <c r="BB683" i="3" s="1"/>
  <c r="AY22" i="3"/>
  <c r="AV10" i="3"/>
  <c r="AY43" i="3"/>
  <c r="BA27" i="3"/>
  <c r="BQ27" i="3" s="1"/>
  <c r="AV16" i="3"/>
  <c r="AV24" i="3"/>
  <c r="AO687" i="3"/>
  <c r="BA18" i="3"/>
  <c r="BB18" i="3" s="1"/>
  <c r="AY39" i="3"/>
  <c r="BA34" i="3"/>
  <c r="BF34" i="3" s="1"/>
  <c r="BA25" i="3"/>
  <c r="BF25" i="3" s="1"/>
  <c r="BA40" i="3"/>
  <c r="BQ40" i="3" s="1"/>
  <c r="BA22" i="3"/>
  <c r="BB22" i="3" s="1"/>
  <c r="AX684" i="3"/>
  <c r="AG686" i="3"/>
  <c r="AO686" i="3"/>
  <c r="Y685" i="3"/>
  <c r="Z685" i="3" s="1"/>
  <c r="X685" i="3"/>
  <c r="BA10" i="3"/>
  <c r="BB10" i="3" s="1"/>
  <c r="AN687" i="3"/>
  <c r="Y687" i="3"/>
  <c r="Z687" i="3" s="1"/>
  <c r="AV32" i="3"/>
  <c r="BA9" i="3"/>
  <c r="BQ9" i="3" s="1"/>
  <c r="AY10" i="3"/>
  <c r="AV25" i="3"/>
  <c r="BA17" i="3"/>
  <c r="BF17" i="3" s="1"/>
  <c r="AH686" i="3"/>
  <c r="AN686" i="3"/>
  <c r="AY15" i="3"/>
  <c r="BC15" i="3" s="1"/>
  <c r="BG15" i="3" s="1"/>
  <c r="BH15" i="3" s="1"/>
  <c r="BI15" i="3" s="1"/>
  <c r="AV34" i="3"/>
  <c r="BA15" i="3"/>
  <c r="BQ15" i="3" s="1"/>
  <c r="BA42" i="3"/>
  <c r="BQ42" i="3" s="1"/>
  <c r="AY42" i="3"/>
  <c r="BC42" i="3" s="1"/>
  <c r="AV36" i="3"/>
  <c r="AV31" i="3"/>
  <c r="BA19" i="3"/>
  <c r="BB19" i="3" s="1"/>
  <c r="AV39" i="3"/>
  <c r="AY20" i="3"/>
  <c r="BC20" i="3" s="1"/>
  <c r="BA682" i="3"/>
  <c r="BF682" i="3" s="1"/>
  <c r="AY34" i="3"/>
  <c r="BA21" i="3"/>
  <c r="BF21" i="3" s="1"/>
  <c r="AV9" i="3"/>
  <c r="BC9" i="3" s="1"/>
  <c r="BG9" i="3" s="1"/>
  <c r="BH9" i="3" s="1"/>
  <c r="BI9" i="3" s="1"/>
  <c r="BA31" i="3"/>
  <c r="BB31" i="3" s="1"/>
  <c r="AV682" i="3"/>
  <c r="AY11" i="3"/>
  <c r="AY28" i="3"/>
  <c r="BC28" i="3" s="1"/>
  <c r="BA39" i="3"/>
  <c r="BF39" i="3" s="1"/>
  <c r="BA11" i="3"/>
  <c r="BF11" i="3" s="1"/>
  <c r="BA41" i="3"/>
  <c r="BF41" i="3" s="1"/>
  <c r="BA28" i="3"/>
  <c r="BB28" i="3" s="1"/>
  <c r="AY31" i="3"/>
  <c r="AY25" i="3"/>
  <c r="AY13" i="3"/>
  <c r="AY32" i="3"/>
  <c r="BA13" i="3"/>
  <c r="BB13" i="3" s="1"/>
  <c r="BA36" i="3"/>
  <c r="BF36" i="3" s="1"/>
  <c r="BA32" i="3"/>
  <c r="BQ32" i="3" s="1"/>
  <c r="AV13" i="3"/>
  <c r="BA35" i="3"/>
  <c r="BB35" i="3" s="1"/>
  <c r="BA20" i="3"/>
  <c r="BF20" i="3" s="1"/>
  <c r="AY19" i="3"/>
  <c r="BC19" i="3" s="1"/>
  <c r="BD19" i="3" s="1"/>
  <c r="BG12" i="3"/>
  <c r="BH12" i="3" s="1"/>
  <c r="BI12" i="3" s="1"/>
  <c r="AV44" i="3"/>
  <c r="BN46" i="3"/>
  <c r="AX45" i="3"/>
  <c r="AY44" i="3"/>
  <c r="AG46" i="3"/>
  <c r="AN46" i="3"/>
  <c r="X46" i="3"/>
  <c r="Y46" i="3"/>
  <c r="Z46" i="3" s="1"/>
  <c r="AQ47" i="3"/>
  <c r="AR47" i="3"/>
  <c r="A48" i="3"/>
  <c r="B47" i="3"/>
  <c r="C47" i="3"/>
  <c r="AM47" i="3"/>
  <c r="D47" i="3"/>
  <c r="AK47" i="3"/>
  <c r="T47" i="3"/>
  <c r="Q47" i="3"/>
  <c r="AD47" i="3"/>
  <c r="R47" i="3"/>
  <c r="P47" i="3"/>
  <c r="O47" i="3"/>
  <c r="AE47" i="3"/>
  <c r="M47" i="3"/>
  <c r="AF47" i="3"/>
  <c r="U47" i="3"/>
  <c r="V47" i="3"/>
  <c r="F47" i="3"/>
  <c r="G47" i="3"/>
  <c r="H47" i="3" s="1"/>
  <c r="S47" i="3"/>
  <c r="BA44" i="3"/>
  <c r="AH46" i="3"/>
  <c r="AT45" i="3"/>
  <c r="AW45" i="3"/>
  <c r="AU45" i="3"/>
  <c r="BM46" i="3"/>
  <c r="AO46" i="3"/>
  <c r="BC11" i="3" l="1"/>
  <c r="BD11" i="3" s="1"/>
  <c r="BC16" i="3"/>
  <c r="BG16" i="3" s="1"/>
  <c r="BH16" i="3" s="1"/>
  <c r="BI16" i="3" s="1"/>
  <c r="BC14" i="3"/>
  <c r="BD14" i="3" s="1"/>
  <c r="BC41" i="3"/>
  <c r="BD41" i="3" s="1"/>
  <c r="BC43" i="3"/>
  <c r="BG43" i="3" s="1"/>
  <c r="BH43" i="3" s="1"/>
  <c r="BI43" i="3" s="1"/>
  <c r="BC24" i="3"/>
  <c r="BD24" i="3" s="1"/>
  <c r="BC37" i="3"/>
  <c r="BG37" i="3" s="1"/>
  <c r="BH37" i="3" s="1"/>
  <c r="BI37" i="3" s="1"/>
  <c r="BQ23" i="3"/>
  <c r="BC18" i="3"/>
  <c r="BG18" i="3" s="1"/>
  <c r="BH18" i="3" s="1"/>
  <c r="BI18" i="3" s="1"/>
  <c r="BQ29" i="3"/>
  <c r="BF23" i="3"/>
  <c r="BJ23" i="3" s="1"/>
  <c r="BK23" i="3" s="1"/>
  <c r="BC34" i="3"/>
  <c r="BD34" i="3" s="1"/>
  <c r="BC17" i="3"/>
  <c r="BD17" i="3" s="1"/>
  <c r="BF29" i="3"/>
  <c r="BC36" i="3"/>
  <c r="BG36" i="3" s="1"/>
  <c r="BH36" i="3" s="1"/>
  <c r="BI36" i="3" s="1"/>
  <c r="AY684" i="3"/>
  <c r="BC682" i="3"/>
  <c r="BD682" i="3" s="1"/>
  <c r="AV684" i="3"/>
  <c r="BB37" i="3"/>
  <c r="BJ36" i="3"/>
  <c r="BK36" i="3" s="1"/>
  <c r="BQ37" i="3"/>
  <c r="BQ24" i="3"/>
  <c r="BB24" i="3"/>
  <c r="BJ24" i="3"/>
  <c r="BK24" i="3" s="1"/>
  <c r="BF30" i="3"/>
  <c r="BJ33" i="3"/>
  <c r="BK33" i="3" s="1"/>
  <c r="BC21" i="3"/>
  <c r="BG21" i="3" s="1"/>
  <c r="BH21" i="3" s="1"/>
  <c r="BI21" i="3" s="1"/>
  <c r="BC26" i="3"/>
  <c r="BG26" i="3" s="1"/>
  <c r="BH26" i="3" s="1"/>
  <c r="BI26" i="3" s="1"/>
  <c r="BC40" i="3"/>
  <c r="BG40" i="3" s="1"/>
  <c r="BH40" i="3" s="1"/>
  <c r="BI40" i="3" s="1"/>
  <c r="AU687" i="3"/>
  <c r="BB30" i="3"/>
  <c r="BC30" i="3"/>
  <c r="BD30" i="3" s="1"/>
  <c r="AT687" i="3"/>
  <c r="BQ26" i="3"/>
  <c r="BF683" i="3"/>
  <c r="AU685" i="3"/>
  <c r="AX685" i="3"/>
  <c r="BA684" i="3"/>
  <c r="BF684" i="3" s="1"/>
  <c r="BQ33" i="3"/>
  <c r="BB33" i="3"/>
  <c r="BB14" i="3"/>
  <c r="BF12" i="3"/>
  <c r="BJ11" i="3" s="1"/>
  <c r="BK11" i="3" s="1"/>
  <c r="BC22" i="3"/>
  <c r="BG22" i="3" s="1"/>
  <c r="BH22" i="3" s="1"/>
  <c r="BI22" i="3" s="1"/>
  <c r="BQ43" i="3"/>
  <c r="AT685" i="3"/>
  <c r="BQ17" i="3"/>
  <c r="BB42" i="3"/>
  <c r="BF43" i="3"/>
  <c r="BF26" i="3"/>
  <c r="BJ25" i="3" s="1"/>
  <c r="BK25" i="3" s="1"/>
  <c r="BQ34" i="3"/>
  <c r="BQ12" i="3"/>
  <c r="AW685" i="3"/>
  <c r="BF14" i="3"/>
  <c r="BC27" i="3"/>
  <c r="BD27" i="3" s="1"/>
  <c r="BF38" i="3"/>
  <c r="BJ38" i="3" s="1"/>
  <c r="BC32" i="3"/>
  <c r="BG32" i="3" s="1"/>
  <c r="BH32" i="3" s="1"/>
  <c r="BI32" i="3" s="1"/>
  <c r="BF32" i="3"/>
  <c r="BJ32" i="3" s="1"/>
  <c r="BK32" i="3" s="1"/>
  <c r="BC25" i="3"/>
  <c r="BG25" i="3" s="1"/>
  <c r="BH25" i="3" s="1"/>
  <c r="BI25" i="3" s="1"/>
  <c r="BQ25" i="3"/>
  <c r="BQ38" i="3"/>
  <c r="BB25" i="3"/>
  <c r="BQ22" i="3"/>
  <c r="BQ16" i="3"/>
  <c r="BB16" i="3"/>
  <c r="BJ16" i="3"/>
  <c r="BK16" i="3" s="1"/>
  <c r="AX687" i="3"/>
  <c r="BQ19" i="3"/>
  <c r="BF22" i="3"/>
  <c r="BQ10" i="3"/>
  <c r="AW687" i="3"/>
  <c r="BC10" i="3"/>
  <c r="BD10" i="3" s="1"/>
  <c r="BB27" i="3"/>
  <c r="BF18" i="3"/>
  <c r="BJ17" i="3" s="1"/>
  <c r="BK17" i="3" s="1"/>
  <c r="BF9" i="3"/>
  <c r="BB34" i="3"/>
  <c r="BF27" i="3"/>
  <c r="BQ18" i="3"/>
  <c r="BF40" i="3"/>
  <c r="BJ40" i="3" s="1"/>
  <c r="BK40" i="3" s="1"/>
  <c r="BQ36" i="3"/>
  <c r="BB36" i="3"/>
  <c r="BB20" i="3"/>
  <c r="BQ13" i="3"/>
  <c r="BF19" i="3"/>
  <c r="BJ19" i="3" s="1"/>
  <c r="BK19" i="3" s="1"/>
  <c r="BB17" i="3"/>
  <c r="BF28" i="3"/>
  <c r="BQ28" i="3"/>
  <c r="BF42" i="3"/>
  <c r="BJ41" i="3" s="1"/>
  <c r="BK41" i="3" s="1"/>
  <c r="BF10" i="3"/>
  <c r="BJ10" i="3" s="1"/>
  <c r="BK10" i="3" s="1"/>
  <c r="BC39" i="3"/>
  <c r="BD39" i="3" s="1"/>
  <c r="BF15" i="3"/>
  <c r="BJ15" i="3" s="1"/>
  <c r="BK15" i="3" s="1"/>
  <c r="BB40" i="3"/>
  <c r="AU686" i="3"/>
  <c r="AT686" i="3"/>
  <c r="BB9" i="3"/>
  <c r="BQ31" i="3"/>
  <c r="BB15" i="3"/>
  <c r="BF31" i="3"/>
  <c r="BB21" i="3"/>
  <c r="BB11" i="3"/>
  <c r="BQ21" i="3"/>
  <c r="AW686" i="3"/>
  <c r="AX686" i="3"/>
  <c r="BC31" i="3"/>
  <c r="BG31" i="3" s="1"/>
  <c r="BH31" i="3" s="1"/>
  <c r="BI31" i="3" s="1"/>
  <c r="BG33" i="3"/>
  <c r="BH33" i="3" s="1"/>
  <c r="BI33" i="3" s="1"/>
  <c r="BG42" i="3"/>
  <c r="BH42" i="3" s="1"/>
  <c r="BI42" i="3" s="1"/>
  <c r="BD42" i="3"/>
  <c r="BG20" i="3"/>
  <c r="BH20" i="3" s="1"/>
  <c r="BI20" i="3" s="1"/>
  <c r="BD20" i="3"/>
  <c r="BQ20" i="3"/>
  <c r="BJ20" i="3"/>
  <c r="BK20" i="3" s="1"/>
  <c r="BB682" i="3"/>
  <c r="BG28" i="3"/>
  <c r="BH28" i="3" s="1"/>
  <c r="BI28" i="3" s="1"/>
  <c r="BD28" i="3"/>
  <c r="BQ39" i="3"/>
  <c r="BF13" i="3"/>
  <c r="BB39" i="3"/>
  <c r="BF35" i="3"/>
  <c r="BJ34" i="3" s="1"/>
  <c r="BK34" i="3" s="1"/>
  <c r="BQ41" i="3"/>
  <c r="BB41" i="3"/>
  <c r="BQ11" i="3"/>
  <c r="BG19" i="3"/>
  <c r="BH19" i="3" s="1"/>
  <c r="BI19" i="3" s="1"/>
  <c r="BC13" i="3"/>
  <c r="BG13" i="3" s="1"/>
  <c r="BH13" i="3" s="1"/>
  <c r="BI13" i="3" s="1"/>
  <c r="BD35" i="3"/>
  <c r="BB32" i="3"/>
  <c r="BQ35" i="3"/>
  <c r="BN47" i="3"/>
  <c r="BD37" i="3"/>
  <c r="BG38" i="3"/>
  <c r="BH38" i="3" s="1"/>
  <c r="BI38" i="3" s="1"/>
  <c r="BG11" i="3"/>
  <c r="BH11" i="3" s="1"/>
  <c r="BI11" i="3" s="1"/>
  <c r="BD683" i="3"/>
  <c r="BG23" i="3"/>
  <c r="BH23" i="3" s="1"/>
  <c r="BI23" i="3" s="1"/>
  <c r="BD15" i="3"/>
  <c r="BD9" i="3"/>
  <c r="BD16" i="3"/>
  <c r="BD29" i="3"/>
  <c r="BC44" i="3"/>
  <c r="BG44" i="3" s="1"/>
  <c r="BH44" i="3" s="1"/>
  <c r="BI44" i="3" s="1"/>
  <c r="AT46" i="3"/>
  <c r="BM47" i="3"/>
  <c r="AO47" i="3"/>
  <c r="AY45" i="3"/>
  <c r="AU46" i="3"/>
  <c r="AX46" i="3"/>
  <c r="AV45" i="3"/>
  <c r="BB44" i="3"/>
  <c r="BF44" i="3"/>
  <c r="BQ44" i="3"/>
  <c r="Y47" i="3"/>
  <c r="Z47" i="3" s="1"/>
  <c r="AR48" i="3"/>
  <c r="B48" i="3"/>
  <c r="AQ48" i="3"/>
  <c r="A49" i="3"/>
  <c r="AM48" i="3"/>
  <c r="R48" i="3"/>
  <c r="AK48" i="3"/>
  <c r="S48" i="3"/>
  <c r="T48" i="3"/>
  <c r="AD48" i="3"/>
  <c r="O48" i="3"/>
  <c r="P48" i="3"/>
  <c r="M48" i="3"/>
  <c r="AE48" i="3"/>
  <c r="AF48" i="3"/>
  <c r="U48" i="3"/>
  <c r="V48" i="3"/>
  <c r="Q48" i="3"/>
  <c r="C48" i="3"/>
  <c r="D48" i="3"/>
  <c r="G48" i="3"/>
  <c r="H48" i="3" s="1"/>
  <c r="F48" i="3"/>
  <c r="BA45" i="3"/>
  <c r="AW46" i="3"/>
  <c r="AG47" i="3"/>
  <c r="AH47" i="3"/>
  <c r="X47" i="3"/>
  <c r="AN47" i="3"/>
  <c r="BJ22" i="3" l="1"/>
  <c r="BK22" i="3" s="1"/>
  <c r="BG14" i="3"/>
  <c r="BH14" i="3" s="1"/>
  <c r="BI14" i="3" s="1"/>
  <c r="BG24" i="3"/>
  <c r="BH24" i="3" s="1"/>
  <c r="BI24" i="3" s="1"/>
  <c r="BD43" i="3"/>
  <c r="BG41" i="3"/>
  <c r="BH41" i="3" s="1"/>
  <c r="BI41" i="3" s="1"/>
  <c r="BJ28" i="3"/>
  <c r="BK28" i="3" s="1"/>
  <c r="BD18" i="3"/>
  <c r="BG17" i="3"/>
  <c r="BH17" i="3" s="1"/>
  <c r="BI17" i="3" s="1"/>
  <c r="BJ29" i="3"/>
  <c r="BK29" i="3" s="1"/>
  <c r="BG682" i="3"/>
  <c r="BH682" i="3" s="1"/>
  <c r="BI682" i="3" s="1"/>
  <c r="BD36" i="3"/>
  <c r="BG34" i="3"/>
  <c r="BH34" i="3" s="1"/>
  <c r="BI34" i="3" s="1"/>
  <c r="BC684" i="3"/>
  <c r="BD684" i="3" s="1"/>
  <c r="BD26" i="3"/>
  <c r="BJ30" i="3"/>
  <c r="BK30" i="3" s="1"/>
  <c r="BD21" i="3"/>
  <c r="BD40" i="3"/>
  <c r="AV687" i="3"/>
  <c r="AO48" i="3"/>
  <c r="AY687" i="3"/>
  <c r="AV46" i="3"/>
  <c r="BG30" i="3"/>
  <c r="BH30" i="3" s="1"/>
  <c r="BI30" i="3" s="1"/>
  <c r="BJ43" i="3"/>
  <c r="BK43" i="3" s="1"/>
  <c r="BB684" i="3"/>
  <c r="AV685" i="3"/>
  <c r="BJ37" i="3"/>
  <c r="BK37" i="3" s="1"/>
  <c r="BD22" i="3"/>
  <c r="BJ13" i="3"/>
  <c r="BK13" i="3" s="1"/>
  <c r="AY685" i="3"/>
  <c r="BJ26" i="3"/>
  <c r="BK26" i="3" s="1"/>
  <c r="BD25" i="3"/>
  <c r="BA685" i="3"/>
  <c r="BB685" i="3" s="1"/>
  <c r="BG27" i="3"/>
  <c r="BH27" i="3" s="1"/>
  <c r="BI27" i="3" s="1"/>
  <c r="BD32" i="3"/>
  <c r="BA687" i="3"/>
  <c r="BB687" i="3" s="1"/>
  <c r="BJ31" i="3"/>
  <c r="BK31" i="3" s="1"/>
  <c r="BJ27" i="3"/>
  <c r="BK27" i="3" s="1"/>
  <c r="BJ21" i="3"/>
  <c r="BK21" i="3" s="1"/>
  <c r="BJ39" i="3"/>
  <c r="BJ42" i="3"/>
  <c r="BK42" i="3" s="1"/>
  <c r="BJ12" i="3"/>
  <c r="BK12" i="3" s="1"/>
  <c r="BG10" i="3"/>
  <c r="BH10" i="3" s="1"/>
  <c r="BI10" i="3" s="1"/>
  <c r="BJ18" i="3"/>
  <c r="BK18" i="3" s="1"/>
  <c r="BJ9" i="3"/>
  <c r="BK9" i="3" s="1"/>
  <c r="BG39" i="3"/>
  <c r="BH39" i="3" s="1"/>
  <c r="BI39" i="3" s="1"/>
  <c r="BD31" i="3"/>
  <c r="BJ14" i="3"/>
  <c r="BK14" i="3" s="1"/>
  <c r="BJ35" i="3"/>
  <c r="BK35" i="3" s="1"/>
  <c r="AV686" i="3"/>
  <c r="BA686" i="3"/>
  <c r="BB686" i="3" s="1"/>
  <c r="AY686" i="3"/>
  <c r="BK38" i="3"/>
  <c r="BD13" i="3"/>
  <c r="BD44" i="3"/>
  <c r="BN48" i="3"/>
  <c r="BC45" i="3"/>
  <c r="BD45" i="3" s="1"/>
  <c r="BA46" i="3"/>
  <c r="BQ46" i="3" s="1"/>
  <c r="AU47" i="3"/>
  <c r="AH48" i="3"/>
  <c r="AN48" i="3"/>
  <c r="X48" i="3"/>
  <c r="AY46" i="3"/>
  <c r="BB45" i="3"/>
  <c r="BF45" i="3"/>
  <c r="BJ44" i="3" s="1"/>
  <c r="BK44" i="3" s="1"/>
  <c r="BQ45" i="3"/>
  <c r="Y48" i="3"/>
  <c r="Z48" i="3" s="1"/>
  <c r="AQ49" i="3"/>
  <c r="AR49" i="3"/>
  <c r="A50" i="3"/>
  <c r="B49" i="3"/>
  <c r="D49" i="3"/>
  <c r="AK49" i="3"/>
  <c r="R49" i="3"/>
  <c r="AM49" i="3"/>
  <c r="S49" i="3"/>
  <c r="Q49" i="3"/>
  <c r="AD49" i="3"/>
  <c r="AE49" i="3"/>
  <c r="U49" i="3"/>
  <c r="P49" i="3"/>
  <c r="O49" i="3"/>
  <c r="AF49" i="3"/>
  <c r="M49" i="3"/>
  <c r="V49" i="3"/>
  <c r="C49" i="3"/>
  <c r="G49" i="3"/>
  <c r="H49" i="3" s="1"/>
  <c r="F49" i="3"/>
  <c r="T49" i="3"/>
  <c r="AT47" i="3"/>
  <c r="AW47" i="3"/>
  <c r="BM48" i="3"/>
  <c r="AG48" i="3"/>
  <c r="AX47" i="3"/>
  <c r="BG684" i="3" l="1"/>
  <c r="BH684" i="3" s="1"/>
  <c r="BI684" i="3" s="1"/>
  <c r="BC687" i="3"/>
  <c r="BD687" i="3" s="1"/>
  <c r="BC46" i="3"/>
  <c r="BG46" i="3" s="1"/>
  <c r="BH46" i="3" s="1"/>
  <c r="BI46" i="3" s="1"/>
  <c r="BC685" i="3"/>
  <c r="BD685" i="3" s="1"/>
  <c r="BK39" i="3"/>
  <c r="BF685" i="3"/>
  <c r="BF687" i="3"/>
  <c r="BG685" i="3"/>
  <c r="BH685" i="3" s="1"/>
  <c r="BI685" i="3" s="1"/>
  <c r="BC686" i="3"/>
  <c r="BF686" i="3"/>
  <c r="AN49" i="3"/>
  <c r="BB46" i="3"/>
  <c r="BM49" i="3"/>
  <c r="BG45" i="3"/>
  <c r="BH45" i="3" s="1"/>
  <c r="BI45" i="3" s="1"/>
  <c r="BF46" i="3"/>
  <c r="BJ45" i="3" s="1"/>
  <c r="BN49" i="3"/>
  <c r="AW48" i="3"/>
  <c r="Y49" i="3"/>
  <c r="Z49" i="3" s="1"/>
  <c r="AV47" i="3"/>
  <c r="BA47" i="3"/>
  <c r="AQ50" i="3"/>
  <c r="B50" i="3"/>
  <c r="A51" i="3"/>
  <c r="AR50" i="3"/>
  <c r="C50" i="3"/>
  <c r="AK50" i="3"/>
  <c r="T50" i="3"/>
  <c r="AM50" i="3"/>
  <c r="Q50" i="3"/>
  <c r="AD50" i="3"/>
  <c r="P50" i="3"/>
  <c r="S50" i="3"/>
  <c r="O50" i="3"/>
  <c r="AE50" i="3"/>
  <c r="AF50" i="3"/>
  <c r="U50" i="3"/>
  <c r="M50" i="3"/>
  <c r="V50" i="3"/>
  <c r="D50" i="3"/>
  <c r="G50" i="3"/>
  <c r="H50" i="3" s="1"/>
  <c r="F50" i="3"/>
  <c r="BM50" i="3" s="1"/>
  <c r="R50" i="3"/>
  <c r="AU48" i="3"/>
  <c r="AX48" i="3"/>
  <c r="X49" i="3"/>
  <c r="AH49" i="3"/>
  <c r="AY47" i="3"/>
  <c r="AT48" i="3"/>
  <c r="AG49" i="3"/>
  <c r="AO49" i="3"/>
  <c r="AN50" i="3" l="1"/>
  <c r="BD46" i="3"/>
  <c r="BG687" i="3"/>
  <c r="BH687" i="3" s="1"/>
  <c r="BI687" i="3" s="1"/>
  <c r="BG686" i="3"/>
  <c r="BH686" i="3" s="1"/>
  <c r="BI686" i="3" s="1"/>
  <c r="BD686" i="3"/>
  <c r="BN50" i="3"/>
  <c r="BC47" i="3"/>
  <c r="BD47" i="3" s="1"/>
  <c r="AY48" i="3"/>
  <c r="AG50" i="3"/>
  <c r="BK45" i="3"/>
  <c r="Y50" i="3"/>
  <c r="Z50" i="3" s="1"/>
  <c r="AQ51" i="3"/>
  <c r="AR51" i="3"/>
  <c r="A52" i="3"/>
  <c r="B51" i="3"/>
  <c r="D51" i="3"/>
  <c r="S51" i="3"/>
  <c r="AK51" i="3"/>
  <c r="AM51" i="3"/>
  <c r="AD51" i="3"/>
  <c r="Q51" i="3"/>
  <c r="R51" i="3"/>
  <c r="P51" i="3"/>
  <c r="O51" i="3"/>
  <c r="AE51" i="3"/>
  <c r="M51" i="3"/>
  <c r="AF51" i="3"/>
  <c r="U51" i="3"/>
  <c r="V51" i="3"/>
  <c r="C51" i="3"/>
  <c r="G51" i="3"/>
  <c r="H51" i="3" s="1"/>
  <c r="F51" i="3"/>
  <c r="BM51" i="3" s="1"/>
  <c r="T51" i="3"/>
  <c r="AX49" i="3"/>
  <c r="AO50" i="3"/>
  <c r="AT49" i="3"/>
  <c r="AW49" i="3"/>
  <c r="X50" i="3"/>
  <c r="AV48" i="3"/>
  <c r="BA48" i="3"/>
  <c r="BB47" i="3"/>
  <c r="BQ47" i="3"/>
  <c r="BF47" i="3"/>
  <c r="BJ46" i="3" s="1"/>
  <c r="BK46" i="3" s="1"/>
  <c r="AU49" i="3"/>
  <c r="AH50" i="3"/>
  <c r="AU50" i="3" l="1"/>
  <c r="BN51" i="3"/>
  <c r="BG47" i="3"/>
  <c r="BH47" i="3" s="1"/>
  <c r="BI47" i="3" s="1"/>
  <c r="BC48" i="3"/>
  <c r="BG48" i="3" s="1"/>
  <c r="BH48" i="3" s="1"/>
  <c r="BI48" i="3" s="1"/>
  <c r="Y51" i="3"/>
  <c r="Z51" i="3" s="1"/>
  <c r="AN51" i="3"/>
  <c r="AT50" i="3"/>
  <c r="AV50" i="3" s="1"/>
  <c r="AW50" i="3"/>
  <c r="AG51" i="3"/>
  <c r="AY49" i="3"/>
  <c r="BF48" i="3"/>
  <c r="BJ47" i="3" s="1"/>
  <c r="BK47" i="3" s="1"/>
  <c r="BB48" i="3"/>
  <c r="BQ48" i="3"/>
  <c r="AV49" i="3"/>
  <c r="BA49" i="3"/>
  <c r="AR52" i="3"/>
  <c r="B52" i="3"/>
  <c r="AQ52" i="3"/>
  <c r="A53" i="3"/>
  <c r="D52" i="3"/>
  <c r="AK52" i="3"/>
  <c r="R52" i="3"/>
  <c r="AM52" i="3"/>
  <c r="C52" i="3"/>
  <c r="P52" i="3"/>
  <c r="AD52" i="3"/>
  <c r="M52" i="3"/>
  <c r="AE52" i="3"/>
  <c r="U52" i="3"/>
  <c r="O52" i="3"/>
  <c r="AF52" i="3"/>
  <c r="V52" i="3"/>
  <c r="Q52" i="3"/>
  <c r="G52" i="3"/>
  <c r="H52" i="3" s="1"/>
  <c r="F52" i="3"/>
  <c r="T52" i="3"/>
  <c r="S52" i="3"/>
  <c r="AX50" i="3"/>
  <c r="X51" i="3"/>
  <c r="AH51" i="3"/>
  <c r="AO51" i="3"/>
  <c r="BD48" i="3" l="1"/>
  <c r="BN52" i="3"/>
  <c r="AY50" i="3"/>
  <c r="BC50" i="3" s="1"/>
  <c r="BG50" i="3" s="1"/>
  <c r="BH50" i="3" s="1"/>
  <c r="BI50" i="3" s="1"/>
  <c r="AN52" i="3"/>
  <c r="BM52" i="3"/>
  <c r="AT51" i="3"/>
  <c r="AG52" i="3"/>
  <c r="BC49" i="3"/>
  <c r="BG49" i="3" s="1"/>
  <c r="BH49" i="3" s="1"/>
  <c r="BI49" i="3" s="1"/>
  <c r="AW51" i="3"/>
  <c r="AU51" i="3"/>
  <c r="X52" i="3"/>
  <c r="Y52" i="3"/>
  <c r="Z52" i="3" s="1"/>
  <c r="BA50" i="3"/>
  <c r="BF50" i="3" s="1"/>
  <c r="AQ53" i="3"/>
  <c r="AR53" i="3"/>
  <c r="A54" i="3"/>
  <c r="B53" i="3"/>
  <c r="S53" i="3"/>
  <c r="AM53" i="3"/>
  <c r="AK53" i="3"/>
  <c r="Q53" i="3"/>
  <c r="AD53" i="3"/>
  <c r="P53" i="3"/>
  <c r="T53" i="3"/>
  <c r="R53" i="3"/>
  <c r="O53" i="3"/>
  <c r="AF53" i="3"/>
  <c r="M53" i="3"/>
  <c r="AE53" i="3"/>
  <c r="U53" i="3"/>
  <c r="V53" i="3"/>
  <c r="F53" i="3"/>
  <c r="D53" i="3"/>
  <c r="C53" i="3"/>
  <c r="G53" i="3"/>
  <c r="H53" i="3" s="1"/>
  <c r="BN53" i="3" s="1"/>
  <c r="BQ49" i="3"/>
  <c r="BB49" i="3"/>
  <c r="BF49" i="3"/>
  <c r="BJ48" i="3" s="1"/>
  <c r="BK48" i="3" s="1"/>
  <c r="AX51" i="3"/>
  <c r="AO52" i="3"/>
  <c r="AH52" i="3"/>
  <c r="AV51" i="3" l="1"/>
  <c r="AX52" i="3"/>
  <c r="BD49" i="3"/>
  <c r="BM53" i="3"/>
  <c r="BD50" i="3"/>
  <c r="BA51" i="3"/>
  <c r="BF51" i="3" s="1"/>
  <c r="AT52" i="3"/>
  <c r="AU52" i="3"/>
  <c r="AW52" i="3"/>
  <c r="AH53" i="3"/>
  <c r="AO53" i="3"/>
  <c r="BB50" i="3"/>
  <c r="BQ50" i="3"/>
  <c r="Y53" i="3"/>
  <c r="Z53" i="3" s="1"/>
  <c r="AY51" i="3"/>
  <c r="AG53" i="3"/>
  <c r="AN53" i="3"/>
  <c r="BJ49" i="3"/>
  <c r="BK49" i="3" s="1"/>
  <c r="AQ54" i="3"/>
  <c r="B54" i="3"/>
  <c r="A55" i="3"/>
  <c r="AR54" i="3"/>
  <c r="D54" i="3"/>
  <c r="C54" i="3"/>
  <c r="AK54" i="3"/>
  <c r="S54" i="3"/>
  <c r="AM54" i="3"/>
  <c r="Q54" i="3"/>
  <c r="R54" i="3"/>
  <c r="O54" i="3"/>
  <c r="AD54" i="3"/>
  <c r="M54" i="3"/>
  <c r="AE54" i="3"/>
  <c r="AF54" i="3"/>
  <c r="U54" i="3"/>
  <c r="P54" i="3"/>
  <c r="V54" i="3"/>
  <c r="F54" i="3"/>
  <c r="G54" i="3"/>
  <c r="H54" i="3" s="1"/>
  <c r="T54" i="3"/>
  <c r="X53" i="3"/>
  <c r="BC51" i="3" l="1"/>
  <c r="BG51" i="3" s="1"/>
  <c r="BH51" i="3" s="1"/>
  <c r="BI51" i="3" s="1"/>
  <c r="BN54" i="3"/>
  <c r="BM54" i="3"/>
  <c r="BQ51" i="3"/>
  <c r="AN54" i="3"/>
  <c r="AY52" i="3"/>
  <c r="AG54" i="3"/>
  <c r="BB51" i="3"/>
  <c r="AX53" i="3"/>
  <c r="BA52" i="3"/>
  <c r="BF52" i="3" s="1"/>
  <c r="BJ51" i="3" s="1"/>
  <c r="AT53" i="3"/>
  <c r="AU53" i="3"/>
  <c r="AV52" i="3"/>
  <c r="AH54" i="3"/>
  <c r="AO54" i="3"/>
  <c r="Y54" i="3"/>
  <c r="Z54" i="3" s="1"/>
  <c r="X54" i="3"/>
  <c r="AW53" i="3"/>
  <c r="AQ55" i="3"/>
  <c r="AR55" i="3"/>
  <c r="A56" i="3"/>
  <c r="B55" i="3"/>
  <c r="C55" i="3"/>
  <c r="AM55" i="3"/>
  <c r="AK55" i="3"/>
  <c r="T55" i="3"/>
  <c r="Q55" i="3"/>
  <c r="R55" i="3"/>
  <c r="AD55" i="3"/>
  <c r="O55" i="3"/>
  <c r="P55" i="3"/>
  <c r="AE55" i="3"/>
  <c r="M55" i="3"/>
  <c r="V55" i="3"/>
  <c r="U55" i="3"/>
  <c r="AF55" i="3"/>
  <c r="G55" i="3"/>
  <c r="H55" i="3" s="1"/>
  <c r="F55" i="3"/>
  <c r="D55" i="3"/>
  <c r="S55" i="3"/>
  <c r="BJ50" i="3"/>
  <c r="BK50" i="3" s="1"/>
  <c r="BD51" i="3" l="1"/>
  <c r="BK51" i="3"/>
  <c r="AY53" i="3"/>
  <c r="AU54" i="3"/>
  <c r="BB52" i="3"/>
  <c r="BM55" i="3"/>
  <c r="BC52" i="3"/>
  <c r="BG52" i="3" s="1"/>
  <c r="BH52" i="3" s="1"/>
  <c r="BI52" i="3" s="1"/>
  <c r="AT54" i="3"/>
  <c r="BQ52" i="3"/>
  <c r="AV53" i="3"/>
  <c r="AN55" i="3"/>
  <c r="AX54" i="3"/>
  <c r="AW54" i="3"/>
  <c r="Y55" i="3"/>
  <c r="Z55" i="3" s="1"/>
  <c r="AR56" i="3"/>
  <c r="B56" i="3"/>
  <c r="AQ56" i="3"/>
  <c r="A57" i="3"/>
  <c r="C56" i="3"/>
  <c r="T56" i="3"/>
  <c r="Q56" i="3"/>
  <c r="AK56" i="3"/>
  <c r="AM56" i="3"/>
  <c r="R56" i="3"/>
  <c r="AD56" i="3"/>
  <c r="P56" i="3"/>
  <c r="O56" i="3"/>
  <c r="AE56" i="3"/>
  <c r="V56" i="3"/>
  <c r="M56" i="3"/>
  <c r="AF56" i="3"/>
  <c r="U56" i="3"/>
  <c r="G56" i="3"/>
  <c r="H56" i="3" s="1"/>
  <c r="F56" i="3"/>
  <c r="D56" i="3"/>
  <c r="S56" i="3"/>
  <c r="BN55" i="3"/>
  <c r="AH55" i="3"/>
  <c r="AO55" i="3"/>
  <c r="BA53" i="3"/>
  <c r="X55" i="3"/>
  <c r="AG55" i="3"/>
  <c r="BD52" i="3" l="1"/>
  <c r="AV54" i="3"/>
  <c r="BC53" i="3"/>
  <c r="BG53" i="3" s="1"/>
  <c r="BH53" i="3" s="1"/>
  <c r="BI53" i="3" s="1"/>
  <c r="AN56" i="3"/>
  <c r="BM56" i="3"/>
  <c r="BA54" i="3"/>
  <c r="BB54" i="3" s="1"/>
  <c r="AY54" i="3"/>
  <c r="AW55" i="3"/>
  <c r="X56" i="3"/>
  <c r="Y56" i="3"/>
  <c r="Z56" i="3" s="1"/>
  <c r="AT55" i="3"/>
  <c r="BN56" i="3"/>
  <c r="AH56" i="3"/>
  <c r="BB53" i="3"/>
  <c r="BQ53" i="3"/>
  <c r="BF53" i="3"/>
  <c r="BJ52" i="3" s="1"/>
  <c r="BK52" i="3" s="1"/>
  <c r="AU55" i="3"/>
  <c r="AX55" i="3"/>
  <c r="AQ57" i="3"/>
  <c r="AR57" i="3"/>
  <c r="A58" i="3"/>
  <c r="B57" i="3"/>
  <c r="AM57" i="3"/>
  <c r="Q57" i="3"/>
  <c r="AK57" i="3"/>
  <c r="T57" i="3"/>
  <c r="P57" i="3"/>
  <c r="O57" i="3"/>
  <c r="AD57" i="3"/>
  <c r="AF57" i="3"/>
  <c r="U57" i="3"/>
  <c r="AE57" i="3"/>
  <c r="M57" i="3"/>
  <c r="V57" i="3"/>
  <c r="C57" i="3"/>
  <c r="D57" i="3"/>
  <c r="G57" i="3"/>
  <c r="H57" i="3" s="1"/>
  <c r="R57" i="3"/>
  <c r="F57" i="3"/>
  <c r="BM57" i="3" s="1"/>
  <c r="S57" i="3"/>
  <c r="AG56" i="3"/>
  <c r="AO56" i="3"/>
  <c r="AO57" i="3" l="1"/>
  <c r="BC54" i="3"/>
  <c r="BD54" i="3" s="1"/>
  <c r="BD53" i="3"/>
  <c r="BN57" i="3"/>
  <c r="AY55" i="3"/>
  <c r="BF54" i="3"/>
  <c r="BJ53" i="3" s="1"/>
  <c r="BK53" i="3" s="1"/>
  <c r="BQ54" i="3"/>
  <c r="AH57" i="3"/>
  <c r="Y57" i="3"/>
  <c r="Z57" i="3" s="1"/>
  <c r="AV55" i="3"/>
  <c r="BA55" i="3"/>
  <c r="AW56" i="3"/>
  <c r="X57" i="3"/>
  <c r="AG57" i="3"/>
  <c r="AT56" i="3"/>
  <c r="AX56" i="3"/>
  <c r="AQ58" i="3"/>
  <c r="B58" i="3"/>
  <c r="A59" i="3"/>
  <c r="AR58" i="3"/>
  <c r="D58" i="3"/>
  <c r="AK58" i="3"/>
  <c r="S58" i="3"/>
  <c r="Q58" i="3"/>
  <c r="AM58" i="3"/>
  <c r="T58" i="3"/>
  <c r="R58" i="3"/>
  <c r="AD58" i="3"/>
  <c r="P58" i="3"/>
  <c r="O58" i="3"/>
  <c r="AE58" i="3"/>
  <c r="M58" i="3"/>
  <c r="AF58" i="3"/>
  <c r="U58" i="3"/>
  <c r="V58" i="3"/>
  <c r="C58" i="3"/>
  <c r="G58" i="3"/>
  <c r="H58" i="3" s="1"/>
  <c r="F58" i="3"/>
  <c r="BM58" i="3" s="1"/>
  <c r="AN57" i="3"/>
  <c r="AU56" i="3"/>
  <c r="BN58" i="3" l="1"/>
  <c r="AT57" i="3"/>
  <c r="BG54" i="3"/>
  <c r="BH54" i="3" s="1"/>
  <c r="BI54" i="3" s="1"/>
  <c r="BC55" i="3"/>
  <c r="BG55" i="3" s="1"/>
  <c r="BH55" i="3" s="1"/>
  <c r="BI55" i="3" s="1"/>
  <c r="AN58" i="3"/>
  <c r="AU57" i="3"/>
  <c r="AX57" i="3"/>
  <c r="Y58" i="3"/>
  <c r="Z58" i="3" s="1"/>
  <c r="AQ59" i="3"/>
  <c r="AR59" i="3"/>
  <c r="A60" i="3"/>
  <c r="B59" i="3"/>
  <c r="D59" i="3"/>
  <c r="AK59" i="3"/>
  <c r="C59" i="3"/>
  <c r="AM59" i="3"/>
  <c r="R59" i="3"/>
  <c r="Q59" i="3"/>
  <c r="AD59" i="3"/>
  <c r="P59" i="3"/>
  <c r="O59" i="3"/>
  <c r="AE59" i="3"/>
  <c r="M59" i="3"/>
  <c r="V59" i="3"/>
  <c r="AF59" i="3"/>
  <c r="U59" i="3"/>
  <c r="F59" i="3"/>
  <c r="G59" i="3"/>
  <c r="H59" i="3" s="1"/>
  <c r="T59" i="3"/>
  <c r="S59" i="3"/>
  <c r="BA56" i="3"/>
  <c r="AV56" i="3"/>
  <c r="AG58" i="3"/>
  <c r="AW57" i="3"/>
  <c r="AY56" i="3"/>
  <c r="BQ55" i="3"/>
  <c r="BF55" i="3"/>
  <c r="BJ54" i="3" s="1"/>
  <c r="BK54" i="3" s="1"/>
  <c r="BB55" i="3"/>
  <c r="X58" i="3"/>
  <c r="AH58" i="3"/>
  <c r="AO58" i="3"/>
  <c r="AV57" i="3" l="1"/>
  <c r="BM59" i="3"/>
  <c r="BD55" i="3"/>
  <c r="AN59" i="3"/>
  <c r="AU58" i="3"/>
  <c r="BN59" i="3"/>
  <c r="AY57" i="3"/>
  <c r="BC57" i="3" s="1"/>
  <c r="AG59" i="3"/>
  <c r="BA57" i="3"/>
  <c r="BB57" i="3" s="1"/>
  <c r="X59" i="3"/>
  <c r="AT58" i="3"/>
  <c r="AW58" i="3"/>
  <c r="BB56" i="3"/>
  <c r="BQ56" i="3"/>
  <c r="BF56" i="3"/>
  <c r="BJ55" i="3" s="1"/>
  <c r="BK55" i="3" s="1"/>
  <c r="Y59" i="3"/>
  <c r="Z59" i="3" s="1"/>
  <c r="AR60" i="3"/>
  <c r="B60" i="3"/>
  <c r="AQ60" i="3"/>
  <c r="A61" i="3"/>
  <c r="D60" i="3"/>
  <c r="AK60" i="3"/>
  <c r="AM60" i="3"/>
  <c r="T60" i="3"/>
  <c r="Q60" i="3"/>
  <c r="AD60" i="3"/>
  <c r="O60" i="3"/>
  <c r="S60" i="3"/>
  <c r="P60" i="3"/>
  <c r="AF60" i="3"/>
  <c r="V60" i="3"/>
  <c r="M60" i="3"/>
  <c r="AE60" i="3"/>
  <c r="U60" i="3"/>
  <c r="G60" i="3"/>
  <c r="H60" i="3" s="1"/>
  <c r="F60" i="3"/>
  <c r="R60" i="3"/>
  <c r="C60" i="3"/>
  <c r="AX58" i="3"/>
  <c r="AH59" i="3"/>
  <c r="BC56" i="3"/>
  <c r="AO59" i="3"/>
  <c r="AU59" i="3" l="1"/>
  <c r="BN60" i="3"/>
  <c r="BQ57" i="3"/>
  <c r="AW59" i="3"/>
  <c r="AT59" i="3"/>
  <c r="AN60" i="3"/>
  <c r="BF57" i="3"/>
  <c r="BJ56" i="3" s="1"/>
  <c r="BK56" i="3" s="1"/>
  <c r="X60" i="3"/>
  <c r="AG60" i="3"/>
  <c r="AQ61" i="3"/>
  <c r="AR61" i="3"/>
  <c r="A62" i="3"/>
  <c r="B61" i="3"/>
  <c r="D61" i="3"/>
  <c r="C61" i="3"/>
  <c r="AM61" i="3"/>
  <c r="S61" i="3"/>
  <c r="AK61" i="3"/>
  <c r="Q61" i="3"/>
  <c r="R61" i="3"/>
  <c r="AD61" i="3"/>
  <c r="P61" i="3"/>
  <c r="M61" i="3"/>
  <c r="AE61" i="3"/>
  <c r="O61" i="3"/>
  <c r="V61" i="3"/>
  <c r="U61" i="3"/>
  <c r="AF61" i="3"/>
  <c r="F61" i="3"/>
  <c r="G61" i="3"/>
  <c r="H61" i="3" s="1"/>
  <c r="T61" i="3"/>
  <c r="BA58" i="3"/>
  <c r="AV58" i="3"/>
  <c r="AX59" i="3"/>
  <c r="BM60" i="3"/>
  <c r="AH60" i="3"/>
  <c r="AO60" i="3"/>
  <c r="BD56" i="3"/>
  <c r="BG56" i="3"/>
  <c r="BH56" i="3" s="1"/>
  <c r="BI56" i="3" s="1"/>
  <c r="BD57" i="3"/>
  <c r="BG57" i="3"/>
  <c r="BH57" i="3" s="1"/>
  <c r="BI57" i="3" s="1"/>
  <c r="Y60" i="3"/>
  <c r="Z60" i="3" s="1"/>
  <c r="AY58" i="3"/>
  <c r="AV59" i="3" l="1"/>
  <c r="BN61" i="3"/>
  <c r="BM61" i="3"/>
  <c r="AY59" i="3"/>
  <c r="BC59" i="3" s="1"/>
  <c r="BG59" i="3" s="1"/>
  <c r="BH59" i="3" s="1"/>
  <c r="BI59" i="3" s="1"/>
  <c r="AO61" i="3"/>
  <c r="AT60" i="3"/>
  <c r="AW60" i="3"/>
  <c r="BC58" i="3"/>
  <c r="BG58" i="3" s="1"/>
  <c r="BH58" i="3" s="1"/>
  <c r="BI58" i="3" s="1"/>
  <c r="AX60" i="3"/>
  <c r="AH61" i="3"/>
  <c r="AG61" i="3"/>
  <c r="BB58" i="3"/>
  <c r="BQ58" i="3"/>
  <c r="BF58" i="3"/>
  <c r="BJ57" i="3" s="1"/>
  <c r="BK57" i="3" s="1"/>
  <c r="AU60" i="3"/>
  <c r="Y61" i="3"/>
  <c r="Z61" i="3" s="1"/>
  <c r="X61" i="3"/>
  <c r="BA59" i="3"/>
  <c r="AQ62" i="3"/>
  <c r="B62" i="3"/>
  <c r="A63" i="3"/>
  <c r="AR62" i="3"/>
  <c r="D62" i="3"/>
  <c r="AM62" i="3"/>
  <c r="Q62" i="3"/>
  <c r="R62" i="3"/>
  <c r="AK62" i="3"/>
  <c r="P62" i="3"/>
  <c r="O62" i="3"/>
  <c r="AD62" i="3"/>
  <c r="M62" i="3"/>
  <c r="AE62" i="3"/>
  <c r="AF62" i="3"/>
  <c r="V62" i="3"/>
  <c r="U62" i="3"/>
  <c r="F62" i="3"/>
  <c r="C62" i="3"/>
  <c r="T62" i="3"/>
  <c r="G62" i="3"/>
  <c r="H62" i="3" s="1"/>
  <c r="S62" i="3"/>
  <c r="AN61" i="3"/>
  <c r="BN62" i="3" l="1"/>
  <c r="AY60" i="3"/>
  <c r="BD58" i="3"/>
  <c r="BD59" i="3"/>
  <c r="BM62" i="3"/>
  <c r="AV60" i="3"/>
  <c r="AT61" i="3"/>
  <c r="AX61" i="3"/>
  <c r="AN62" i="3"/>
  <c r="AW61" i="3"/>
  <c r="AG62" i="3"/>
  <c r="AU61" i="3"/>
  <c r="BA60" i="3"/>
  <c r="BB60" i="3" s="1"/>
  <c r="X62" i="3"/>
  <c r="Y62" i="3"/>
  <c r="Z62" i="3" s="1"/>
  <c r="AQ63" i="3"/>
  <c r="AR63" i="3"/>
  <c r="A64" i="3"/>
  <c r="B63" i="3"/>
  <c r="D63" i="3"/>
  <c r="AK63" i="3"/>
  <c r="AM63" i="3"/>
  <c r="Q63" i="3"/>
  <c r="AD63" i="3"/>
  <c r="O63" i="3"/>
  <c r="P63" i="3"/>
  <c r="M63" i="3"/>
  <c r="AF63" i="3"/>
  <c r="AE63" i="3"/>
  <c r="U63" i="3"/>
  <c r="V63" i="3"/>
  <c r="C63" i="3"/>
  <c r="G63" i="3"/>
  <c r="H63" i="3" s="1"/>
  <c r="R63" i="3"/>
  <c r="F63" i="3"/>
  <c r="S63" i="3"/>
  <c r="T63" i="3"/>
  <c r="AH62" i="3"/>
  <c r="AO62" i="3"/>
  <c r="BQ59" i="3"/>
  <c r="BB59" i="3"/>
  <c r="BF59" i="3"/>
  <c r="BJ58" i="3" s="1"/>
  <c r="BK58" i="3" s="1"/>
  <c r="BC60" i="3" l="1"/>
  <c r="BD60" i="3" s="1"/>
  <c r="AV61" i="3"/>
  <c r="BM63" i="3"/>
  <c r="BN63" i="3"/>
  <c r="AO63" i="3"/>
  <c r="AU62" i="3"/>
  <c r="AT62" i="3"/>
  <c r="BF60" i="3"/>
  <c r="BJ59" i="3" s="1"/>
  <c r="BK59" i="3" s="1"/>
  <c r="BQ60" i="3"/>
  <c r="AY61" i="3"/>
  <c r="AW62" i="3"/>
  <c r="BA61" i="3"/>
  <c r="BQ61" i="3" s="1"/>
  <c r="Y63" i="3"/>
  <c r="Z63" i="3" s="1"/>
  <c r="AG63" i="3"/>
  <c r="AQ64" i="3"/>
  <c r="B64" i="3"/>
  <c r="A65" i="3"/>
  <c r="AR64" i="3"/>
  <c r="D64" i="3"/>
  <c r="C64" i="3"/>
  <c r="AM64" i="3"/>
  <c r="Q64" i="3"/>
  <c r="AK64" i="3"/>
  <c r="R64" i="3"/>
  <c r="S64" i="3"/>
  <c r="AD64" i="3"/>
  <c r="P64" i="3"/>
  <c r="O64" i="3"/>
  <c r="V64" i="3"/>
  <c r="AE64" i="3"/>
  <c r="AF64" i="3"/>
  <c r="M64" i="3"/>
  <c r="U64" i="3"/>
  <c r="F64" i="3"/>
  <c r="G64" i="3"/>
  <c r="H64" i="3" s="1"/>
  <c r="T64" i="3"/>
  <c r="AX62" i="3"/>
  <c r="X63" i="3"/>
  <c r="AH63" i="3"/>
  <c r="AN63" i="3"/>
  <c r="BG60" i="3" l="1"/>
  <c r="BH60" i="3" s="1"/>
  <c r="BI60" i="3" s="1"/>
  <c r="BN64" i="3"/>
  <c r="BM64" i="3"/>
  <c r="BC61" i="3"/>
  <c r="BD61" i="3" s="1"/>
  <c r="AO64" i="3"/>
  <c r="AV62" i="3"/>
  <c r="AG64" i="3"/>
  <c r="BF61" i="3"/>
  <c r="BJ60" i="3" s="1"/>
  <c r="BK60" i="3" s="1"/>
  <c r="BA62" i="3"/>
  <c r="BB62" i="3" s="1"/>
  <c r="BB61" i="3"/>
  <c r="AX63" i="3"/>
  <c r="AT63" i="3"/>
  <c r="Y64" i="3"/>
  <c r="Z64" i="3" s="1"/>
  <c r="AQ65" i="3"/>
  <c r="AR65" i="3"/>
  <c r="A66" i="3"/>
  <c r="B65" i="3"/>
  <c r="AK65" i="3"/>
  <c r="AM65" i="3"/>
  <c r="T65" i="3"/>
  <c r="R65" i="3"/>
  <c r="AD65" i="3"/>
  <c r="O65" i="3"/>
  <c r="S65" i="3"/>
  <c r="Q65" i="3"/>
  <c r="P65" i="3"/>
  <c r="M65" i="3"/>
  <c r="V65" i="3"/>
  <c r="U65" i="3"/>
  <c r="AF65" i="3"/>
  <c r="AE65" i="3"/>
  <c r="D65" i="3"/>
  <c r="F65" i="3"/>
  <c r="C65" i="3"/>
  <c r="G65" i="3"/>
  <c r="H65" i="3" s="1"/>
  <c r="AW63" i="3"/>
  <c r="AU63" i="3"/>
  <c r="AY62" i="3"/>
  <c r="AH64" i="3"/>
  <c r="AN64" i="3"/>
  <c r="X64" i="3"/>
  <c r="BG61" i="3" l="1"/>
  <c r="BH61" i="3" s="1"/>
  <c r="BI61" i="3" s="1"/>
  <c r="AV63" i="3"/>
  <c r="BC62" i="3"/>
  <c r="BD62" i="3" s="1"/>
  <c r="BQ62" i="3"/>
  <c r="AU64" i="3"/>
  <c r="AY63" i="3"/>
  <c r="BF62" i="3"/>
  <c r="BJ61" i="3" s="1"/>
  <c r="BK61" i="3" s="1"/>
  <c r="AO65" i="3"/>
  <c r="AT64" i="3"/>
  <c r="AW64" i="3"/>
  <c r="X65" i="3"/>
  <c r="Y65" i="3"/>
  <c r="Z65" i="3" s="1"/>
  <c r="AX64" i="3"/>
  <c r="BN65" i="3"/>
  <c r="BM65" i="3"/>
  <c r="AG65" i="3"/>
  <c r="AN65" i="3"/>
  <c r="BA63" i="3"/>
  <c r="AQ66" i="3"/>
  <c r="B66" i="3"/>
  <c r="A67" i="3"/>
  <c r="AR66" i="3"/>
  <c r="C66" i="3"/>
  <c r="Q66" i="3"/>
  <c r="AM66" i="3"/>
  <c r="AK66" i="3"/>
  <c r="AD66" i="3"/>
  <c r="R66" i="3"/>
  <c r="O66" i="3"/>
  <c r="AE66" i="3"/>
  <c r="M66" i="3"/>
  <c r="V66" i="3"/>
  <c r="U66" i="3"/>
  <c r="AF66" i="3"/>
  <c r="D66" i="3"/>
  <c r="F66" i="3"/>
  <c r="S66" i="3"/>
  <c r="T66" i="3"/>
  <c r="G66" i="3"/>
  <c r="H66" i="3" s="1"/>
  <c r="BN66" i="3" s="1"/>
  <c r="P66" i="3"/>
  <c r="AH65" i="3"/>
  <c r="AV64" i="3" l="1"/>
  <c r="BC63" i="3"/>
  <c r="BD63" i="3" s="1"/>
  <c r="BG62" i="3"/>
  <c r="BH62" i="3" s="1"/>
  <c r="BI62" i="3" s="1"/>
  <c r="BM66" i="3"/>
  <c r="AY64" i="3"/>
  <c r="AX65" i="3"/>
  <c r="AO66" i="3"/>
  <c r="BF63" i="3"/>
  <c r="BJ62" i="3" s="1"/>
  <c r="BK62" i="3" s="1"/>
  <c r="BQ63" i="3"/>
  <c r="BB63" i="3"/>
  <c r="Y66" i="3"/>
  <c r="Z66" i="3" s="1"/>
  <c r="AQ67" i="3"/>
  <c r="AR67" i="3"/>
  <c r="A68" i="3"/>
  <c r="B67" i="3"/>
  <c r="C67" i="3"/>
  <c r="AM67" i="3"/>
  <c r="S67" i="3"/>
  <c r="AK67" i="3"/>
  <c r="R67" i="3"/>
  <c r="Q67" i="3"/>
  <c r="AD67" i="3"/>
  <c r="P67" i="3"/>
  <c r="T67" i="3"/>
  <c r="O67" i="3"/>
  <c r="M67" i="3"/>
  <c r="AF67" i="3"/>
  <c r="V67" i="3"/>
  <c r="AE67" i="3"/>
  <c r="U67" i="3"/>
  <c r="D67" i="3"/>
  <c r="G67" i="3"/>
  <c r="H67" i="3" s="1"/>
  <c r="F67" i="3"/>
  <c r="AU65" i="3"/>
  <c r="X66" i="3"/>
  <c r="AH66" i="3"/>
  <c r="AN66" i="3"/>
  <c r="AT65" i="3"/>
  <c r="AW65" i="3"/>
  <c r="BA64" i="3"/>
  <c r="AG66" i="3"/>
  <c r="BC64" i="3" l="1"/>
  <c r="AO67" i="3"/>
  <c r="BG63" i="3"/>
  <c r="BH63" i="3" s="1"/>
  <c r="BI63" i="3" s="1"/>
  <c r="BM67" i="3"/>
  <c r="AT66" i="3"/>
  <c r="AY65" i="3"/>
  <c r="AG67" i="3"/>
  <c r="Y67" i="3"/>
  <c r="Z67" i="3" s="1"/>
  <c r="AH67" i="3"/>
  <c r="AN67" i="3"/>
  <c r="BF64" i="3"/>
  <c r="BJ63" i="3" s="1"/>
  <c r="BK63" i="3" s="1"/>
  <c r="BQ64" i="3"/>
  <c r="BB64" i="3"/>
  <c r="AV65" i="3"/>
  <c r="BA65" i="3"/>
  <c r="BD64" i="3"/>
  <c r="BG64" i="3"/>
  <c r="BH64" i="3" s="1"/>
  <c r="BI64" i="3" s="1"/>
  <c r="AQ68" i="3"/>
  <c r="B68" i="3"/>
  <c r="A69" i="3"/>
  <c r="AR68" i="3"/>
  <c r="AM68" i="3"/>
  <c r="AK68" i="3"/>
  <c r="D68" i="3"/>
  <c r="R68" i="3"/>
  <c r="T68" i="3"/>
  <c r="Q68" i="3"/>
  <c r="AD68" i="3"/>
  <c r="P68" i="3"/>
  <c r="AF68" i="3"/>
  <c r="V68" i="3"/>
  <c r="U68" i="3"/>
  <c r="O68" i="3"/>
  <c r="AE68" i="3"/>
  <c r="M68" i="3"/>
  <c r="C68" i="3"/>
  <c r="G68" i="3"/>
  <c r="H68" i="3" s="1"/>
  <c r="F68" i="3"/>
  <c r="BM68" i="3" s="1"/>
  <c r="S68" i="3"/>
  <c r="AW66" i="3"/>
  <c r="AU66" i="3"/>
  <c r="AX66" i="3"/>
  <c r="BN67" i="3"/>
  <c r="X67" i="3"/>
  <c r="AG68" i="3" l="1"/>
  <c r="AU67" i="3"/>
  <c r="AT67" i="3"/>
  <c r="BC65" i="3"/>
  <c r="BG65" i="3" s="1"/>
  <c r="BH65" i="3" s="1"/>
  <c r="BI65" i="3" s="1"/>
  <c r="AV66" i="3"/>
  <c r="AN68" i="3"/>
  <c r="AX67" i="3"/>
  <c r="AY66" i="3"/>
  <c r="Y68" i="3"/>
  <c r="Z68" i="3" s="1"/>
  <c r="BQ65" i="3"/>
  <c r="BF65" i="3"/>
  <c r="BB65" i="3"/>
  <c r="AH68" i="3"/>
  <c r="X68" i="3"/>
  <c r="BN68" i="3"/>
  <c r="AO68" i="3"/>
  <c r="AW67" i="3"/>
  <c r="BA66" i="3"/>
  <c r="AQ69" i="3"/>
  <c r="AR69" i="3"/>
  <c r="A70" i="3"/>
  <c r="B69" i="3"/>
  <c r="C69" i="3"/>
  <c r="AM69" i="3"/>
  <c r="S69" i="3"/>
  <c r="R69" i="3"/>
  <c r="D69" i="3"/>
  <c r="AK69" i="3"/>
  <c r="Q69" i="3"/>
  <c r="AD69" i="3"/>
  <c r="O69" i="3"/>
  <c r="P69" i="3"/>
  <c r="M69" i="3"/>
  <c r="AE69" i="3"/>
  <c r="U69" i="3"/>
  <c r="V69" i="3"/>
  <c r="AF69" i="3"/>
  <c r="F69" i="3"/>
  <c r="G69" i="3"/>
  <c r="H69" i="3" s="1"/>
  <c r="BN69" i="3" s="1"/>
  <c r="T69" i="3"/>
  <c r="BD65" i="3" l="1"/>
  <c r="AO69" i="3"/>
  <c r="AV67" i="3"/>
  <c r="BM69" i="3"/>
  <c r="BC66" i="3"/>
  <c r="BD66" i="3" s="1"/>
  <c r="AX68" i="3"/>
  <c r="AG69" i="3"/>
  <c r="BA67" i="3"/>
  <c r="BB67" i="3" s="1"/>
  <c r="AT68" i="3"/>
  <c r="AY67" i="3"/>
  <c r="AU68" i="3"/>
  <c r="AW68" i="3"/>
  <c r="Y69" i="3"/>
  <c r="Z69" i="3" s="1"/>
  <c r="BF66" i="3"/>
  <c r="BJ65" i="3" s="1"/>
  <c r="BK65" i="3" s="1"/>
  <c r="BB66" i="3"/>
  <c r="BQ66" i="3"/>
  <c r="AQ70" i="3"/>
  <c r="B70" i="3"/>
  <c r="A71" i="3"/>
  <c r="AR70" i="3"/>
  <c r="C70" i="3"/>
  <c r="D70" i="3"/>
  <c r="AK70" i="3"/>
  <c r="T70" i="3"/>
  <c r="AM70" i="3"/>
  <c r="R70" i="3"/>
  <c r="Q70" i="3"/>
  <c r="AD70" i="3"/>
  <c r="P70" i="3"/>
  <c r="O70" i="3"/>
  <c r="AE70" i="3"/>
  <c r="AF70" i="3"/>
  <c r="M70" i="3"/>
  <c r="V70" i="3"/>
  <c r="U70" i="3"/>
  <c r="G70" i="3"/>
  <c r="H70" i="3" s="1"/>
  <c r="F70" i="3"/>
  <c r="S70" i="3"/>
  <c r="AH69" i="3"/>
  <c r="AN69" i="3"/>
  <c r="X69" i="3"/>
  <c r="BJ64" i="3"/>
  <c r="BK64" i="3" s="1"/>
  <c r="BM70" i="3" l="1"/>
  <c r="BN70" i="3"/>
  <c r="AY68" i="3"/>
  <c r="AN70" i="3"/>
  <c r="BG66" i="3"/>
  <c r="BH66" i="3" s="1"/>
  <c r="BI66" i="3" s="1"/>
  <c r="BC67" i="3"/>
  <c r="BD67" i="3" s="1"/>
  <c r="AV68" i="3"/>
  <c r="BC68" i="3" s="1"/>
  <c r="BG68" i="3" s="1"/>
  <c r="BH68" i="3" s="1"/>
  <c r="BI68" i="3" s="1"/>
  <c r="BQ67" i="3"/>
  <c r="AT69" i="3"/>
  <c r="BF67" i="3"/>
  <c r="BJ66" i="3" s="1"/>
  <c r="BA68" i="3"/>
  <c r="BQ68" i="3" s="1"/>
  <c r="AX69" i="3"/>
  <c r="X70" i="3"/>
  <c r="AQ71" i="3"/>
  <c r="AR71" i="3"/>
  <c r="A72" i="3"/>
  <c r="B71" i="3"/>
  <c r="AM71" i="3"/>
  <c r="AK71" i="3"/>
  <c r="R71" i="3"/>
  <c r="AD71" i="3"/>
  <c r="P71" i="3"/>
  <c r="Q71" i="3"/>
  <c r="AE71" i="3"/>
  <c r="AF71" i="3"/>
  <c r="O71" i="3"/>
  <c r="M71" i="3"/>
  <c r="V71" i="3"/>
  <c r="U71" i="3"/>
  <c r="D71" i="3"/>
  <c r="G71" i="3"/>
  <c r="H71" i="3" s="1"/>
  <c r="C71" i="3"/>
  <c r="F71" i="3"/>
  <c r="T71" i="3"/>
  <c r="S71" i="3"/>
  <c r="AU69" i="3"/>
  <c r="AW69" i="3"/>
  <c r="AG70" i="3"/>
  <c r="AO70" i="3"/>
  <c r="Y70" i="3"/>
  <c r="Z70" i="3" s="1"/>
  <c r="AH70" i="3"/>
  <c r="BG67" i="3" l="1"/>
  <c r="BH67" i="3" s="1"/>
  <c r="BI67" i="3" s="1"/>
  <c r="BK66" i="3"/>
  <c r="BD68" i="3"/>
  <c r="BM71" i="3"/>
  <c r="BN71" i="3"/>
  <c r="AN71" i="3"/>
  <c r="BB68" i="3"/>
  <c r="AV69" i="3"/>
  <c r="BF68" i="3"/>
  <c r="BJ67" i="3" s="1"/>
  <c r="BK67" i="3" s="1"/>
  <c r="AX70" i="3"/>
  <c r="AY69" i="3"/>
  <c r="AO71" i="3"/>
  <c r="AG71" i="3"/>
  <c r="X71" i="3"/>
  <c r="BA69" i="3"/>
  <c r="BQ69" i="3" s="1"/>
  <c r="Y71" i="3"/>
  <c r="Z71" i="3" s="1"/>
  <c r="AH71" i="3"/>
  <c r="AQ72" i="3"/>
  <c r="B72" i="3"/>
  <c r="A73" i="3"/>
  <c r="AR72" i="3"/>
  <c r="D72" i="3"/>
  <c r="Q72" i="3"/>
  <c r="R72" i="3"/>
  <c r="AM72" i="3"/>
  <c r="AK72" i="3"/>
  <c r="S72" i="3"/>
  <c r="AD72" i="3"/>
  <c r="P72" i="3"/>
  <c r="O72" i="3"/>
  <c r="M72" i="3"/>
  <c r="U72" i="3"/>
  <c r="AF72" i="3"/>
  <c r="AE72" i="3"/>
  <c r="V72" i="3"/>
  <c r="F72" i="3"/>
  <c r="G72" i="3"/>
  <c r="H72" i="3" s="1"/>
  <c r="C72" i="3"/>
  <c r="T72" i="3"/>
  <c r="AT70" i="3"/>
  <c r="AU70" i="3"/>
  <c r="AW70" i="3"/>
  <c r="BN72" i="3" l="1"/>
  <c r="AG72" i="3"/>
  <c r="AO72" i="3"/>
  <c r="BF69" i="3"/>
  <c r="BJ68" i="3" s="1"/>
  <c r="BK68" i="3" s="1"/>
  <c r="X72" i="3"/>
  <c r="BC69" i="3"/>
  <c r="BG69" i="3" s="1"/>
  <c r="BH69" i="3" s="1"/>
  <c r="BI69" i="3" s="1"/>
  <c r="AY70" i="3"/>
  <c r="AU71" i="3"/>
  <c r="Y72" i="3"/>
  <c r="Z72" i="3" s="1"/>
  <c r="AX71" i="3"/>
  <c r="AW71" i="3"/>
  <c r="AT71" i="3"/>
  <c r="BB69" i="3"/>
  <c r="AV70" i="3"/>
  <c r="BA70" i="3"/>
  <c r="AN72" i="3"/>
  <c r="AQ73" i="3"/>
  <c r="AR73" i="3"/>
  <c r="A74" i="3"/>
  <c r="B73" i="3"/>
  <c r="AM73" i="3"/>
  <c r="D73" i="3"/>
  <c r="C73" i="3"/>
  <c r="AK73" i="3"/>
  <c r="R73" i="3"/>
  <c r="Q73" i="3"/>
  <c r="AD73" i="3"/>
  <c r="P73" i="3"/>
  <c r="O73" i="3"/>
  <c r="M73" i="3"/>
  <c r="AF73" i="3"/>
  <c r="AE73" i="3"/>
  <c r="U73" i="3"/>
  <c r="V73" i="3"/>
  <c r="G73" i="3"/>
  <c r="H73" i="3" s="1"/>
  <c r="F73" i="3"/>
  <c r="S73" i="3"/>
  <c r="T73" i="3"/>
  <c r="BM72" i="3"/>
  <c r="AH72" i="3"/>
  <c r="AV71" i="3" l="1"/>
  <c r="BC70" i="3"/>
  <c r="BD70" i="3" s="1"/>
  <c r="BM73" i="3"/>
  <c r="AX72" i="3"/>
  <c r="BD69" i="3"/>
  <c r="AU72" i="3"/>
  <c r="AY71" i="3"/>
  <c r="BC71" i="3" s="1"/>
  <c r="AO73" i="3"/>
  <c r="BA71" i="3"/>
  <c r="BB71" i="3" s="1"/>
  <c r="AG73" i="3"/>
  <c r="Y73" i="3"/>
  <c r="Z73" i="3" s="1"/>
  <c r="AQ74" i="3"/>
  <c r="B74" i="3"/>
  <c r="A75" i="3"/>
  <c r="AR74" i="3"/>
  <c r="D74" i="3"/>
  <c r="AK74" i="3"/>
  <c r="S74" i="3"/>
  <c r="R74" i="3"/>
  <c r="AM74" i="3"/>
  <c r="Q74" i="3"/>
  <c r="AD74" i="3"/>
  <c r="P74" i="3"/>
  <c r="O74" i="3"/>
  <c r="AE74" i="3"/>
  <c r="AF74" i="3"/>
  <c r="U74" i="3"/>
  <c r="V74" i="3"/>
  <c r="M74" i="3"/>
  <c r="F74" i="3"/>
  <c r="G74" i="3"/>
  <c r="H74" i="3" s="1"/>
  <c r="C74" i="3"/>
  <c r="T74" i="3"/>
  <c r="AW72" i="3"/>
  <c r="X73" i="3"/>
  <c r="BN73" i="3"/>
  <c r="AH73" i="3"/>
  <c r="AN73" i="3"/>
  <c r="AT72" i="3"/>
  <c r="BB70" i="3"/>
  <c r="BQ70" i="3"/>
  <c r="BF70" i="3"/>
  <c r="BJ69" i="3" s="1"/>
  <c r="BK69" i="3" s="1"/>
  <c r="AT73" i="3" l="1"/>
  <c r="BG70" i="3"/>
  <c r="BH70" i="3" s="1"/>
  <c r="BI70" i="3" s="1"/>
  <c r="BN74" i="3"/>
  <c r="AY72" i="3"/>
  <c r="AU73" i="3"/>
  <c r="AV73" i="3" s="1"/>
  <c r="BQ71" i="3"/>
  <c r="BF71" i="3"/>
  <c r="BJ70" i="3" s="1"/>
  <c r="AO74" i="3"/>
  <c r="Y74" i="3"/>
  <c r="Z74" i="3" s="1"/>
  <c r="AG74" i="3"/>
  <c r="BD71" i="3"/>
  <c r="BG71" i="3"/>
  <c r="BH71" i="3" s="1"/>
  <c r="BI71" i="3" s="1"/>
  <c r="AW73" i="3"/>
  <c r="AV72" i="3"/>
  <c r="BA72" i="3"/>
  <c r="A76" i="3"/>
  <c r="AQ75" i="3"/>
  <c r="B75" i="3"/>
  <c r="AR75" i="3"/>
  <c r="AM75" i="3"/>
  <c r="T75" i="3"/>
  <c r="S75" i="3"/>
  <c r="R75" i="3"/>
  <c r="AK75" i="3"/>
  <c r="Q75" i="3"/>
  <c r="AD75" i="3"/>
  <c r="M75" i="3"/>
  <c r="O75" i="3"/>
  <c r="AE75" i="3"/>
  <c r="U75" i="3"/>
  <c r="AF75" i="3"/>
  <c r="V75" i="3"/>
  <c r="C75" i="3"/>
  <c r="D75" i="3"/>
  <c r="F75" i="3"/>
  <c r="BM75" i="3" s="1"/>
  <c r="G75" i="3"/>
  <c r="H75" i="3" s="1"/>
  <c r="P75" i="3"/>
  <c r="AX73" i="3"/>
  <c r="X74" i="3"/>
  <c r="BM74" i="3"/>
  <c r="AH74" i="3"/>
  <c r="AN74" i="3"/>
  <c r="BK70" i="3" l="1"/>
  <c r="BN75" i="3"/>
  <c r="AO75" i="3"/>
  <c r="BC72" i="3"/>
  <c r="BD72" i="3" s="1"/>
  <c r="AT74" i="3"/>
  <c r="AY73" i="3"/>
  <c r="BC73" i="3" s="1"/>
  <c r="AX74" i="3"/>
  <c r="AH75" i="3"/>
  <c r="BQ72" i="3"/>
  <c r="BF72" i="3"/>
  <c r="BJ71" i="3" s="1"/>
  <c r="BK71" i="3" s="1"/>
  <c r="BB72" i="3"/>
  <c r="AW74" i="3"/>
  <c r="AU74" i="3"/>
  <c r="Y75" i="3"/>
  <c r="Z75" i="3" s="1"/>
  <c r="X75" i="3"/>
  <c r="AG75" i="3"/>
  <c r="BA73" i="3"/>
  <c r="A77" i="3"/>
  <c r="B76" i="3"/>
  <c r="AR76" i="3"/>
  <c r="AQ76" i="3"/>
  <c r="C76" i="3"/>
  <c r="D76" i="3"/>
  <c r="AM76" i="3"/>
  <c r="AK76" i="3"/>
  <c r="Q76" i="3"/>
  <c r="R76" i="3"/>
  <c r="AD76" i="3"/>
  <c r="O76" i="3"/>
  <c r="P76" i="3"/>
  <c r="AE76" i="3"/>
  <c r="M76" i="3"/>
  <c r="U76" i="3"/>
  <c r="AF76" i="3"/>
  <c r="V76" i="3"/>
  <c r="G76" i="3"/>
  <c r="H76" i="3" s="1"/>
  <c r="F76" i="3"/>
  <c r="T76" i="3"/>
  <c r="S76" i="3"/>
  <c r="AN75" i="3"/>
  <c r="AV74" i="3" l="1"/>
  <c r="AX75" i="3"/>
  <c r="BN76" i="3"/>
  <c r="BG72" i="3"/>
  <c r="BH72" i="3" s="1"/>
  <c r="BI72" i="3" s="1"/>
  <c r="AY74" i="3"/>
  <c r="AN76" i="3"/>
  <c r="BD73" i="3"/>
  <c r="BG73" i="3"/>
  <c r="BH73" i="3" s="1"/>
  <c r="BI73" i="3" s="1"/>
  <c r="BQ73" i="3"/>
  <c r="BB73" i="3"/>
  <c r="BF73" i="3"/>
  <c r="BJ72" i="3" s="1"/>
  <c r="AW75" i="3"/>
  <c r="AY75" i="3" s="1"/>
  <c r="X76" i="3"/>
  <c r="BM76" i="3"/>
  <c r="AG76" i="3"/>
  <c r="AO76" i="3"/>
  <c r="AT75" i="3"/>
  <c r="AR77" i="3"/>
  <c r="B77" i="3"/>
  <c r="AQ77" i="3"/>
  <c r="A78" i="3"/>
  <c r="AM77" i="3"/>
  <c r="C77" i="3"/>
  <c r="AK77" i="3"/>
  <c r="T77" i="3"/>
  <c r="R77" i="3"/>
  <c r="AD77" i="3"/>
  <c r="P77" i="3"/>
  <c r="O77" i="3"/>
  <c r="U77" i="3"/>
  <c r="AE77" i="3"/>
  <c r="M77" i="3"/>
  <c r="AF77" i="3"/>
  <c r="V77" i="3"/>
  <c r="G77" i="3"/>
  <c r="H77" i="3" s="1"/>
  <c r="F77" i="3"/>
  <c r="Q77" i="3"/>
  <c r="D77" i="3"/>
  <c r="S77" i="3"/>
  <c r="Y76" i="3"/>
  <c r="Z76" i="3" s="1"/>
  <c r="AH76" i="3"/>
  <c r="AU75" i="3"/>
  <c r="BA74" i="3"/>
  <c r="BC74" i="3" l="1"/>
  <c r="BG74" i="3" s="1"/>
  <c r="BH74" i="3" s="1"/>
  <c r="BI74" i="3" s="1"/>
  <c r="BK72" i="3"/>
  <c r="AO77" i="3"/>
  <c r="AH77" i="3"/>
  <c r="BM77" i="3"/>
  <c r="AX76" i="3"/>
  <c r="AT76" i="3"/>
  <c r="AU76" i="3"/>
  <c r="Y77" i="3"/>
  <c r="Z77" i="3" s="1"/>
  <c r="BB74" i="3"/>
  <c r="BF74" i="3"/>
  <c r="BJ73" i="3" s="1"/>
  <c r="BK73" i="3" s="1"/>
  <c r="BQ74" i="3"/>
  <c r="B78" i="3"/>
  <c r="AQ78" i="3"/>
  <c r="AR78" i="3"/>
  <c r="A79" i="3"/>
  <c r="AK78" i="3"/>
  <c r="AM78" i="3"/>
  <c r="R78" i="3"/>
  <c r="Q78" i="3"/>
  <c r="T78" i="3"/>
  <c r="AD78" i="3"/>
  <c r="P78" i="3"/>
  <c r="M78" i="3"/>
  <c r="AF78" i="3"/>
  <c r="AE78" i="3"/>
  <c r="V78" i="3"/>
  <c r="O78" i="3"/>
  <c r="U78" i="3"/>
  <c r="D78" i="3"/>
  <c r="C78" i="3"/>
  <c r="G78" i="3"/>
  <c r="H78" i="3" s="1"/>
  <c r="F78" i="3"/>
  <c r="S78" i="3"/>
  <c r="BA75" i="3"/>
  <c r="AV75" i="3"/>
  <c r="BC75" i="3" s="1"/>
  <c r="X77" i="3"/>
  <c r="BN77" i="3"/>
  <c r="AG77" i="3"/>
  <c r="AW76" i="3"/>
  <c r="AN77" i="3"/>
  <c r="BD74" i="3" l="1"/>
  <c r="BM78" i="3"/>
  <c r="AY76" i="3"/>
  <c r="BN78" i="3"/>
  <c r="AO78" i="3"/>
  <c r="AX77" i="3"/>
  <c r="AV76" i="3"/>
  <c r="BF75" i="3"/>
  <c r="BJ74" i="3" s="1"/>
  <c r="BK74" i="3" s="1"/>
  <c r="BQ75" i="3"/>
  <c r="BB75" i="3"/>
  <c r="BD75" i="3"/>
  <c r="BG75" i="3"/>
  <c r="BH75" i="3" s="1"/>
  <c r="BI75" i="3" s="1"/>
  <c r="Y78" i="3"/>
  <c r="Z78" i="3" s="1"/>
  <c r="A80" i="3"/>
  <c r="AQ79" i="3"/>
  <c r="B79" i="3"/>
  <c r="AR79" i="3"/>
  <c r="C79" i="3"/>
  <c r="D79" i="3"/>
  <c r="AM79" i="3"/>
  <c r="T79" i="3"/>
  <c r="S79" i="3"/>
  <c r="AK79" i="3"/>
  <c r="R79" i="3"/>
  <c r="Q79" i="3"/>
  <c r="AD79" i="3"/>
  <c r="O79" i="3"/>
  <c r="P79" i="3"/>
  <c r="M79" i="3"/>
  <c r="AE79" i="3"/>
  <c r="AF79" i="3"/>
  <c r="U79" i="3"/>
  <c r="V79" i="3"/>
  <c r="G79" i="3"/>
  <c r="H79" i="3" s="1"/>
  <c r="F79" i="3"/>
  <c r="AW77" i="3"/>
  <c r="AU77" i="3"/>
  <c r="AT77" i="3"/>
  <c r="X78" i="3"/>
  <c r="AG78" i="3"/>
  <c r="AH78" i="3"/>
  <c r="AN78" i="3"/>
  <c r="BA76" i="3"/>
  <c r="BC76" i="3" l="1"/>
  <c r="BD76" i="3" s="1"/>
  <c r="AY77" i="3"/>
  <c r="BM79" i="3"/>
  <c r="BN79" i="3"/>
  <c r="AG79" i="3"/>
  <c r="AN79" i="3"/>
  <c r="BQ76" i="3"/>
  <c r="BB76" i="3"/>
  <c r="BF76" i="3"/>
  <c r="BJ75" i="3" s="1"/>
  <c r="BK75" i="3" s="1"/>
  <c r="BA77" i="3"/>
  <c r="AV77" i="3"/>
  <c r="Y79" i="3"/>
  <c r="Z79" i="3" s="1"/>
  <c r="AW78" i="3"/>
  <c r="AT78" i="3"/>
  <c r="AU78" i="3"/>
  <c r="AX78" i="3"/>
  <c r="AO79" i="3"/>
  <c r="A81" i="3"/>
  <c r="B80" i="3"/>
  <c r="AR80" i="3"/>
  <c r="AQ80" i="3"/>
  <c r="T80" i="3"/>
  <c r="AK80" i="3"/>
  <c r="AM80" i="3"/>
  <c r="S80" i="3"/>
  <c r="Q80" i="3"/>
  <c r="R80" i="3"/>
  <c r="AD80" i="3"/>
  <c r="P80" i="3"/>
  <c r="O80" i="3"/>
  <c r="M80" i="3"/>
  <c r="AF80" i="3"/>
  <c r="AE80" i="3"/>
  <c r="U80" i="3"/>
  <c r="V80" i="3"/>
  <c r="D80" i="3"/>
  <c r="C80" i="3"/>
  <c r="F80" i="3"/>
  <c r="G80" i="3"/>
  <c r="H80" i="3" s="1"/>
  <c r="AH79" i="3"/>
  <c r="X79" i="3"/>
  <c r="BG76" i="3" l="1"/>
  <c r="BH76" i="3" s="1"/>
  <c r="BI76" i="3" s="1"/>
  <c r="BN80" i="3"/>
  <c r="BC77" i="3"/>
  <c r="BD77" i="3" s="1"/>
  <c r="AO80" i="3"/>
  <c r="AX79" i="3"/>
  <c r="AG80" i="3"/>
  <c r="X80" i="3"/>
  <c r="AY78" i="3"/>
  <c r="Y80" i="3"/>
  <c r="Z80" i="3" s="1"/>
  <c r="AR81" i="3"/>
  <c r="B81" i="3"/>
  <c r="AQ81" i="3"/>
  <c r="A82" i="3"/>
  <c r="AM81" i="3"/>
  <c r="R81" i="3"/>
  <c r="C81" i="3"/>
  <c r="AK81" i="3"/>
  <c r="S81" i="3"/>
  <c r="O81" i="3"/>
  <c r="AD81" i="3"/>
  <c r="P81" i="3"/>
  <c r="M81" i="3"/>
  <c r="AE81" i="3"/>
  <c r="AF81" i="3"/>
  <c r="V81" i="3"/>
  <c r="U81" i="3"/>
  <c r="D81" i="3"/>
  <c r="Q81" i="3"/>
  <c r="G81" i="3"/>
  <c r="H81" i="3" s="1"/>
  <c r="BN81" i="3" s="1"/>
  <c r="F81" i="3"/>
  <c r="T81" i="3"/>
  <c r="AV78" i="3"/>
  <c r="BA78" i="3"/>
  <c r="AW79" i="3"/>
  <c r="BM80" i="3"/>
  <c r="AH80" i="3"/>
  <c r="AN80" i="3"/>
  <c r="AT79" i="3"/>
  <c r="BB77" i="3"/>
  <c r="BQ77" i="3"/>
  <c r="BF77" i="3"/>
  <c r="BJ76" i="3" s="1"/>
  <c r="BK76" i="3" s="1"/>
  <c r="AU79" i="3"/>
  <c r="BC78" i="3" l="1"/>
  <c r="BM81" i="3"/>
  <c r="AU80" i="3"/>
  <c r="BG77" i="3"/>
  <c r="BH77" i="3" s="1"/>
  <c r="BI77" i="3" s="1"/>
  <c r="AT80" i="3"/>
  <c r="AW80" i="3"/>
  <c r="AG81" i="3"/>
  <c r="AY79" i="3"/>
  <c r="AO81" i="3"/>
  <c r="BA79" i="3"/>
  <c r="AV79" i="3"/>
  <c r="BQ78" i="3"/>
  <c r="BB78" i="3"/>
  <c r="BF78" i="3"/>
  <c r="BJ77" i="3" s="1"/>
  <c r="BK77" i="3" s="1"/>
  <c r="BD78" i="3"/>
  <c r="BG78" i="3"/>
  <c r="BH78" i="3" s="1"/>
  <c r="BI78" i="3" s="1"/>
  <c r="Y81" i="3"/>
  <c r="Z81" i="3" s="1"/>
  <c r="AX80" i="3"/>
  <c r="AH81" i="3"/>
  <c r="X81" i="3"/>
  <c r="AN81" i="3"/>
  <c r="B82" i="3"/>
  <c r="AQ82" i="3"/>
  <c r="AR82" i="3"/>
  <c r="A83" i="3"/>
  <c r="D82" i="3"/>
  <c r="AK82" i="3"/>
  <c r="Q82" i="3"/>
  <c r="AM82" i="3"/>
  <c r="S82" i="3"/>
  <c r="O82" i="3"/>
  <c r="T82" i="3"/>
  <c r="AD82" i="3"/>
  <c r="P82" i="3"/>
  <c r="M82" i="3"/>
  <c r="AF82" i="3"/>
  <c r="AE82" i="3"/>
  <c r="V82" i="3"/>
  <c r="U82" i="3"/>
  <c r="R82" i="3"/>
  <c r="F82" i="3"/>
  <c r="C82" i="3"/>
  <c r="G82" i="3"/>
  <c r="H82" i="3" s="1"/>
  <c r="AU81" i="3" l="1"/>
  <c r="AY80" i="3"/>
  <c r="AV80" i="3"/>
  <c r="AN82" i="3"/>
  <c r="BN82" i="3"/>
  <c r="BM82" i="3"/>
  <c r="BC79" i="3"/>
  <c r="BD79" i="3" s="1"/>
  <c r="AG82" i="3"/>
  <c r="AT81" i="3"/>
  <c r="AV81" i="3" s="1"/>
  <c r="AW81" i="3"/>
  <c r="Y82" i="3"/>
  <c r="Z82" i="3" s="1"/>
  <c r="BQ79" i="3"/>
  <c r="BB79" i="3"/>
  <c r="BF79" i="3"/>
  <c r="BJ78" i="3" s="1"/>
  <c r="BK78" i="3" s="1"/>
  <c r="X82" i="3"/>
  <c r="A84" i="3"/>
  <c r="AQ83" i="3"/>
  <c r="B83" i="3"/>
  <c r="AR83" i="3"/>
  <c r="C83" i="3"/>
  <c r="AM83" i="3"/>
  <c r="AK83" i="3"/>
  <c r="Q83" i="3"/>
  <c r="R83" i="3"/>
  <c r="AD83" i="3"/>
  <c r="P83" i="3"/>
  <c r="O83" i="3"/>
  <c r="AE83" i="3"/>
  <c r="AF83" i="3"/>
  <c r="M83" i="3"/>
  <c r="V83" i="3"/>
  <c r="U83" i="3"/>
  <c r="F83" i="3"/>
  <c r="D83" i="3"/>
  <c r="G83" i="3"/>
  <c r="H83" i="3" s="1"/>
  <c r="S83" i="3"/>
  <c r="T83" i="3"/>
  <c r="AH82" i="3"/>
  <c r="AO82" i="3"/>
  <c r="AX81" i="3"/>
  <c r="BA80" i="3"/>
  <c r="BC80" i="3" l="1"/>
  <c r="BG80" i="3" s="1"/>
  <c r="BH80" i="3" s="1"/>
  <c r="BI80" i="3" s="1"/>
  <c r="BN83" i="3"/>
  <c r="BM83" i="3"/>
  <c r="BG79" i="3"/>
  <c r="BH79" i="3" s="1"/>
  <c r="BI79" i="3" s="1"/>
  <c r="AY81" i="3"/>
  <c r="BC81" i="3" s="1"/>
  <c r="AX82" i="3"/>
  <c r="AN83" i="3"/>
  <c r="AH83" i="3"/>
  <c r="BA81" i="3"/>
  <c r="BQ81" i="3" s="1"/>
  <c r="BQ80" i="3"/>
  <c r="BF80" i="3"/>
  <c r="BJ79" i="3" s="1"/>
  <c r="BK79" i="3" s="1"/>
  <c r="BB80" i="3"/>
  <c r="A85" i="3"/>
  <c r="B84" i="3"/>
  <c r="AR84" i="3"/>
  <c r="AQ84" i="3"/>
  <c r="C84" i="3"/>
  <c r="AK84" i="3"/>
  <c r="AM84" i="3"/>
  <c r="R84" i="3"/>
  <c r="Q84" i="3"/>
  <c r="AD84" i="3"/>
  <c r="P84" i="3"/>
  <c r="AF84" i="3"/>
  <c r="O84" i="3"/>
  <c r="AE84" i="3"/>
  <c r="M84" i="3"/>
  <c r="U84" i="3"/>
  <c r="V84" i="3"/>
  <c r="D84" i="3"/>
  <c r="G84" i="3"/>
  <c r="H84" i="3" s="1"/>
  <c r="F84" i="3"/>
  <c r="S84" i="3"/>
  <c r="T84" i="3"/>
  <c r="AU82" i="3"/>
  <c r="AW82" i="3"/>
  <c r="X83" i="3"/>
  <c r="AG83" i="3"/>
  <c r="AO83" i="3"/>
  <c r="Y83" i="3"/>
  <c r="Z83" i="3" s="1"/>
  <c r="AT82" i="3"/>
  <c r="BD80" i="3" l="1"/>
  <c r="AY82" i="3"/>
  <c r="BB81" i="3"/>
  <c r="BF81" i="3"/>
  <c r="BJ80" i="3" s="1"/>
  <c r="BK80" i="3" s="1"/>
  <c r="BN84" i="3"/>
  <c r="AN84" i="3"/>
  <c r="AU83" i="3"/>
  <c r="AG84" i="3"/>
  <c r="AT83" i="3"/>
  <c r="X84" i="3"/>
  <c r="AW83" i="3"/>
  <c r="AX83" i="3"/>
  <c r="Y84" i="3"/>
  <c r="Z84" i="3" s="1"/>
  <c r="BM84" i="3"/>
  <c r="AH84" i="3"/>
  <c r="AO84" i="3"/>
  <c r="AV82" i="3"/>
  <c r="BA82" i="3"/>
  <c r="BG81" i="3"/>
  <c r="BH81" i="3" s="1"/>
  <c r="BI81" i="3" s="1"/>
  <c r="BD81" i="3"/>
  <c r="AR85" i="3"/>
  <c r="B85" i="3"/>
  <c r="AQ85" i="3"/>
  <c r="A86" i="3"/>
  <c r="C85" i="3"/>
  <c r="T85" i="3"/>
  <c r="S85" i="3"/>
  <c r="AK85" i="3"/>
  <c r="AM85" i="3"/>
  <c r="R85" i="3"/>
  <c r="Q85" i="3"/>
  <c r="P85" i="3"/>
  <c r="AD85" i="3"/>
  <c r="O85" i="3"/>
  <c r="M85" i="3"/>
  <c r="AF85" i="3"/>
  <c r="AE85" i="3"/>
  <c r="V85" i="3"/>
  <c r="U85" i="3"/>
  <c r="D85" i="3"/>
  <c r="F85" i="3"/>
  <c r="G85" i="3"/>
  <c r="H85" i="3" s="1"/>
  <c r="BM85" i="3" l="1"/>
  <c r="BN85" i="3"/>
  <c r="BC82" i="3"/>
  <c r="BD82" i="3" s="1"/>
  <c r="AV83" i="3"/>
  <c r="AG85" i="3"/>
  <c r="AN85" i="3"/>
  <c r="AU84" i="3"/>
  <c r="AT84" i="3"/>
  <c r="BA83" i="3"/>
  <c r="BB83" i="3" s="1"/>
  <c r="Y85" i="3"/>
  <c r="Z85" i="3" s="1"/>
  <c r="B86" i="3"/>
  <c r="AQ86" i="3"/>
  <c r="AR86" i="3"/>
  <c r="A87" i="3"/>
  <c r="C86" i="3"/>
  <c r="D86" i="3"/>
  <c r="AK86" i="3"/>
  <c r="AM86" i="3"/>
  <c r="S86" i="3"/>
  <c r="R86" i="3"/>
  <c r="Q86" i="3"/>
  <c r="AD86" i="3"/>
  <c r="O86" i="3"/>
  <c r="P86" i="3"/>
  <c r="AE86" i="3"/>
  <c r="M86" i="3"/>
  <c r="AF86" i="3"/>
  <c r="V86" i="3"/>
  <c r="U86" i="3"/>
  <c r="G86" i="3"/>
  <c r="H86" i="3" s="1"/>
  <c r="F86" i="3"/>
  <c r="T86" i="3"/>
  <c r="BF83" i="3"/>
  <c r="BB82" i="3"/>
  <c r="BF82" i="3"/>
  <c r="BJ81" i="3" s="1"/>
  <c r="BK81" i="3" s="1"/>
  <c r="BQ82" i="3"/>
  <c r="AO85" i="3"/>
  <c r="AX84" i="3"/>
  <c r="AY83" i="3"/>
  <c r="AH85" i="3"/>
  <c r="X85" i="3"/>
  <c r="AW84" i="3"/>
  <c r="BM86" i="3" l="1"/>
  <c r="BN86" i="3"/>
  <c r="BG82" i="3"/>
  <c r="BH82" i="3" s="1"/>
  <c r="BI82" i="3" s="1"/>
  <c r="BC83" i="3"/>
  <c r="BG83" i="3" s="1"/>
  <c r="BH83" i="3" s="1"/>
  <c r="BI83" i="3" s="1"/>
  <c r="AY84" i="3"/>
  <c r="AU85" i="3"/>
  <c r="AV84" i="3"/>
  <c r="Y86" i="3"/>
  <c r="Z86" i="3" s="1"/>
  <c r="BQ83" i="3"/>
  <c r="AT85" i="3"/>
  <c r="AN86" i="3"/>
  <c r="BJ82" i="3"/>
  <c r="BK82" i="3" s="1"/>
  <c r="AX85" i="3"/>
  <c r="AW85" i="3"/>
  <c r="AG86" i="3"/>
  <c r="AO86" i="3"/>
  <c r="X86" i="3"/>
  <c r="A88" i="3"/>
  <c r="B87" i="3"/>
  <c r="AQ87" i="3"/>
  <c r="AR87" i="3"/>
  <c r="AM87" i="3"/>
  <c r="AK87" i="3"/>
  <c r="T87" i="3"/>
  <c r="Q87" i="3"/>
  <c r="R87" i="3"/>
  <c r="AD87" i="3"/>
  <c r="P87" i="3"/>
  <c r="AE87" i="3"/>
  <c r="O87" i="3"/>
  <c r="AF87" i="3"/>
  <c r="V87" i="3"/>
  <c r="M87" i="3"/>
  <c r="U87" i="3"/>
  <c r="F87" i="3"/>
  <c r="C87" i="3"/>
  <c r="D87" i="3"/>
  <c r="G87" i="3"/>
  <c r="H87" i="3" s="1"/>
  <c r="S87" i="3"/>
  <c r="AH86" i="3"/>
  <c r="BA84" i="3"/>
  <c r="BD83" i="3" l="1"/>
  <c r="AV85" i="3"/>
  <c r="BC84" i="3"/>
  <c r="BD84" i="3" s="1"/>
  <c r="AH87" i="3"/>
  <c r="BN87" i="3"/>
  <c r="AX86" i="3"/>
  <c r="AN87" i="3"/>
  <c r="AU86" i="3"/>
  <c r="AY85" i="3"/>
  <c r="BQ84" i="3"/>
  <c r="BF84" i="3"/>
  <c r="BJ83" i="3" s="1"/>
  <c r="BK83" i="3" s="1"/>
  <c r="BB84" i="3"/>
  <c r="Y87" i="3"/>
  <c r="Z87" i="3" s="1"/>
  <c r="X87" i="3"/>
  <c r="BM87" i="3"/>
  <c r="AG87" i="3"/>
  <c r="AO87" i="3"/>
  <c r="AW86" i="3"/>
  <c r="A89" i="3"/>
  <c r="AR88" i="3"/>
  <c r="B88" i="3"/>
  <c r="AQ88" i="3"/>
  <c r="AM88" i="3"/>
  <c r="AK88" i="3"/>
  <c r="D88" i="3"/>
  <c r="T88" i="3"/>
  <c r="R88" i="3"/>
  <c r="Q88" i="3"/>
  <c r="AD88" i="3"/>
  <c r="P88" i="3"/>
  <c r="O88" i="3"/>
  <c r="M88" i="3"/>
  <c r="AE88" i="3"/>
  <c r="AF88" i="3"/>
  <c r="V88" i="3"/>
  <c r="U88" i="3"/>
  <c r="C88" i="3"/>
  <c r="G88" i="3"/>
  <c r="H88" i="3" s="1"/>
  <c r="F88" i="3"/>
  <c r="BM88" i="3" s="1"/>
  <c r="S88" i="3"/>
  <c r="AT86" i="3"/>
  <c r="BA85" i="3"/>
  <c r="BC85" i="3" l="1"/>
  <c r="AT87" i="3"/>
  <c r="BG84" i="3"/>
  <c r="BH84" i="3" s="1"/>
  <c r="BI84" i="3" s="1"/>
  <c r="AU87" i="3"/>
  <c r="BN88" i="3"/>
  <c r="AX87" i="3"/>
  <c r="AO88" i="3"/>
  <c r="AY86" i="3"/>
  <c r="AN88" i="3"/>
  <c r="X88" i="3"/>
  <c r="AV86" i="3"/>
  <c r="BA86" i="3"/>
  <c r="BD85" i="3"/>
  <c r="BG85" i="3"/>
  <c r="BH85" i="3" s="1"/>
  <c r="BI85" i="3" s="1"/>
  <c r="AW87" i="3"/>
  <c r="BF85" i="3"/>
  <c r="BJ84" i="3" s="1"/>
  <c r="BB85" i="3"/>
  <c r="BQ85" i="3"/>
  <c r="Y88" i="3"/>
  <c r="Z88" i="3" s="1"/>
  <c r="AQ89" i="3"/>
  <c r="AR89" i="3"/>
  <c r="B89" i="3"/>
  <c r="A90" i="3"/>
  <c r="D89" i="3"/>
  <c r="C89" i="3"/>
  <c r="AK89" i="3"/>
  <c r="S89" i="3"/>
  <c r="T89" i="3"/>
  <c r="AM89" i="3"/>
  <c r="AD89" i="3"/>
  <c r="P89" i="3"/>
  <c r="O89" i="3"/>
  <c r="AF89" i="3"/>
  <c r="AE89" i="3"/>
  <c r="U89" i="3"/>
  <c r="M89" i="3"/>
  <c r="V89" i="3"/>
  <c r="R89" i="3"/>
  <c r="Q89" i="3"/>
  <c r="F89" i="3"/>
  <c r="G89" i="3"/>
  <c r="H89" i="3" s="1"/>
  <c r="AG88" i="3"/>
  <c r="AH88" i="3"/>
  <c r="BK84" i="3" l="1"/>
  <c r="AV87" i="3"/>
  <c r="AN89" i="3"/>
  <c r="BN89" i="3"/>
  <c r="BC86" i="3"/>
  <c r="BD86" i="3" s="1"/>
  <c r="AX88" i="3"/>
  <c r="B90" i="3"/>
  <c r="AQ90" i="3"/>
  <c r="AR90" i="3"/>
  <c r="A91" i="3"/>
  <c r="AK90" i="3"/>
  <c r="T90" i="3"/>
  <c r="D90" i="3"/>
  <c r="AM90" i="3"/>
  <c r="R90" i="3"/>
  <c r="Q90" i="3"/>
  <c r="AD90" i="3"/>
  <c r="P90" i="3"/>
  <c r="O90" i="3"/>
  <c r="M90" i="3"/>
  <c r="AF90" i="3"/>
  <c r="U90" i="3"/>
  <c r="AE90" i="3"/>
  <c r="V90" i="3"/>
  <c r="C90" i="3"/>
  <c r="G90" i="3"/>
  <c r="H90" i="3" s="1"/>
  <c r="F90" i="3"/>
  <c r="BM90" i="3" s="1"/>
  <c r="S90" i="3"/>
  <c r="AU88" i="3"/>
  <c r="Y89" i="3"/>
  <c r="Z89" i="3" s="1"/>
  <c r="BA87" i="3"/>
  <c r="AY87" i="3"/>
  <c r="BF86" i="3"/>
  <c r="BJ85" i="3" s="1"/>
  <c r="BK85" i="3" s="1"/>
  <c r="BQ86" i="3"/>
  <c r="BB86" i="3"/>
  <c r="X89" i="3"/>
  <c r="AW88" i="3"/>
  <c r="BM89" i="3"/>
  <c r="AG89" i="3"/>
  <c r="AH89" i="3"/>
  <c r="AO89" i="3"/>
  <c r="AT88" i="3"/>
  <c r="AG90" i="3" l="1"/>
  <c r="BC87" i="3"/>
  <c r="BD87" i="3" s="1"/>
  <c r="BN90" i="3"/>
  <c r="BG86" i="3"/>
  <c r="BH86" i="3" s="1"/>
  <c r="BI86" i="3" s="1"/>
  <c r="AY88" i="3"/>
  <c r="AN90" i="3"/>
  <c r="AX89" i="3"/>
  <c r="X90" i="3"/>
  <c r="BA88" i="3"/>
  <c r="AV88" i="3"/>
  <c r="BF87" i="3"/>
  <c r="BJ86" i="3" s="1"/>
  <c r="BB87" i="3"/>
  <c r="BQ87" i="3"/>
  <c r="Y90" i="3"/>
  <c r="Z90" i="3" s="1"/>
  <c r="AW89" i="3"/>
  <c r="AT89" i="3"/>
  <c r="AH90" i="3"/>
  <c r="AO90" i="3"/>
  <c r="A92" i="3"/>
  <c r="B91" i="3"/>
  <c r="AQ91" i="3"/>
  <c r="AR91" i="3"/>
  <c r="D91" i="3"/>
  <c r="AM91" i="3"/>
  <c r="AK91" i="3"/>
  <c r="R91" i="3"/>
  <c r="P91" i="3"/>
  <c r="Q91" i="3"/>
  <c r="AD91" i="3"/>
  <c r="AE91" i="3"/>
  <c r="M91" i="3"/>
  <c r="V91" i="3"/>
  <c r="U91" i="3"/>
  <c r="O91" i="3"/>
  <c r="AF91" i="3"/>
  <c r="F91" i="3"/>
  <c r="C91" i="3"/>
  <c r="G91" i="3"/>
  <c r="H91" i="3" s="1"/>
  <c r="T91" i="3"/>
  <c r="S91" i="3"/>
  <c r="AU89" i="3"/>
  <c r="AY89" i="3" l="1"/>
  <c r="AT90" i="3"/>
  <c r="BG87" i="3"/>
  <c r="BH87" i="3" s="1"/>
  <c r="BI87" i="3" s="1"/>
  <c r="AU90" i="3"/>
  <c r="AV89" i="3"/>
  <c r="BN91" i="3"/>
  <c r="BM91" i="3"/>
  <c r="BK86" i="3"/>
  <c r="BC88" i="3"/>
  <c r="BG88" i="3" s="1"/>
  <c r="BH88" i="3" s="1"/>
  <c r="BI88" i="3" s="1"/>
  <c r="X91" i="3"/>
  <c r="AG91" i="3"/>
  <c r="AN91" i="3"/>
  <c r="AX90" i="3"/>
  <c r="Y91" i="3"/>
  <c r="Z91" i="3" s="1"/>
  <c r="A93" i="3"/>
  <c r="AR92" i="3"/>
  <c r="B92" i="3"/>
  <c r="AQ92" i="3"/>
  <c r="C92" i="3"/>
  <c r="AK92" i="3"/>
  <c r="AM92" i="3"/>
  <c r="S92" i="3"/>
  <c r="Q92" i="3"/>
  <c r="D92" i="3"/>
  <c r="T92" i="3"/>
  <c r="AD92" i="3"/>
  <c r="O92" i="3"/>
  <c r="P92" i="3"/>
  <c r="AE92" i="3"/>
  <c r="V92" i="3"/>
  <c r="M92" i="3"/>
  <c r="AF92" i="3"/>
  <c r="U92" i="3"/>
  <c r="R92" i="3"/>
  <c r="G92" i="3"/>
  <c r="H92" i="3" s="1"/>
  <c r="F92" i="3"/>
  <c r="BF88" i="3"/>
  <c r="BJ87" i="3" s="1"/>
  <c r="BK87" i="3" s="1"/>
  <c r="BB88" i="3"/>
  <c r="BQ88" i="3"/>
  <c r="AH91" i="3"/>
  <c r="AO91" i="3"/>
  <c r="AW90" i="3"/>
  <c r="BA89" i="3"/>
  <c r="BC89" i="3" l="1"/>
  <c r="BG89" i="3" s="1"/>
  <c r="BH89" i="3" s="1"/>
  <c r="BI89" i="3" s="1"/>
  <c r="AV90" i="3"/>
  <c r="BM92" i="3"/>
  <c r="BD88" i="3"/>
  <c r="BA90" i="3"/>
  <c r="BQ90" i="3" s="1"/>
  <c r="AU91" i="3"/>
  <c r="AY90" i="3"/>
  <c r="BC90" i="3" s="1"/>
  <c r="AW91" i="3"/>
  <c r="AX91" i="3"/>
  <c r="AO92" i="3"/>
  <c r="AQ93" i="3"/>
  <c r="B93" i="3"/>
  <c r="AR93" i="3"/>
  <c r="A94" i="3"/>
  <c r="AM93" i="3"/>
  <c r="AK93" i="3"/>
  <c r="Q93" i="3"/>
  <c r="R93" i="3"/>
  <c r="AD93" i="3"/>
  <c r="P93" i="3"/>
  <c r="O93" i="3"/>
  <c r="M93" i="3"/>
  <c r="AE93" i="3"/>
  <c r="V93" i="3"/>
  <c r="U93" i="3"/>
  <c r="AF93" i="3"/>
  <c r="F93" i="3"/>
  <c r="C93" i="3"/>
  <c r="D93" i="3"/>
  <c r="G93" i="3"/>
  <c r="H93" i="3" s="1"/>
  <c r="S93" i="3"/>
  <c r="T93" i="3"/>
  <c r="AH92" i="3"/>
  <c r="AT91" i="3"/>
  <c r="BN92" i="3"/>
  <c r="AG92" i="3"/>
  <c r="AN92" i="3"/>
  <c r="X92" i="3"/>
  <c r="BQ89" i="3"/>
  <c r="BB89" i="3"/>
  <c r="BF89" i="3"/>
  <c r="BJ88" i="3" s="1"/>
  <c r="BK88" i="3" s="1"/>
  <c r="Y92" i="3"/>
  <c r="Z92" i="3" s="1"/>
  <c r="BD89" i="3" l="1"/>
  <c r="BB90" i="3"/>
  <c r="BM93" i="3"/>
  <c r="BF90" i="3"/>
  <c r="BJ89" i="3" s="1"/>
  <c r="BK89" i="3" s="1"/>
  <c r="AG93" i="3"/>
  <c r="AY91" i="3"/>
  <c r="AW92" i="3"/>
  <c r="AN93" i="3"/>
  <c r="X93" i="3"/>
  <c r="BD90" i="3"/>
  <c r="BG90" i="3"/>
  <c r="BH90" i="3" s="1"/>
  <c r="BI90" i="3" s="1"/>
  <c r="AU92" i="3"/>
  <c r="AX92" i="3"/>
  <c r="BA91" i="3"/>
  <c r="AV91" i="3"/>
  <c r="B94" i="3"/>
  <c r="AQ94" i="3"/>
  <c r="AR94" i="3"/>
  <c r="A95" i="3"/>
  <c r="C94" i="3"/>
  <c r="AK94" i="3"/>
  <c r="R94" i="3"/>
  <c r="AM94" i="3"/>
  <c r="Q94" i="3"/>
  <c r="S94" i="3"/>
  <c r="AD94" i="3"/>
  <c r="P94" i="3"/>
  <c r="M94" i="3"/>
  <c r="U94" i="3"/>
  <c r="O94" i="3"/>
  <c r="AE94" i="3"/>
  <c r="AF94" i="3"/>
  <c r="V94" i="3"/>
  <c r="D94" i="3"/>
  <c r="G94" i="3"/>
  <c r="H94" i="3" s="1"/>
  <c r="F94" i="3"/>
  <c r="BM94" i="3" s="1"/>
  <c r="T94" i="3"/>
  <c r="AT92" i="3"/>
  <c r="Y93" i="3"/>
  <c r="Z93" i="3" s="1"/>
  <c r="BN93" i="3"/>
  <c r="AO93" i="3"/>
  <c r="AH93" i="3"/>
  <c r="AN94" i="3" l="1"/>
  <c r="AY92" i="3"/>
  <c r="BN94" i="3"/>
  <c r="AU93" i="3"/>
  <c r="BC91" i="3"/>
  <c r="BG91" i="3" s="1"/>
  <c r="BH91" i="3" s="1"/>
  <c r="BI91" i="3" s="1"/>
  <c r="AT93" i="3"/>
  <c r="AW93" i="3"/>
  <c r="AG94" i="3"/>
  <c r="AV92" i="3"/>
  <c r="BA92" i="3"/>
  <c r="BB91" i="3"/>
  <c r="BF91" i="3"/>
  <c r="BJ90" i="3" s="1"/>
  <c r="BK90" i="3" s="1"/>
  <c r="BQ91" i="3"/>
  <c r="AX93" i="3"/>
  <c r="AH94" i="3"/>
  <c r="X94" i="3"/>
  <c r="A96" i="3"/>
  <c r="B95" i="3"/>
  <c r="AQ95" i="3"/>
  <c r="AR95" i="3"/>
  <c r="D95" i="3"/>
  <c r="C95" i="3"/>
  <c r="AK95" i="3"/>
  <c r="AM95" i="3"/>
  <c r="S95" i="3"/>
  <c r="Q95" i="3"/>
  <c r="O95" i="3"/>
  <c r="AD95" i="3"/>
  <c r="M95" i="3"/>
  <c r="AF95" i="3"/>
  <c r="V95" i="3"/>
  <c r="U95" i="3"/>
  <c r="P95" i="3"/>
  <c r="AE95" i="3"/>
  <c r="R95" i="3"/>
  <c r="G95" i="3"/>
  <c r="H95" i="3" s="1"/>
  <c r="F95" i="3"/>
  <c r="T95" i="3"/>
  <c r="Y94" i="3"/>
  <c r="Z94" i="3" s="1"/>
  <c r="AO94" i="3"/>
  <c r="BD91" i="3" l="1"/>
  <c r="BC92" i="3"/>
  <c r="BG92" i="3" s="1"/>
  <c r="BH92" i="3" s="1"/>
  <c r="BI92" i="3" s="1"/>
  <c r="AG95" i="3"/>
  <c r="AV93" i="3"/>
  <c r="BN95" i="3"/>
  <c r="BM95" i="3"/>
  <c r="AT94" i="3"/>
  <c r="AW94" i="3"/>
  <c r="AN95" i="3"/>
  <c r="AU94" i="3"/>
  <c r="AY93" i="3"/>
  <c r="Y95" i="3"/>
  <c r="Z95" i="3" s="1"/>
  <c r="BA93" i="3"/>
  <c r="BF93" i="3" s="1"/>
  <c r="BB92" i="3"/>
  <c r="BF92" i="3"/>
  <c r="BJ91" i="3" s="1"/>
  <c r="BK91" i="3" s="1"/>
  <c r="BQ92" i="3"/>
  <c r="AH95" i="3"/>
  <c r="X95" i="3"/>
  <c r="AX94" i="3"/>
  <c r="BD92" i="3"/>
  <c r="A97" i="3"/>
  <c r="AR96" i="3"/>
  <c r="B96" i="3"/>
  <c r="AQ96" i="3"/>
  <c r="C96" i="3"/>
  <c r="AM96" i="3"/>
  <c r="AK96" i="3"/>
  <c r="S96" i="3"/>
  <c r="R96" i="3"/>
  <c r="Q96" i="3"/>
  <c r="AD96" i="3"/>
  <c r="P96" i="3"/>
  <c r="M96" i="3"/>
  <c r="AE96" i="3"/>
  <c r="AF96" i="3"/>
  <c r="V96" i="3"/>
  <c r="O96" i="3"/>
  <c r="U96" i="3"/>
  <c r="D96" i="3"/>
  <c r="F96" i="3"/>
  <c r="G96" i="3"/>
  <c r="H96" i="3" s="1"/>
  <c r="T96" i="3"/>
  <c r="AO95" i="3"/>
  <c r="BN96" i="3" l="1"/>
  <c r="BC93" i="3"/>
  <c r="BD93" i="3" s="1"/>
  <c r="BM96" i="3"/>
  <c r="AV94" i="3"/>
  <c r="BA94" i="3"/>
  <c r="BF94" i="3" s="1"/>
  <c r="AN96" i="3"/>
  <c r="AX95" i="3"/>
  <c r="AG96" i="3"/>
  <c r="AT95" i="3"/>
  <c r="BQ93" i="3"/>
  <c r="BB93" i="3"/>
  <c r="Y96" i="3"/>
  <c r="Z96" i="3" s="1"/>
  <c r="AQ97" i="3"/>
  <c r="AR97" i="3"/>
  <c r="B97" i="3"/>
  <c r="A98" i="3"/>
  <c r="D97" i="3"/>
  <c r="C97" i="3"/>
  <c r="AM97" i="3"/>
  <c r="AK97" i="3"/>
  <c r="R97" i="3"/>
  <c r="T97" i="3"/>
  <c r="AD97" i="3"/>
  <c r="P97" i="3"/>
  <c r="M97" i="3"/>
  <c r="AF97" i="3"/>
  <c r="V97" i="3"/>
  <c r="U97" i="3"/>
  <c r="O97" i="3"/>
  <c r="AE97" i="3"/>
  <c r="Q97" i="3"/>
  <c r="G97" i="3"/>
  <c r="H97" i="3" s="1"/>
  <c r="F97" i="3"/>
  <c r="S97" i="3"/>
  <c r="AY94" i="3"/>
  <c r="AU95" i="3"/>
  <c r="AH96" i="3"/>
  <c r="AO96" i="3"/>
  <c r="X96" i="3"/>
  <c r="AW95" i="3"/>
  <c r="BJ92" i="3"/>
  <c r="BK92" i="3" s="1"/>
  <c r="BB94" i="3" l="1"/>
  <c r="BG93" i="3"/>
  <c r="BH93" i="3" s="1"/>
  <c r="BI93" i="3" s="1"/>
  <c r="BC94" i="3"/>
  <c r="BG94" i="3" s="1"/>
  <c r="BH94" i="3" s="1"/>
  <c r="BI94" i="3" s="1"/>
  <c r="BQ94" i="3"/>
  <c r="BM97" i="3"/>
  <c r="BN97" i="3"/>
  <c r="AV95" i="3"/>
  <c r="AY95" i="3"/>
  <c r="AG97" i="3"/>
  <c r="AX96" i="3"/>
  <c r="AO97" i="3"/>
  <c r="X97" i="3"/>
  <c r="B98" i="3"/>
  <c r="AQ98" i="3"/>
  <c r="AR98" i="3"/>
  <c r="A99" i="3"/>
  <c r="D98" i="3"/>
  <c r="R98" i="3"/>
  <c r="AM98" i="3"/>
  <c r="AK98" i="3"/>
  <c r="AD98" i="3"/>
  <c r="AE98" i="3"/>
  <c r="O98" i="3"/>
  <c r="V98" i="3"/>
  <c r="U98" i="3"/>
  <c r="AF98" i="3"/>
  <c r="M98" i="3"/>
  <c r="Q98" i="3"/>
  <c r="C98" i="3"/>
  <c r="G98" i="3"/>
  <c r="H98" i="3" s="1"/>
  <c r="F98" i="3"/>
  <c r="BM98" i="3" s="1"/>
  <c r="S98" i="3"/>
  <c r="P98" i="3"/>
  <c r="T98" i="3"/>
  <c r="BA95" i="3"/>
  <c r="AW96" i="3"/>
  <c r="Y97" i="3"/>
  <c r="Z97" i="3" s="1"/>
  <c r="BJ93" i="3"/>
  <c r="BK93" i="3" s="1"/>
  <c r="AU96" i="3"/>
  <c r="AH97" i="3"/>
  <c r="AN97" i="3"/>
  <c r="AT96" i="3"/>
  <c r="BD94" i="3" l="1"/>
  <c r="BN98" i="3"/>
  <c r="BC95" i="3"/>
  <c r="BD95" i="3" s="1"/>
  <c r="AU97" i="3"/>
  <c r="AX97" i="3"/>
  <c r="AY96" i="3"/>
  <c r="AO98" i="3"/>
  <c r="A100" i="3"/>
  <c r="B99" i="3"/>
  <c r="AQ99" i="3"/>
  <c r="AR99" i="3"/>
  <c r="D99" i="3"/>
  <c r="AK99" i="3"/>
  <c r="T99" i="3"/>
  <c r="S99" i="3"/>
  <c r="AM99" i="3"/>
  <c r="Q99" i="3"/>
  <c r="R99" i="3"/>
  <c r="P99" i="3"/>
  <c r="AD99" i="3"/>
  <c r="O99" i="3"/>
  <c r="AE99" i="3"/>
  <c r="V99" i="3"/>
  <c r="U99" i="3"/>
  <c r="M99" i="3"/>
  <c r="AF99" i="3"/>
  <c r="F99" i="3"/>
  <c r="G99" i="3"/>
  <c r="H99" i="3" s="1"/>
  <c r="C99" i="3"/>
  <c r="AV96" i="3"/>
  <c r="BA96" i="3"/>
  <c r="BF95" i="3"/>
  <c r="BJ94" i="3" s="1"/>
  <c r="BK94" i="3" s="1"/>
  <c r="BQ95" i="3"/>
  <c r="BB95" i="3"/>
  <c r="AT97" i="3"/>
  <c r="AG98" i="3"/>
  <c r="AW97" i="3"/>
  <c r="Y98" i="3"/>
  <c r="Z98" i="3" s="1"/>
  <c r="X98" i="3"/>
  <c r="AH98" i="3"/>
  <c r="AN98" i="3"/>
  <c r="BN99" i="3" l="1"/>
  <c r="AT98" i="3"/>
  <c r="BG95" i="3"/>
  <c r="BH95" i="3" s="1"/>
  <c r="BI95" i="3" s="1"/>
  <c r="BM99" i="3"/>
  <c r="AY97" i="3"/>
  <c r="BC96" i="3"/>
  <c r="BD96" i="3" s="1"/>
  <c r="AO99" i="3"/>
  <c r="BQ96" i="3"/>
  <c r="BB96" i="3"/>
  <c r="BF96" i="3"/>
  <c r="BJ95" i="3" s="1"/>
  <c r="BA97" i="3"/>
  <c r="AV97" i="3"/>
  <c r="Y99" i="3"/>
  <c r="Z99" i="3" s="1"/>
  <c r="A101" i="3"/>
  <c r="AR100" i="3"/>
  <c r="B100" i="3"/>
  <c r="AQ100" i="3"/>
  <c r="D100" i="3"/>
  <c r="C100" i="3"/>
  <c r="AK100" i="3"/>
  <c r="AM100" i="3"/>
  <c r="T100" i="3"/>
  <c r="S100" i="3"/>
  <c r="R100" i="3"/>
  <c r="AD100" i="3"/>
  <c r="Q100" i="3"/>
  <c r="O100" i="3"/>
  <c r="P100" i="3"/>
  <c r="M100" i="3"/>
  <c r="V100" i="3"/>
  <c r="AF100" i="3"/>
  <c r="AE100" i="3"/>
  <c r="U100" i="3"/>
  <c r="F100" i="3"/>
  <c r="G100" i="3"/>
  <c r="H100" i="3" s="1"/>
  <c r="AW98" i="3"/>
  <c r="X99" i="3"/>
  <c r="AX98" i="3"/>
  <c r="AU98" i="3"/>
  <c r="AG99" i="3"/>
  <c r="AH99" i="3"/>
  <c r="AN99" i="3"/>
  <c r="BK95" i="3" l="1"/>
  <c r="AV98" i="3"/>
  <c r="BN100" i="3"/>
  <c r="BM100" i="3"/>
  <c r="AO100" i="3"/>
  <c r="BC97" i="3"/>
  <c r="BG97" i="3" s="1"/>
  <c r="BH97" i="3" s="1"/>
  <c r="BI97" i="3" s="1"/>
  <c r="BG96" i="3"/>
  <c r="BH96" i="3" s="1"/>
  <c r="BI96" i="3" s="1"/>
  <c r="AT99" i="3"/>
  <c r="AG100" i="3"/>
  <c r="BA98" i="3"/>
  <c r="BQ98" i="3" s="1"/>
  <c r="AY98" i="3"/>
  <c r="AW99" i="3"/>
  <c r="AU99" i="3"/>
  <c r="AX99" i="3"/>
  <c r="AH100" i="3"/>
  <c r="AN100" i="3"/>
  <c r="X100" i="3"/>
  <c r="Y100" i="3"/>
  <c r="Z100" i="3" s="1"/>
  <c r="AQ101" i="3"/>
  <c r="B101" i="3"/>
  <c r="AR101" i="3"/>
  <c r="A102" i="3"/>
  <c r="C101" i="3"/>
  <c r="R101" i="3"/>
  <c r="AM101" i="3"/>
  <c r="AK101" i="3"/>
  <c r="Q101" i="3"/>
  <c r="AD101" i="3"/>
  <c r="O101" i="3"/>
  <c r="P101" i="3"/>
  <c r="AF101" i="3"/>
  <c r="AE101" i="3"/>
  <c r="U101" i="3"/>
  <c r="V101" i="3"/>
  <c r="M101" i="3"/>
  <c r="D101" i="3"/>
  <c r="F101" i="3"/>
  <c r="G101" i="3"/>
  <c r="H101" i="3" s="1"/>
  <c r="BN101" i="3" s="1"/>
  <c r="T101" i="3"/>
  <c r="S101" i="3"/>
  <c r="BB97" i="3"/>
  <c r="BQ97" i="3"/>
  <c r="BF97" i="3"/>
  <c r="BJ96" i="3" s="1"/>
  <c r="BM101" i="3" l="1"/>
  <c r="BD97" i="3"/>
  <c r="BK96" i="3"/>
  <c r="BC98" i="3"/>
  <c r="BD98" i="3" s="1"/>
  <c r="AT100" i="3"/>
  <c r="AV99" i="3"/>
  <c r="BB98" i="3"/>
  <c r="AW100" i="3"/>
  <c r="AU100" i="3"/>
  <c r="AN101" i="3"/>
  <c r="BF98" i="3"/>
  <c r="BJ97" i="3" s="1"/>
  <c r="BK97" i="3" s="1"/>
  <c r="AX100" i="3"/>
  <c r="BA99" i="3"/>
  <c r="BQ99" i="3" s="1"/>
  <c r="Y101" i="3"/>
  <c r="Z101" i="3" s="1"/>
  <c r="B102" i="3"/>
  <c r="AQ102" i="3"/>
  <c r="AR102" i="3"/>
  <c r="A103" i="3"/>
  <c r="C102" i="3"/>
  <c r="AM102" i="3"/>
  <c r="AK102" i="3"/>
  <c r="T102" i="3"/>
  <c r="Q102" i="3"/>
  <c r="O102" i="3"/>
  <c r="R102" i="3"/>
  <c r="AD102" i="3"/>
  <c r="P102" i="3"/>
  <c r="AE102" i="3"/>
  <c r="M102" i="3"/>
  <c r="AF102" i="3"/>
  <c r="V102" i="3"/>
  <c r="U102" i="3"/>
  <c r="G102" i="3"/>
  <c r="H102" i="3" s="1"/>
  <c r="D102" i="3"/>
  <c r="F102" i="3"/>
  <c r="S102" i="3"/>
  <c r="X101" i="3"/>
  <c r="AG101" i="3"/>
  <c r="AH101" i="3"/>
  <c r="AO101" i="3"/>
  <c r="AY99" i="3"/>
  <c r="BM102" i="3" l="1"/>
  <c r="BG98" i="3"/>
  <c r="BH98" i="3" s="1"/>
  <c r="BI98" i="3" s="1"/>
  <c r="AV100" i="3"/>
  <c r="BC99" i="3"/>
  <c r="BD99" i="3" s="1"/>
  <c r="AY100" i="3"/>
  <c r="BN102" i="3"/>
  <c r="AH102" i="3"/>
  <c r="BA100" i="3"/>
  <c r="BB100" i="3" s="1"/>
  <c r="AX101" i="3"/>
  <c r="BF99" i="3"/>
  <c r="BJ98" i="3" s="1"/>
  <c r="BK98" i="3" s="1"/>
  <c r="AO102" i="3"/>
  <c r="BB99" i="3"/>
  <c r="Y102" i="3"/>
  <c r="Z102" i="3" s="1"/>
  <c r="A104" i="3"/>
  <c r="B103" i="3"/>
  <c r="AQ103" i="3"/>
  <c r="AR103" i="3"/>
  <c r="D103" i="3"/>
  <c r="AK103" i="3"/>
  <c r="AM103" i="3"/>
  <c r="S103" i="3"/>
  <c r="R103" i="3"/>
  <c r="AD103" i="3"/>
  <c r="P103" i="3"/>
  <c r="O103" i="3"/>
  <c r="AE103" i="3"/>
  <c r="AF103" i="3"/>
  <c r="M103" i="3"/>
  <c r="V103" i="3"/>
  <c r="U103" i="3"/>
  <c r="Q103" i="3"/>
  <c r="C103" i="3"/>
  <c r="F103" i="3"/>
  <c r="G103" i="3"/>
  <c r="H103" i="3" s="1"/>
  <c r="BN103" i="3" s="1"/>
  <c r="T103" i="3"/>
  <c r="AW101" i="3"/>
  <c r="X102" i="3"/>
  <c r="AG102" i="3"/>
  <c r="AN102" i="3"/>
  <c r="AT101" i="3"/>
  <c r="AU101" i="3"/>
  <c r="BC100" i="3" l="1"/>
  <c r="BG100" i="3" s="1"/>
  <c r="BH100" i="3" s="1"/>
  <c r="BI100" i="3" s="1"/>
  <c r="BG99" i="3"/>
  <c r="BH99" i="3" s="1"/>
  <c r="BI99" i="3" s="1"/>
  <c r="BQ100" i="3"/>
  <c r="BM103" i="3"/>
  <c r="BF100" i="3"/>
  <c r="BJ99" i="3" s="1"/>
  <c r="AY101" i="3"/>
  <c r="AW102" i="3"/>
  <c r="AO103" i="3"/>
  <c r="AT102" i="3"/>
  <c r="AX102" i="3"/>
  <c r="AH103" i="3"/>
  <c r="Y103" i="3"/>
  <c r="Z103" i="3" s="1"/>
  <c r="BD100" i="3"/>
  <c r="A105" i="3"/>
  <c r="AR104" i="3"/>
  <c r="B104" i="3"/>
  <c r="AQ104" i="3"/>
  <c r="D104" i="3"/>
  <c r="R104" i="3"/>
  <c r="Q104" i="3"/>
  <c r="AM104" i="3"/>
  <c r="AK104" i="3"/>
  <c r="S104" i="3"/>
  <c r="AD104" i="3"/>
  <c r="P104" i="3"/>
  <c r="O104" i="3"/>
  <c r="AE104" i="3"/>
  <c r="M104" i="3"/>
  <c r="AF104" i="3"/>
  <c r="V104" i="3"/>
  <c r="U104" i="3"/>
  <c r="G104" i="3"/>
  <c r="H104" i="3" s="1"/>
  <c r="BN104" i="3" s="1"/>
  <c r="F104" i="3"/>
  <c r="C104" i="3"/>
  <c r="T104" i="3"/>
  <c r="X103" i="3"/>
  <c r="AG103" i="3"/>
  <c r="AN103" i="3"/>
  <c r="BA101" i="3"/>
  <c r="AV101" i="3"/>
  <c r="AU102" i="3"/>
  <c r="BK99" i="3" l="1"/>
  <c r="BM104" i="3"/>
  <c r="BC101" i="3"/>
  <c r="BD101" i="3" s="1"/>
  <c r="AV102" i="3"/>
  <c r="AU103" i="3"/>
  <c r="AG104" i="3"/>
  <c r="AY102" i="3"/>
  <c r="AT103" i="3"/>
  <c r="AX103" i="3"/>
  <c r="AN104" i="3"/>
  <c r="BA102" i="3"/>
  <c r="BB102" i="3" s="1"/>
  <c r="Y104" i="3"/>
  <c r="Z104" i="3" s="1"/>
  <c r="BQ101" i="3"/>
  <c r="BF101" i="3"/>
  <c r="BJ100" i="3" s="1"/>
  <c r="BK100" i="3" s="1"/>
  <c r="BB101" i="3"/>
  <c r="AQ105" i="3"/>
  <c r="AR105" i="3"/>
  <c r="B105" i="3"/>
  <c r="A106" i="3"/>
  <c r="C105" i="3"/>
  <c r="R105" i="3"/>
  <c r="AK105" i="3"/>
  <c r="AM105" i="3"/>
  <c r="Q105" i="3"/>
  <c r="AD105" i="3"/>
  <c r="O105" i="3"/>
  <c r="P105" i="3"/>
  <c r="M105" i="3"/>
  <c r="AE105" i="3"/>
  <c r="U105" i="3"/>
  <c r="V105" i="3"/>
  <c r="AF105" i="3"/>
  <c r="D105" i="3"/>
  <c r="G105" i="3"/>
  <c r="H105" i="3" s="1"/>
  <c r="F105" i="3"/>
  <c r="S105" i="3"/>
  <c r="T105" i="3"/>
  <c r="AW103" i="3"/>
  <c r="X104" i="3"/>
  <c r="AH104" i="3"/>
  <c r="AO104" i="3"/>
  <c r="BG101" i="3" l="1"/>
  <c r="BH101" i="3" s="1"/>
  <c r="BI101" i="3" s="1"/>
  <c r="BM105" i="3"/>
  <c r="AG105" i="3"/>
  <c r="AN105" i="3"/>
  <c r="AU104" i="3"/>
  <c r="BC102" i="3"/>
  <c r="BG102" i="3" s="1"/>
  <c r="BH102" i="3" s="1"/>
  <c r="BI102" i="3" s="1"/>
  <c r="AT104" i="3"/>
  <c r="AV103" i="3"/>
  <c r="BQ102" i="3"/>
  <c r="BA103" i="3"/>
  <c r="BF103" i="3" s="1"/>
  <c r="BF102" i="3"/>
  <c r="BJ101" i="3" s="1"/>
  <c r="BK101" i="3" s="1"/>
  <c r="AW104" i="3"/>
  <c r="Y105" i="3"/>
  <c r="Z105" i="3" s="1"/>
  <c r="AX104" i="3"/>
  <c r="AY103" i="3"/>
  <c r="X105" i="3"/>
  <c r="BN105" i="3"/>
  <c r="AO105" i="3"/>
  <c r="B106" i="3"/>
  <c r="AQ106" i="3"/>
  <c r="AR106" i="3"/>
  <c r="A107" i="3"/>
  <c r="D106" i="3"/>
  <c r="AM106" i="3"/>
  <c r="AK106" i="3"/>
  <c r="R106" i="3"/>
  <c r="Q106" i="3"/>
  <c r="S106" i="3"/>
  <c r="AD106" i="3"/>
  <c r="P106" i="3"/>
  <c r="O106" i="3"/>
  <c r="AF106" i="3"/>
  <c r="AE106" i="3"/>
  <c r="V106" i="3"/>
  <c r="M106" i="3"/>
  <c r="U106" i="3"/>
  <c r="C106" i="3"/>
  <c r="G106" i="3"/>
  <c r="H106" i="3" s="1"/>
  <c r="F106" i="3"/>
  <c r="T106" i="3"/>
  <c r="AH105" i="3"/>
  <c r="AV104" i="3" l="1"/>
  <c r="BM106" i="3"/>
  <c r="BN106" i="3"/>
  <c r="BD102" i="3"/>
  <c r="BQ103" i="3"/>
  <c r="AN106" i="3"/>
  <c r="AX105" i="3"/>
  <c r="Y106" i="3"/>
  <c r="Z106" i="3" s="1"/>
  <c r="BC103" i="3"/>
  <c r="BD103" i="3" s="1"/>
  <c r="AY104" i="3"/>
  <c r="BB103" i="3"/>
  <c r="BJ102" i="3"/>
  <c r="BK102" i="3" s="1"/>
  <c r="BA104" i="3"/>
  <c r="BQ104" i="3" s="1"/>
  <c r="X106" i="3"/>
  <c r="AG106" i="3"/>
  <c r="AH106" i="3"/>
  <c r="AO106" i="3"/>
  <c r="A108" i="3"/>
  <c r="B107" i="3"/>
  <c r="AQ107" i="3"/>
  <c r="AR107" i="3"/>
  <c r="D107" i="3"/>
  <c r="AM107" i="3"/>
  <c r="S107" i="3"/>
  <c r="R107" i="3"/>
  <c r="Q107" i="3"/>
  <c r="C107" i="3"/>
  <c r="AK107" i="3"/>
  <c r="AD107" i="3"/>
  <c r="O107" i="3"/>
  <c r="M107" i="3"/>
  <c r="AF107" i="3"/>
  <c r="AE107" i="3"/>
  <c r="V107" i="3"/>
  <c r="U107" i="3"/>
  <c r="G107" i="3"/>
  <c r="H107" i="3" s="1"/>
  <c r="F107" i="3"/>
  <c r="BM107" i="3" s="1"/>
  <c r="T107" i="3"/>
  <c r="P107" i="3"/>
  <c r="AT105" i="3"/>
  <c r="AW105" i="3"/>
  <c r="AU105" i="3"/>
  <c r="BN107" i="3" l="1"/>
  <c r="BC104" i="3"/>
  <c r="BG104" i="3" s="1"/>
  <c r="BH104" i="3" s="1"/>
  <c r="BI104" i="3" s="1"/>
  <c r="AN107" i="3"/>
  <c r="AY105" i="3"/>
  <c r="BF104" i="3"/>
  <c r="BJ103" i="3" s="1"/>
  <c r="BG103" i="3"/>
  <c r="BH103" i="3" s="1"/>
  <c r="BI103" i="3" s="1"/>
  <c r="AU106" i="3"/>
  <c r="BB104" i="3"/>
  <c r="AG107" i="3"/>
  <c r="AX106" i="3"/>
  <c r="BA105" i="3"/>
  <c r="BQ105" i="3" s="1"/>
  <c r="Y107" i="3"/>
  <c r="Z107" i="3" s="1"/>
  <c r="AH107" i="3"/>
  <c r="A109" i="3"/>
  <c r="AR108" i="3"/>
  <c r="B108" i="3"/>
  <c r="AQ108" i="3"/>
  <c r="R108" i="3"/>
  <c r="C108" i="3"/>
  <c r="AM108" i="3"/>
  <c r="AK108" i="3"/>
  <c r="Q108" i="3"/>
  <c r="AD108" i="3"/>
  <c r="O108" i="3"/>
  <c r="P108" i="3"/>
  <c r="AE108" i="3"/>
  <c r="M108" i="3"/>
  <c r="AF108" i="3"/>
  <c r="V108" i="3"/>
  <c r="U108" i="3"/>
  <c r="D108" i="3"/>
  <c r="F108" i="3"/>
  <c r="G108" i="3"/>
  <c r="H108" i="3" s="1"/>
  <c r="S108" i="3"/>
  <c r="T108" i="3"/>
  <c r="X107" i="3"/>
  <c r="AV105" i="3"/>
  <c r="AO107" i="3"/>
  <c r="AT106" i="3"/>
  <c r="AW106" i="3"/>
  <c r="BN108" i="3" l="1"/>
  <c r="BD104" i="3"/>
  <c r="AU107" i="3"/>
  <c r="BK103" i="3"/>
  <c r="BC105" i="3"/>
  <c r="BG105" i="3" s="1"/>
  <c r="BH105" i="3" s="1"/>
  <c r="BI105" i="3" s="1"/>
  <c r="AY106" i="3"/>
  <c r="AW107" i="3"/>
  <c r="AO108" i="3"/>
  <c r="BF105" i="3"/>
  <c r="BJ104" i="3" s="1"/>
  <c r="BK104" i="3" s="1"/>
  <c r="BB105" i="3"/>
  <c r="AV106" i="3"/>
  <c r="BA106" i="3"/>
  <c r="AQ109" i="3"/>
  <c r="B109" i="3"/>
  <c r="AR109" i="3"/>
  <c r="A110" i="3"/>
  <c r="AM109" i="3"/>
  <c r="T109" i="3"/>
  <c r="Q109" i="3"/>
  <c r="D109" i="3"/>
  <c r="AK109" i="3"/>
  <c r="S109" i="3"/>
  <c r="P109" i="3"/>
  <c r="R109" i="3"/>
  <c r="AD109" i="3"/>
  <c r="O109" i="3"/>
  <c r="M109" i="3"/>
  <c r="AF109" i="3"/>
  <c r="U109" i="3"/>
  <c r="AE109" i="3"/>
  <c r="V109" i="3"/>
  <c r="C109" i="3"/>
  <c r="F109" i="3"/>
  <c r="G109" i="3"/>
  <c r="H109" i="3" s="1"/>
  <c r="X108" i="3"/>
  <c r="BM108" i="3"/>
  <c r="AH108" i="3"/>
  <c r="AG108" i="3"/>
  <c r="AN108" i="3"/>
  <c r="AT107" i="3"/>
  <c r="Y108" i="3"/>
  <c r="Z108" i="3" s="1"/>
  <c r="AX107" i="3"/>
  <c r="BN109" i="3" l="1"/>
  <c r="BD105" i="3"/>
  <c r="BM109" i="3"/>
  <c r="AO109" i="3"/>
  <c r="AY107" i="3"/>
  <c r="BC106" i="3"/>
  <c r="BG106" i="3" s="1"/>
  <c r="BH106" i="3" s="1"/>
  <c r="BI106" i="3" s="1"/>
  <c r="AW108" i="3"/>
  <c r="AT108" i="3"/>
  <c r="AH109" i="3"/>
  <c r="Y109" i="3"/>
  <c r="Z109" i="3" s="1"/>
  <c r="B110" i="3"/>
  <c r="AQ110" i="3"/>
  <c r="AR110" i="3"/>
  <c r="A111" i="3"/>
  <c r="C110" i="3"/>
  <c r="D110" i="3"/>
  <c r="AM110" i="3"/>
  <c r="AK110" i="3"/>
  <c r="T110" i="3"/>
  <c r="Q110" i="3"/>
  <c r="S110" i="3"/>
  <c r="R110" i="3"/>
  <c r="AD110" i="3"/>
  <c r="P110" i="3"/>
  <c r="O110" i="3"/>
  <c r="AE110" i="3"/>
  <c r="AF110" i="3"/>
  <c r="V110" i="3"/>
  <c r="M110" i="3"/>
  <c r="U110" i="3"/>
  <c r="F110" i="3"/>
  <c r="G110" i="3"/>
  <c r="H110" i="3" s="1"/>
  <c r="BQ106" i="3"/>
  <c r="BF106" i="3"/>
  <c r="BJ105" i="3" s="1"/>
  <c r="BK105" i="3" s="1"/>
  <c r="BB106" i="3"/>
  <c r="AU108" i="3"/>
  <c r="AN109" i="3"/>
  <c r="AX108" i="3"/>
  <c r="X109" i="3"/>
  <c r="AG109" i="3"/>
  <c r="AV107" i="3"/>
  <c r="BA107" i="3"/>
  <c r="BN110" i="3" l="1"/>
  <c r="BM110" i="3"/>
  <c r="BD106" i="3"/>
  <c r="BA108" i="3"/>
  <c r="BQ108" i="3" s="1"/>
  <c r="AV108" i="3"/>
  <c r="BC107" i="3"/>
  <c r="BD107" i="3" s="1"/>
  <c r="AX109" i="3"/>
  <c r="AN110" i="3"/>
  <c r="AU109" i="3"/>
  <c r="AW109" i="3"/>
  <c r="BB107" i="3"/>
  <c r="BQ107" i="3"/>
  <c r="BF107" i="3"/>
  <c r="BJ106" i="3" s="1"/>
  <c r="BK106" i="3" s="1"/>
  <c r="Y110" i="3"/>
  <c r="Z110" i="3" s="1"/>
  <c r="A112" i="3"/>
  <c r="B111" i="3"/>
  <c r="AQ111" i="3"/>
  <c r="AR111" i="3"/>
  <c r="AK111" i="3"/>
  <c r="R111" i="3"/>
  <c r="AM111" i="3"/>
  <c r="C111" i="3"/>
  <c r="AD111" i="3"/>
  <c r="T111" i="3"/>
  <c r="Q111" i="3"/>
  <c r="O111" i="3"/>
  <c r="P111" i="3"/>
  <c r="AE111" i="3"/>
  <c r="AF111" i="3"/>
  <c r="M111" i="3"/>
  <c r="V111" i="3"/>
  <c r="U111" i="3"/>
  <c r="D111" i="3"/>
  <c r="G111" i="3"/>
  <c r="H111" i="3" s="1"/>
  <c r="F111" i="3"/>
  <c r="S111" i="3"/>
  <c r="AH110" i="3"/>
  <c r="AT109" i="3"/>
  <c r="AY108" i="3"/>
  <c r="AG110" i="3"/>
  <c r="AO110" i="3"/>
  <c r="X110" i="3"/>
  <c r="AN111" i="3" l="1"/>
  <c r="BB108" i="3"/>
  <c r="BC108" i="3"/>
  <c r="BD108" i="3" s="1"/>
  <c r="BF108" i="3"/>
  <c r="BJ107" i="3" s="1"/>
  <c r="BG107" i="3"/>
  <c r="BH107" i="3" s="1"/>
  <c r="BI107" i="3" s="1"/>
  <c r="AY109" i="3"/>
  <c r="AT110" i="3"/>
  <c r="BM111" i="3"/>
  <c r="AH111" i="3"/>
  <c r="A113" i="3"/>
  <c r="AR112" i="3"/>
  <c r="B112" i="3"/>
  <c r="AQ112" i="3"/>
  <c r="D112" i="3"/>
  <c r="C112" i="3"/>
  <c r="S112" i="3"/>
  <c r="Q112" i="3"/>
  <c r="AM112" i="3"/>
  <c r="AK112" i="3"/>
  <c r="AD112" i="3"/>
  <c r="P112" i="3"/>
  <c r="T112" i="3"/>
  <c r="R112" i="3"/>
  <c r="O112" i="3"/>
  <c r="AE112" i="3"/>
  <c r="M112" i="3"/>
  <c r="AF112" i="3"/>
  <c r="U112" i="3"/>
  <c r="V112" i="3"/>
  <c r="G112" i="3"/>
  <c r="H112" i="3" s="1"/>
  <c r="F112" i="3"/>
  <c r="AV109" i="3"/>
  <c r="BA109" i="3"/>
  <c r="Y111" i="3"/>
  <c r="Z111" i="3" s="1"/>
  <c r="BN111" i="3"/>
  <c r="AX110" i="3"/>
  <c r="AU110" i="3"/>
  <c r="AW110" i="3"/>
  <c r="X111" i="3"/>
  <c r="AG111" i="3"/>
  <c r="AO111" i="3"/>
  <c r="BN112" i="3" l="1"/>
  <c r="BM112" i="3"/>
  <c r="BK107" i="3"/>
  <c r="AV110" i="3"/>
  <c r="BG108" i="3"/>
  <c r="BH108" i="3" s="1"/>
  <c r="BI108" i="3" s="1"/>
  <c r="BC109" i="3"/>
  <c r="BG109" i="3" s="1"/>
  <c r="BH109" i="3" s="1"/>
  <c r="BI109" i="3" s="1"/>
  <c r="AT111" i="3"/>
  <c r="AO112" i="3"/>
  <c r="AY110" i="3"/>
  <c r="AG112" i="3"/>
  <c r="AX111" i="3"/>
  <c r="BA110" i="3"/>
  <c r="BQ110" i="3" s="1"/>
  <c r="Y112" i="3"/>
  <c r="Z112" i="3" s="1"/>
  <c r="AQ113" i="3"/>
  <c r="AR113" i="3"/>
  <c r="B113" i="3"/>
  <c r="A114" i="3"/>
  <c r="D113" i="3"/>
  <c r="AM113" i="3"/>
  <c r="R113" i="3"/>
  <c r="AK113" i="3"/>
  <c r="Q113" i="3"/>
  <c r="S113" i="3"/>
  <c r="AD113" i="3"/>
  <c r="O113" i="3"/>
  <c r="M113" i="3"/>
  <c r="AF113" i="3"/>
  <c r="P113" i="3"/>
  <c r="AE113" i="3"/>
  <c r="V113" i="3"/>
  <c r="U113" i="3"/>
  <c r="F113" i="3"/>
  <c r="G113" i="3"/>
  <c r="H113" i="3" s="1"/>
  <c r="C113" i="3"/>
  <c r="T113" i="3"/>
  <c r="AW111" i="3"/>
  <c r="AU111" i="3"/>
  <c r="AH112" i="3"/>
  <c r="AN112" i="3"/>
  <c r="BF109" i="3"/>
  <c r="BJ108" i="3" s="1"/>
  <c r="BQ109" i="3"/>
  <c r="BB109" i="3"/>
  <c r="X112" i="3"/>
  <c r="BK108" i="3" l="1"/>
  <c r="AO113" i="3"/>
  <c r="AT112" i="3"/>
  <c r="BD109" i="3"/>
  <c r="BC110" i="3"/>
  <c r="BD110" i="3" s="1"/>
  <c r="AU112" i="3"/>
  <c r="AV111" i="3"/>
  <c r="BB110" i="3"/>
  <c r="BN113" i="3"/>
  <c r="AW112" i="3"/>
  <c r="AY111" i="3"/>
  <c r="BA111" i="3"/>
  <c r="BQ111" i="3" s="1"/>
  <c r="AG113" i="3"/>
  <c r="X113" i="3"/>
  <c r="BF110" i="3"/>
  <c r="BJ109" i="3" s="1"/>
  <c r="BK109" i="3" s="1"/>
  <c r="Y113" i="3"/>
  <c r="Z113" i="3" s="1"/>
  <c r="B114" i="3"/>
  <c r="AQ114" i="3"/>
  <c r="AR114" i="3"/>
  <c r="A115" i="3"/>
  <c r="T114" i="3"/>
  <c r="C114" i="3"/>
  <c r="AM114" i="3"/>
  <c r="AK114" i="3"/>
  <c r="P114" i="3"/>
  <c r="Q114" i="3"/>
  <c r="AD114" i="3"/>
  <c r="O114" i="3"/>
  <c r="AE114" i="3"/>
  <c r="AF114" i="3"/>
  <c r="M114" i="3"/>
  <c r="U114" i="3"/>
  <c r="V114" i="3"/>
  <c r="R114" i="3"/>
  <c r="D114" i="3"/>
  <c r="G114" i="3"/>
  <c r="H114" i="3" s="1"/>
  <c r="F114" i="3"/>
  <c r="S114" i="3"/>
  <c r="AN113" i="3"/>
  <c r="AX112" i="3"/>
  <c r="AY112" i="3" s="1"/>
  <c r="BM113" i="3"/>
  <c r="AH113" i="3"/>
  <c r="BC111" i="3" l="1"/>
  <c r="BD111" i="3" s="1"/>
  <c r="AV112" i="3"/>
  <c r="BC112" i="3" s="1"/>
  <c r="BG112" i="3" s="1"/>
  <c r="BH112" i="3" s="1"/>
  <c r="BI112" i="3" s="1"/>
  <c r="BG110" i="3"/>
  <c r="BH110" i="3" s="1"/>
  <c r="BI110" i="3" s="1"/>
  <c r="BM114" i="3"/>
  <c r="BN114" i="3"/>
  <c r="BB111" i="3"/>
  <c r="BF111" i="3"/>
  <c r="BJ110" i="3" s="1"/>
  <c r="BK110" i="3" s="1"/>
  <c r="AO114" i="3"/>
  <c r="AX113" i="3"/>
  <c r="AW113" i="3"/>
  <c r="AU113" i="3"/>
  <c r="AT113" i="3"/>
  <c r="X114" i="3"/>
  <c r="Y114" i="3"/>
  <c r="Z114" i="3" s="1"/>
  <c r="BA112" i="3"/>
  <c r="AG114" i="3"/>
  <c r="AH114" i="3"/>
  <c r="AN114" i="3"/>
  <c r="A116" i="3"/>
  <c r="B115" i="3"/>
  <c r="AQ115" i="3"/>
  <c r="AR115" i="3"/>
  <c r="C115" i="3"/>
  <c r="AK115" i="3"/>
  <c r="S115" i="3"/>
  <c r="AM115" i="3"/>
  <c r="Q115" i="3"/>
  <c r="AD115" i="3"/>
  <c r="R115" i="3"/>
  <c r="P115" i="3"/>
  <c r="M115" i="3"/>
  <c r="AE115" i="3"/>
  <c r="O115" i="3"/>
  <c r="AF115" i="3"/>
  <c r="V115" i="3"/>
  <c r="U115" i="3"/>
  <c r="D115" i="3"/>
  <c r="G115" i="3"/>
  <c r="H115" i="3" s="1"/>
  <c r="F115" i="3"/>
  <c r="BM115" i="3" s="1"/>
  <c r="T115" i="3"/>
  <c r="BD112" i="3" l="1"/>
  <c r="BG111" i="3"/>
  <c r="BH111" i="3" s="1"/>
  <c r="BI111" i="3" s="1"/>
  <c r="BN115" i="3"/>
  <c r="AV113" i="3"/>
  <c r="AY113" i="3"/>
  <c r="AN115" i="3"/>
  <c r="BA113" i="3"/>
  <c r="BF113" i="3" s="1"/>
  <c r="Y115" i="3"/>
  <c r="Z115" i="3" s="1"/>
  <c r="AT114" i="3"/>
  <c r="AU114" i="3"/>
  <c r="AX114" i="3"/>
  <c r="BB112" i="3"/>
  <c r="BF112" i="3"/>
  <c r="BQ112" i="3"/>
  <c r="AG115" i="3"/>
  <c r="AH115" i="3"/>
  <c r="AO115" i="3"/>
  <c r="A117" i="3"/>
  <c r="AR116" i="3"/>
  <c r="B116" i="3"/>
  <c r="AQ116" i="3"/>
  <c r="C116" i="3"/>
  <c r="AK116" i="3"/>
  <c r="S116" i="3"/>
  <c r="R116" i="3"/>
  <c r="AM116" i="3"/>
  <c r="Q116" i="3"/>
  <c r="AD116" i="3"/>
  <c r="P116" i="3"/>
  <c r="O116" i="3"/>
  <c r="M116" i="3"/>
  <c r="AE116" i="3"/>
  <c r="AF116" i="3"/>
  <c r="U116" i="3"/>
  <c r="V116" i="3"/>
  <c r="G116" i="3"/>
  <c r="H116" i="3" s="1"/>
  <c r="F116" i="3"/>
  <c r="D116" i="3"/>
  <c r="T116" i="3"/>
  <c r="X115" i="3"/>
  <c r="AW114" i="3"/>
  <c r="BB113" i="3" l="1"/>
  <c r="BM116" i="3"/>
  <c r="BC113" i="3"/>
  <c r="BD113" i="3" s="1"/>
  <c r="AT115" i="3"/>
  <c r="AY114" i="3"/>
  <c r="BQ113" i="3"/>
  <c r="AO116" i="3"/>
  <c r="AV114" i="3"/>
  <c r="AU115" i="3"/>
  <c r="AX115" i="3"/>
  <c r="Y116" i="3"/>
  <c r="Z116" i="3" s="1"/>
  <c r="BJ112" i="3"/>
  <c r="BK112" i="3" s="1"/>
  <c r="BJ111" i="3"/>
  <c r="BK111" i="3" s="1"/>
  <c r="BA114" i="3"/>
  <c r="AQ117" i="3"/>
  <c r="B117" i="3"/>
  <c r="AR117" i="3"/>
  <c r="A118" i="3"/>
  <c r="C117" i="3"/>
  <c r="AM117" i="3"/>
  <c r="AK117" i="3"/>
  <c r="T117" i="3"/>
  <c r="R117" i="3"/>
  <c r="Q117" i="3"/>
  <c r="P117" i="3"/>
  <c r="AD117" i="3"/>
  <c r="O117" i="3"/>
  <c r="AE117" i="3"/>
  <c r="AF117" i="3"/>
  <c r="M117" i="3"/>
  <c r="U117" i="3"/>
  <c r="V117" i="3"/>
  <c r="D117" i="3"/>
  <c r="G117" i="3"/>
  <c r="H117" i="3" s="1"/>
  <c r="F117" i="3"/>
  <c r="S117" i="3"/>
  <c r="BN116" i="3"/>
  <c r="AG116" i="3"/>
  <c r="AH116" i="3"/>
  <c r="AN116" i="3"/>
  <c r="X116" i="3"/>
  <c r="AW115" i="3"/>
  <c r="BM117" i="3" l="1"/>
  <c r="BG113" i="3"/>
  <c r="BH113" i="3" s="1"/>
  <c r="BI113" i="3" s="1"/>
  <c r="AV115" i="3"/>
  <c r="BC114" i="3"/>
  <c r="BD114" i="3" s="1"/>
  <c r="AO117" i="3"/>
  <c r="AY115" i="3"/>
  <c r="AX116" i="3"/>
  <c r="AH117" i="3"/>
  <c r="B118" i="3"/>
  <c r="AQ118" i="3"/>
  <c r="AR118" i="3"/>
  <c r="A119" i="3"/>
  <c r="D118" i="3"/>
  <c r="AM118" i="3"/>
  <c r="Q118" i="3"/>
  <c r="C118" i="3"/>
  <c r="AK118" i="3"/>
  <c r="S118" i="3"/>
  <c r="R118" i="3"/>
  <c r="AD118" i="3"/>
  <c r="O118" i="3"/>
  <c r="M118" i="3"/>
  <c r="U118" i="3"/>
  <c r="P118" i="3"/>
  <c r="AE118" i="3"/>
  <c r="AF118" i="3"/>
  <c r="V118" i="3"/>
  <c r="F118" i="3"/>
  <c r="G118" i="3"/>
  <c r="H118" i="3" s="1"/>
  <c r="T118" i="3"/>
  <c r="BB114" i="3"/>
  <c r="BF114" i="3"/>
  <c r="BJ113" i="3" s="1"/>
  <c r="BK113" i="3" s="1"/>
  <c r="BQ114" i="3"/>
  <c r="AW116" i="3"/>
  <c r="X117" i="3"/>
  <c r="BN117" i="3"/>
  <c r="AG117" i="3"/>
  <c r="AN117" i="3"/>
  <c r="AU116" i="3"/>
  <c r="Y117" i="3"/>
  <c r="Z117" i="3" s="1"/>
  <c r="AT116" i="3"/>
  <c r="BA115" i="3"/>
  <c r="BN118" i="3" l="1"/>
  <c r="BM118" i="3"/>
  <c r="BC115" i="3"/>
  <c r="BD115" i="3" s="1"/>
  <c r="BG114" i="3"/>
  <c r="BH114" i="3" s="1"/>
  <c r="BI114" i="3" s="1"/>
  <c r="AT117" i="3"/>
  <c r="AX117" i="3"/>
  <c r="AY116" i="3"/>
  <c r="Y118" i="3"/>
  <c r="Z118" i="3" s="1"/>
  <c r="AU117" i="3"/>
  <c r="AN118" i="3"/>
  <c r="BA116" i="3"/>
  <c r="BF116" i="3" s="1"/>
  <c r="BB115" i="3"/>
  <c r="BF115" i="3"/>
  <c r="BJ114" i="3" s="1"/>
  <c r="BQ115" i="3"/>
  <c r="AH118" i="3"/>
  <c r="AV116" i="3"/>
  <c r="AW117" i="3"/>
  <c r="AG118" i="3"/>
  <c r="AO118" i="3"/>
  <c r="A120" i="3"/>
  <c r="B119" i="3"/>
  <c r="AQ119" i="3"/>
  <c r="AR119" i="3"/>
  <c r="D119" i="3"/>
  <c r="C119" i="3"/>
  <c r="T119" i="3"/>
  <c r="S119" i="3"/>
  <c r="AM119" i="3"/>
  <c r="AK119" i="3"/>
  <c r="Q119" i="3"/>
  <c r="R119" i="3"/>
  <c r="AD119" i="3"/>
  <c r="P119" i="3"/>
  <c r="AE119" i="3"/>
  <c r="V119" i="3"/>
  <c r="O119" i="3"/>
  <c r="M119" i="3"/>
  <c r="AF119" i="3"/>
  <c r="U119" i="3"/>
  <c r="F119" i="3"/>
  <c r="G119" i="3"/>
  <c r="H119" i="3" s="1"/>
  <c r="X118" i="3"/>
  <c r="BK114" i="3" l="1"/>
  <c r="AO119" i="3"/>
  <c r="BN119" i="3"/>
  <c r="BM119" i="3"/>
  <c r="BG115" i="3"/>
  <c r="BH115" i="3" s="1"/>
  <c r="BI115" i="3" s="1"/>
  <c r="AY117" i="3"/>
  <c r="AV117" i="3"/>
  <c r="BC116" i="3"/>
  <c r="BD116" i="3" s="1"/>
  <c r="BQ116" i="3"/>
  <c r="BA117" i="3"/>
  <c r="BF117" i="3" s="1"/>
  <c r="BJ116" i="3" s="1"/>
  <c r="BB116" i="3"/>
  <c r="AN119" i="3"/>
  <c r="AU118" i="3"/>
  <c r="Y119" i="3"/>
  <c r="Z119" i="3" s="1"/>
  <c r="A121" i="3"/>
  <c r="AR120" i="3"/>
  <c r="B120" i="3"/>
  <c r="AQ120" i="3"/>
  <c r="AM120" i="3"/>
  <c r="T120" i="3"/>
  <c r="AK120" i="3"/>
  <c r="R120" i="3"/>
  <c r="Q120" i="3"/>
  <c r="AD120" i="3"/>
  <c r="P120" i="3"/>
  <c r="O120" i="3"/>
  <c r="M120" i="3"/>
  <c r="AF120" i="3"/>
  <c r="V120" i="3"/>
  <c r="U120" i="3"/>
  <c r="AE120" i="3"/>
  <c r="C120" i="3"/>
  <c r="G120" i="3"/>
  <c r="H120" i="3" s="1"/>
  <c r="F120" i="3"/>
  <c r="D120" i="3"/>
  <c r="S120" i="3"/>
  <c r="AT118" i="3"/>
  <c r="AX118" i="3"/>
  <c r="BJ115" i="3"/>
  <c r="BK115" i="3" s="1"/>
  <c r="AG119" i="3"/>
  <c r="AH119" i="3"/>
  <c r="X119" i="3"/>
  <c r="AW118" i="3"/>
  <c r="BB117" i="3" l="1"/>
  <c r="BM120" i="3"/>
  <c r="AO120" i="3"/>
  <c r="BC117" i="3"/>
  <c r="BG117" i="3" s="1"/>
  <c r="BH117" i="3" s="1"/>
  <c r="BI117" i="3" s="1"/>
  <c r="BG116" i="3"/>
  <c r="BH116" i="3" s="1"/>
  <c r="BI116" i="3" s="1"/>
  <c r="BK116" i="3" s="1"/>
  <c r="BQ117" i="3"/>
  <c r="AT119" i="3"/>
  <c r="X120" i="3"/>
  <c r="AX119" i="3"/>
  <c r="AG120" i="3"/>
  <c r="AY118" i="3"/>
  <c r="AV118" i="3"/>
  <c r="BA118" i="3"/>
  <c r="Y120" i="3"/>
  <c r="Z120" i="3" s="1"/>
  <c r="AQ121" i="3"/>
  <c r="AR121" i="3"/>
  <c r="B121" i="3"/>
  <c r="A122" i="3"/>
  <c r="C121" i="3"/>
  <c r="AK121" i="3"/>
  <c r="Q121" i="3"/>
  <c r="AM121" i="3"/>
  <c r="T121" i="3"/>
  <c r="P121" i="3"/>
  <c r="S121" i="3"/>
  <c r="AD121" i="3"/>
  <c r="O121" i="3"/>
  <c r="AE121" i="3"/>
  <c r="M121" i="3"/>
  <c r="AF121" i="3"/>
  <c r="V121" i="3"/>
  <c r="U121" i="3"/>
  <c r="F121" i="3"/>
  <c r="R121" i="3"/>
  <c r="D121" i="3"/>
  <c r="G121" i="3"/>
  <c r="H121" i="3" s="1"/>
  <c r="AU119" i="3"/>
  <c r="AW119" i="3"/>
  <c r="BN120" i="3"/>
  <c r="AN120" i="3"/>
  <c r="AH120" i="3"/>
  <c r="AV119" i="3" l="1"/>
  <c r="AN121" i="3"/>
  <c r="BM121" i="3"/>
  <c r="BN121" i="3"/>
  <c r="BD117" i="3"/>
  <c r="AT120" i="3"/>
  <c r="AG121" i="3"/>
  <c r="BA119" i="3"/>
  <c r="BF119" i="3" s="1"/>
  <c r="AW120" i="3"/>
  <c r="AY119" i="3"/>
  <c r="BC118" i="3"/>
  <c r="BG118" i="3" s="1"/>
  <c r="BH118" i="3" s="1"/>
  <c r="BI118" i="3" s="1"/>
  <c r="Y121" i="3"/>
  <c r="Z121" i="3" s="1"/>
  <c r="AX120" i="3"/>
  <c r="X121" i="3"/>
  <c r="AU120" i="3"/>
  <c r="B122" i="3"/>
  <c r="AQ122" i="3"/>
  <c r="AR122" i="3"/>
  <c r="A123" i="3"/>
  <c r="C122" i="3"/>
  <c r="S122" i="3"/>
  <c r="AM122" i="3"/>
  <c r="AK122" i="3"/>
  <c r="T122" i="3"/>
  <c r="O122" i="3"/>
  <c r="P122" i="3"/>
  <c r="R122" i="3"/>
  <c r="AD122" i="3"/>
  <c r="AE122" i="3"/>
  <c r="U122" i="3"/>
  <c r="M122" i="3"/>
  <c r="AF122" i="3"/>
  <c r="V122" i="3"/>
  <c r="F122" i="3"/>
  <c r="G122" i="3"/>
  <c r="H122" i="3" s="1"/>
  <c r="Q122" i="3"/>
  <c r="D122" i="3"/>
  <c r="BB118" i="3"/>
  <c r="BQ118" i="3"/>
  <c r="BF118" i="3"/>
  <c r="BJ117" i="3" s="1"/>
  <c r="BK117" i="3" s="1"/>
  <c r="AH121" i="3"/>
  <c r="AO121" i="3"/>
  <c r="BC119" i="3" l="1"/>
  <c r="BG119" i="3" s="1"/>
  <c r="BH119" i="3" s="1"/>
  <c r="BI119" i="3" s="1"/>
  <c r="BM122" i="3"/>
  <c r="BN122" i="3"/>
  <c r="BB119" i="3"/>
  <c r="BD118" i="3"/>
  <c r="BQ119" i="3"/>
  <c r="BA120" i="3"/>
  <c r="BQ120" i="3" s="1"/>
  <c r="AY120" i="3"/>
  <c r="AX121" i="3"/>
  <c r="AO122" i="3"/>
  <c r="AV120" i="3"/>
  <c r="AG122" i="3"/>
  <c r="AH122" i="3"/>
  <c r="AN122" i="3"/>
  <c r="X122" i="3"/>
  <c r="AT121" i="3"/>
  <c r="Y122" i="3"/>
  <c r="Z122" i="3" s="1"/>
  <c r="A124" i="3"/>
  <c r="B123" i="3"/>
  <c r="AQ123" i="3"/>
  <c r="AR123" i="3"/>
  <c r="C123" i="3"/>
  <c r="AM123" i="3"/>
  <c r="AK123" i="3"/>
  <c r="R123" i="3"/>
  <c r="AD123" i="3"/>
  <c r="S123" i="3"/>
  <c r="Q123" i="3"/>
  <c r="P123" i="3"/>
  <c r="AE123" i="3"/>
  <c r="O123" i="3"/>
  <c r="V123" i="3"/>
  <c r="AF123" i="3"/>
  <c r="M123" i="3"/>
  <c r="U123" i="3"/>
  <c r="D123" i="3"/>
  <c r="F123" i="3"/>
  <c r="G123" i="3"/>
  <c r="H123" i="3" s="1"/>
  <c r="BN123" i="3" s="1"/>
  <c r="T123" i="3"/>
  <c r="BJ118" i="3"/>
  <c r="BK118" i="3" s="1"/>
  <c r="AU121" i="3"/>
  <c r="AW121" i="3"/>
  <c r="BD119" i="3" l="1"/>
  <c r="AU122" i="3"/>
  <c r="BB120" i="3"/>
  <c r="BM123" i="3"/>
  <c r="BF120" i="3"/>
  <c r="BJ119" i="3" s="1"/>
  <c r="BK119" i="3" s="1"/>
  <c r="BC120" i="3"/>
  <c r="BD120" i="3" s="1"/>
  <c r="AY121" i="3"/>
  <c r="AN123" i="3"/>
  <c r="AX122" i="3"/>
  <c r="AW122" i="3"/>
  <c r="Y123" i="3"/>
  <c r="Z123" i="3" s="1"/>
  <c r="A125" i="3"/>
  <c r="AR124" i="3"/>
  <c r="B124" i="3"/>
  <c r="AQ124" i="3"/>
  <c r="D124" i="3"/>
  <c r="AM124" i="3"/>
  <c r="T124" i="3"/>
  <c r="AK124" i="3"/>
  <c r="AD124" i="3"/>
  <c r="P124" i="3"/>
  <c r="AE124" i="3"/>
  <c r="M124" i="3"/>
  <c r="AF124" i="3"/>
  <c r="V124" i="3"/>
  <c r="U124" i="3"/>
  <c r="O124" i="3"/>
  <c r="C124" i="3"/>
  <c r="G124" i="3"/>
  <c r="H124" i="3" s="1"/>
  <c r="R124" i="3"/>
  <c r="Q124" i="3"/>
  <c r="F124" i="3"/>
  <c r="BM124" i="3" s="1"/>
  <c r="S124" i="3"/>
  <c r="AG123" i="3"/>
  <c r="AH123" i="3"/>
  <c r="AO123" i="3"/>
  <c r="X123" i="3"/>
  <c r="AT122" i="3"/>
  <c r="BA121" i="3"/>
  <c r="AV121" i="3"/>
  <c r="AO124" i="3" l="1"/>
  <c r="BN124" i="3"/>
  <c r="AY122" i="3"/>
  <c r="BG120" i="3"/>
  <c r="BH120" i="3" s="1"/>
  <c r="BI120" i="3" s="1"/>
  <c r="AU123" i="3"/>
  <c r="BC121" i="3"/>
  <c r="BD121" i="3" s="1"/>
  <c r="AT123" i="3"/>
  <c r="X124" i="3"/>
  <c r="BA122" i="3"/>
  <c r="AV122" i="3"/>
  <c r="Y124" i="3"/>
  <c r="Z124" i="3" s="1"/>
  <c r="AQ125" i="3"/>
  <c r="B125" i="3"/>
  <c r="AR125" i="3"/>
  <c r="A126" i="3"/>
  <c r="AM125" i="3"/>
  <c r="S125" i="3"/>
  <c r="AK125" i="3"/>
  <c r="R125" i="3"/>
  <c r="Q125" i="3"/>
  <c r="AD125" i="3"/>
  <c r="P125" i="3"/>
  <c r="O125" i="3"/>
  <c r="V125" i="3"/>
  <c r="U125" i="3"/>
  <c r="AE125" i="3"/>
  <c r="AF125" i="3"/>
  <c r="M125" i="3"/>
  <c r="C125" i="3"/>
  <c r="D125" i="3"/>
  <c r="G125" i="3"/>
  <c r="H125" i="3" s="1"/>
  <c r="F125" i="3"/>
  <c r="T125" i="3"/>
  <c r="AW123" i="3"/>
  <c r="AN124" i="3"/>
  <c r="AX123" i="3"/>
  <c r="AG124" i="3"/>
  <c r="AH124" i="3"/>
  <c r="BB121" i="3"/>
  <c r="BF121" i="3"/>
  <c r="BQ121" i="3"/>
  <c r="AV123" i="3" l="1"/>
  <c r="AO125" i="3"/>
  <c r="BC122" i="3"/>
  <c r="BD122" i="3" s="1"/>
  <c r="BN125" i="3"/>
  <c r="BG121" i="3"/>
  <c r="BH121" i="3" s="1"/>
  <c r="BI121" i="3" s="1"/>
  <c r="AW124" i="3"/>
  <c r="AH125" i="3"/>
  <c r="AT124" i="3"/>
  <c r="X125" i="3"/>
  <c r="BJ120" i="3"/>
  <c r="BK120" i="3" s="1"/>
  <c r="BF122" i="3"/>
  <c r="BJ121" i="3" s="1"/>
  <c r="BB122" i="3"/>
  <c r="BQ122" i="3"/>
  <c r="Y125" i="3"/>
  <c r="Z125" i="3" s="1"/>
  <c r="AU124" i="3"/>
  <c r="AX124" i="3"/>
  <c r="AY123" i="3"/>
  <c r="BC123" i="3" s="1"/>
  <c r="BM125" i="3"/>
  <c r="AG125" i="3"/>
  <c r="AN125" i="3"/>
  <c r="BA123" i="3"/>
  <c r="B126" i="3"/>
  <c r="AQ126" i="3"/>
  <c r="AR126" i="3"/>
  <c r="A127" i="3"/>
  <c r="C126" i="3"/>
  <c r="AM126" i="3"/>
  <c r="R126" i="3"/>
  <c r="D126" i="3"/>
  <c r="AK126" i="3"/>
  <c r="Q126" i="3"/>
  <c r="P126" i="3"/>
  <c r="S126" i="3"/>
  <c r="AD126" i="3"/>
  <c r="O126" i="3"/>
  <c r="AE126" i="3"/>
  <c r="M126" i="3"/>
  <c r="AF126" i="3"/>
  <c r="U126" i="3"/>
  <c r="V126" i="3"/>
  <c r="G126" i="3"/>
  <c r="H126" i="3" s="1"/>
  <c r="F126" i="3"/>
  <c r="BM126" i="3" s="1"/>
  <c r="T126" i="3"/>
  <c r="AT125" i="3" l="1"/>
  <c r="BK121" i="3"/>
  <c r="BN126" i="3"/>
  <c r="BG122" i="3"/>
  <c r="BH122" i="3" s="1"/>
  <c r="BI122" i="3" s="1"/>
  <c r="AX125" i="3"/>
  <c r="AH126" i="3"/>
  <c r="BA124" i="3"/>
  <c r="BB124" i="3" s="1"/>
  <c r="AV124" i="3"/>
  <c r="AW125" i="3"/>
  <c r="AN126" i="3"/>
  <c r="AY124" i="3"/>
  <c r="A128" i="3"/>
  <c r="B127" i="3"/>
  <c r="AQ127" i="3"/>
  <c r="AR127" i="3"/>
  <c r="AM127" i="3"/>
  <c r="AK127" i="3"/>
  <c r="S127" i="3"/>
  <c r="Q127" i="3"/>
  <c r="AD127" i="3"/>
  <c r="O127" i="3"/>
  <c r="P127" i="3"/>
  <c r="AF127" i="3"/>
  <c r="M127" i="3"/>
  <c r="U127" i="3"/>
  <c r="V127" i="3"/>
  <c r="AE127" i="3"/>
  <c r="G127" i="3"/>
  <c r="H127" i="3" s="1"/>
  <c r="F127" i="3"/>
  <c r="R127" i="3"/>
  <c r="C127" i="3"/>
  <c r="D127" i="3"/>
  <c r="T127" i="3"/>
  <c r="BB123" i="3"/>
  <c r="BF123" i="3"/>
  <c r="BJ122" i="3" s="1"/>
  <c r="BQ123" i="3"/>
  <c r="BD123" i="3"/>
  <c r="BG123" i="3"/>
  <c r="BH123" i="3" s="1"/>
  <c r="BI123" i="3" s="1"/>
  <c r="Y126" i="3"/>
  <c r="Z126" i="3" s="1"/>
  <c r="AG126" i="3"/>
  <c r="AO126" i="3"/>
  <c r="X126" i="3"/>
  <c r="AU125" i="3"/>
  <c r="BK122" i="3" l="1"/>
  <c r="AY125" i="3"/>
  <c r="BN127" i="3"/>
  <c r="AN127" i="3"/>
  <c r="BF124" i="3"/>
  <c r="BJ123" i="3" s="1"/>
  <c r="BK123" i="3" s="1"/>
  <c r="BA125" i="3"/>
  <c r="BF125" i="3" s="1"/>
  <c r="BQ124" i="3"/>
  <c r="BC124" i="3"/>
  <c r="BD124" i="3" s="1"/>
  <c r="AU126" i="3"/>
  <c r="AW126" i="3"/>
  <c r="AT126" i="3"/>
  <c r="AX126" i="3"/>
  <c r="AV125" i="3"/>
  <c r="Y127" i="3"/>
  <c r="Z127" i="3" s="1"/>
  <c r="X127" i="3"/>
  <c r="BM127" i="3"/>
  <c r="AG127" i="3"/>
  <c r="AH127" i="3"/>
  <c r="AO127" i="3"/>
  <c r="A129" i="3"/>
  <c r="AR128" i="3"/>
  <c r="B128" i="3"/>
  <c r="AQ128" i="3"/>
  <c r="AK128" i="3"/>
  <c r="AM128" i="3"/>
  <c r="D128" i="3"/>
  <c r="R128" i="3"/>
  <c r="Q128" i="3"/>
  <c r="AD128" i="3"/>
  <c r="P128" i="3"/>
  <c r="O128" i="3"/>
  <c r="AE128" i="3"/>
  <c r="AF128" i="3"/>
  <c r="U128" i="3"/>
  <c r="V128" i="3"/>
  <c r="M128" i="3"/>
  <c r="G128" i="3"/>
  <c r="H128" i="3" s="1"/>
  <c r="C128" i="3"/>
  <c r="F128" i="3"/>
  <c r="S128" i="3"/>
  <c r="T128" i="3"/>
  <c r="BC125" i="3" l="1"/>
  <c r="BG125" i="3" s="1"/>
  <c r="BH125" i="3" s="1"/>
  <c r="BI125" i="3" s="1"/>
  <c r="AO128" i="3"/>
  <c r="BJ124" i="3"/>
  <c r="BK124" i="3" s="1"/>
  <c r="AY126" i="3"/>
  <c r="BG124" i="3"/>
  <c r="BH124" i="3" s="1"/>
  <c r="BI124" i="3" s="1"/>
  <c r="BQ125" i="3"/>
  <c r="AU127" i="3"/>
  <c r="BB125" i="3"/>
  <c r="AG128" i="3"/>
  <c r="AT127" i="3"/>
  <c r="X128" i="3"/>
  <c r="Y128" i="3"/>
  <c r="Z128" i="3" s="1"/>
  <c r="BM128" i="3"/>
  <c r="BN128" i="3"/>
  <c r="AH128" i="3"/>
  <c r="AN128" i="3"/>
  <c r="AX127" i="3"/>
  <c r="AQ129" i="3"/>
  <c r="AR129" i="3"/>
  <c r="B129" i="3"/>
  <c r="A130" i="3"/>
  <c r="C129" i="3"/>
  <c r="D129" i="3"/>
  <c r="AK129" i="3"/>
  <c r="T129" i="3"/>
  <c r="AM129" i="3"/>
  <c r="Q129" i="3"/>
  <c r="AD129" i="3"/>
  <c r="R129" i="3"/>
  <c r="P129" i="3"/>
  <c r="O129" i="3"/>
  <c r="AE129" i="3"/>
  <c r="M129" i="3"/>
  <c r="V129" i="3"/>
  <c r="AF129" i="3"/>
  <c r="U129" i="3"/>
  <c r="F129" i="3"/>
  <c r="G129" i="3"/>
  <c r="H129" i="3" s="1"/>
  <c r="S129" i="3"/>
  <c r="AV126" i="3"/>
  <c r="BA126" i="3"/>
  <c r="AW127" i="3"/>
  <c r="BD125" i="3" l="1"/>
  <c r="BN129" i="3"/>
  <c r="AN129" i="3"/>
  <c r="BM129" i="3"/>
  <c r="AY127" i="3"/>
  <c r="BC126" i="3"/>
  <c r="BG126" i="3" s="1"/>
  <c r="BH126" i="3" s="1"/>
  <c r="BI126" i="3" s="1"/>
  <c r="AT128" i="3"/>
  <c r="AW128" i="3"/>
  <c r="AV127" i="3"/>
  <c r="AG129" i="3"/>
  <c r="BB126" i="3"/>
  <c r="BQ126" i="3"/>
  <c r="BF126" i="3"/>
  <c r="BJ125" i="3" s="1"/>
  <c r="BK125" i="3" s="1"/>
  <c r="Y129" i="3"/>
  <c r="Z129" i="3" s="1"/>
  <c r="B130" i="3"/>
  <c r="AQ130" i="3"/>
  <c r="AR130" i="3"/>
  <c r="A131" i="3"/>
  <c r="D130" i="3"/>
  <c r="AK130" i="3"/>
  <c r="AM130" i="3"/>
  <c r="R130" i="3"/>
  <c r="Q130" i="3"/>
  <c r="O130" i="3"/>
  <c r="AD130" i="3"/>
  <c r="AE130" i="3"/>
  <c r="V130" i="3"/>
  <c r="U130" i="3"/>
  <c r="M130" i="3"/>
  <c r="AF130" i="3"/>
  <c r="F130" i="3"/>
  <c r="C130" i="3"/>
  <c r="G130" i="3"/>
  <c r="H130" i="3" s="1"/>
  <c r="T130" i="3"/>
  <c r="S130" i="3"/>
  <c r="P130" i="3"/>
  <c r="X129" i="3"/>
  <c r="AH129" i="3"/>
  <c r="BA127" i="3"/>
  <c r="BD126" i="3"/>
  <c r="AU128" i="3"/>
  <c r="AX128" i="3"/>
  <c r="AO129" i="3"/>
  <c r="BN130" i="3" l="1"/>
  <c r="BC127" i="3"/>
  <c r="BD127" i="3" s="1"/>
  <c r="BM130" i="3"/>
  <c r="AY128" i="3"/>
  <c r="AV128" i="3"/>
  <c r="AN130" i="3"/>
  <c r="X130" i="3"/>
  <c r="AH130" i="3"/>
  <c r="AQ131" i="3"/>
  <c r="B131" i="3"/>
  <c r="A132" i="3"/>
  <c r="AR131" i="3"/>
  <c r="C131" i="3"/>
  <c r="AK131" i="3"/>
  <c r="AM131" i="3"/>
  <c r="S131" i="3"/>
  <c r="T131" i="3"/>
  <c r="Q131" i="3"/>
  <c r="R131" i="3"/>
  <c r="P131" i="3"/>
  <c r="AD131" i="3"/>
  <c r="AF131" i="3"/>
  <c r="AE131" i="3"/>
  <c r="V131" i="3"/>
  <c r="U131" i="3"/>
  <c r="O131" i="3"/>
  <c r="M131" i="3"/>
  <c r="D131" i="3"/>
  <c r="F131" i="3"/>
  <c r="G131" i="3"/>
  <c r="H131" i="3" s="1"/>
  <c r="BN131" i="3" s="1"/>
  <c r="BA128" i="3"/>
  <c r="AX129" i="3"/>
  <c r="AU129" i="3"/>
  <c r="AW129" i="3"/>
  <c r="AT129" i="3"/>
  <c r="Y130" i="3"/>
  <c r="Z130" i="3" s="1"/>
  <c r="AG130" i="3"/>
  <c r="AO130" i="3"/>
  <c r="BQ127" i="3"/>
  <c r="BB127" i="3"/>
  <c r="BF127" i="3"/>
  <c r="BJ126" i="3" s="1"/>
  <c r="BK126" i="3" s="1"/>
  <c r="BM131" i="3" l="1"/>
  <c r="BG127" i="3"/>
  <c r="BH127" i="3" s="1"/>
  <c r="BI127" i="3" s="1"/>
  <c r="AU130" i="3"/>
  <c r="AG131" i="3"/>
  <c r="BC128" i="3"/>
  <c r="BD128" i="3" s="1"/>
  <c r="AO131" i="3"/>
  <c r="AY129" i="3"/>
  <c r="AT130" i="3"/>
  <c r="AX130" i="3"/>
  <c r="AW130" i="3"/>
  <c r="AN131" i="3"/>
  <c r="Y131" i="3"/>
  <c r="Z131" i="3" s="1"/>
  <c r="BA129" i="3"/>
  <c r="AV129" i="3"/>
  <c r="BQ128" i="3"/>
  <c r="BF128" i="3"/>
  <c r="BJ127" i="3" s="1"/>
  <c r="BK127" i="3" s="1"/>
  <c r="BB128" i="3"/>
  <c r="A133" i="3"/>
  <c r="B132" i="3"/>
  <c r="AR132" i="3"/>
  <c r="AQ132" i="3"/>
  <c r="C132" i="3"/>
  <c r="D132" i="3"/>
  <c r="AM132" i="3"/>
  <c r="AK132" i="3"/>
  <c r="T132" i="3"/>
  <c r="AD132" i="3"/>
  <c r="R132" i="3"/>
  <c r="Q132" i="3"/>
  <c r="O132" i="3"/>
  <c r="P132" i="3"/>
  <c r="M132" i="3"/>
  <c r="AE132" i="3"/>
  <c r="U132" i="3"/>
  <c r="V132" i="3"/>
  <c r="AF132" i="3"/>
  <c r="G132" i="3"/>
  <c r="H132" i="3" s="1"/>
  <c r="F132" i="3"/>
  <c r="S132" i="3"/>
  <c r="AH131" i="3"/>
  <c r="X131" i="3"/>
  <c r="BM132" i="3" l="1"/>
  <c r="BN132" i="3"/>
  <c r="AV130" i="3"/>
  <c r="BC129" i="3"/>
  <c r="BG129" i="3" s="1"/>
  <c r="BH129" i="3" s="1"/>
  <c r="BI129" i="3" s="1"/>
  <c r="BG128" i="3"/>
  <c r="BH128" i="3" s="1"/>
  <c r="BI128" i="3" s="1"/>
  <c r="AX131" i="3"/>
  <c r="AG132" i="3"/>
  <c r="BA130" i="3"/>
  <c r="BB130" i="3" s="1"/>
  <c r="AY130" i="3"/>
  <c r="AO132" i="3"/>
  <c r="AU131" i="3"/>
  <c r="AW131" i="3"/>
  <c r="X132" i="3"/>
  <c r="AR133" i="3"/>
  <c r="B133" i="3"/>
  <c r="AQ133" i="3"/>
  <c r="A134" i="3"/>
  <c r="C133" i="3"/>
  <c r="R133" i="3"/>
  <c r="Q133" i="3"/>
  <c r="AK133" i="3"/>
  <c r="AM133" i="3"/>
  <c r="AD133" i="3"/>
  <c r="P133" i="3"/>
  <c r="AE133" i="3"/>
  <c r="O133" i="3"/>
  <c r="V133" i="3"/>
  <c r="U133" i="3"/>
  <c r="M133" i="3"/>
  <c r="AF133" i="3"/>
  <c r="F133" i="3"/>
  <c r="D133" i="3"/>
  <c r="G133" i="3"/>
  <c r="H133" i="3" s="1"/>
  <c r="S133" i="3"/>
  <c r="T133" i="3"/>
  <c r="AN132" i="3"/>
  <c r="AT131" i="3"/>
  <c r="Y132" i="3"/>
  <c r="Z132" i="3" s="1"/>
  <c r="BQ129" i="3"/>
  <c r="BB129" i="3"/>
  <c r="BF129" i="3"/>
  <c r="BJ128" i="3" s="1"/>
  <c r="AH132" i="3"/>
  <c r="BD129" i="3" l="1"/>
  <c r="BK128" i="3"/>
  <c r="BC130" i="3"/>
  <c r="BD130" i="3" s="1"/>
  <c r="AY131" i="3"/>
  <c r="AN133" i="3"/>
  <c r="BM133" i="3"/>
  <c r="AX132" i="3"/>
  <c r="BN133" i="3"/>
  <c r="BQ130" i="3"/>
  <c r="BF130" i="3"/>
  <c r="BJ129" i="3" s="1"/>
  <c r="BK129" i="3" s="1"/>
  <c r="AU132" i="3"/>
  <c r="AW132" i="3"/>
  <c r="AT132" i="3"/>
  <c r="BA131" i="3"/>
  <c r="AV131" i="3"/>
  <c r="Y133" i="3"/>
  <c r="Z133" i="3" s="1"/>
  <c r="X133" i="3"/>
  <c r="AR134" i="3"/>
  <c r="B134" i="3"/>
  <c r="AQ134" i="3"/>
  <c r="A135" i="3"/>
  <c r="AM134" i="3"/>
  <c r="S134" i="3"/>
  <c r="T134" i="3"/>
  <c r="AK134" i="3"/>
  <c r="R134" i="3"/>
  <c r="AD134" i="3"/>
  <c r="P134" i="3"/>
  <c r="O134" i="3"/>
  <c r="AE134" i="3"/>
  <c r="AF134" i="3"/>
  <c r="V134" i="3"/>
  <c r="M134" i="3"/>
  <c r="U134" i="3"/>
  <c r="C134" i="3"/>
  <c r="D134" i="3"/>
  <c r="Q134" i="3"/>
  <c r="F134" i="3"/>
  <c r="G134" i="3"/>
  <c r="H134" i="3" s="1"/>
  <c r="AG133" i="3"/>
  <c r="AH133" i="3"/>
  <c r="AO133" i="3"/>
  <c r="BG130" i="3" l="1"/>
  <c r="BH130" i="3" s="1"/>
  <c r="BI130" i="3" s="1"/>
  <c r="AV132" i="3"/>
  <c r="BC131" i="3"/>
  <c r="BD131" i="3" s="1"/>
  <c r="BM134" i="3"/>
  <c r="AY132" i="3"/>
  <c r="AN134" i="3"/>
  <c r="BA132" i="3"/>
  <c r="BB132" i="3" s="1"/>
  <c r="AX133" i="3"/>
  <c r="AG134" i="3"/>
  <c r="Y134" i="3"/>
  <c r="Z134" i="3" s="1"/>
  <c r="BN134" i="3"/>
  <c r="AQ135" i="3"/>
  <c r="B135" i="3"/>
  <c r="A136" i="3"/>
  <c r="AR135" i="3"/>
  <c r="C135" i="3"/>
  <c r="AK135" i="3"/>
  <c r="AM135" i="3"/>
  <c r="S135" i="3"/>
  <c r="Q135" i="3"/>
  <c r="R135" i="3"/>
  <c r="AD135" i="3"/>
  <c r="P135" i="3"/>
  <c r="O135" i="3"/>
  <c r="M135" i="3"/>
  <c r="AF135" i="3"/>
  <c r="AE135" i="3"/>
  <c r="V135" i="3"/>
  <c r="U135" i="3"/>
  <c r="D135" i="3"/>
  <c r="G135" i="3"/>
  <c r="H135" i="3" s="1"/>
  <c r="F135" i="3"/>
  <c r="BM135" i="3" s="1"/>
  <c r="T135" i="3"/>
  <c r="BQ131" i="3"/>
  <c r="BB131" i="3"/>
  <c r="BF131" i="3"/>
  <c r="BJ130" i="3" s="1"/>
  <c r="BK130" i="3" s="1"/>
  <c r="AW133" i="3"/>
  <c r="X134" i="3"/>
  <c r="AH134" i="3"/>
  <c r="AO134" i="3"/>
  <c r="AT133" i="3"/>
  <c r="AU133" i="3"/>
  <c r="AU134" i="3" l="1"/>
  <c r="BC132" i="3"/>
  <c r="BD132" i="3" s="1"/>
  <c r="BG131" i="3"/>
  <c r="BH131" i="3" s="1"/>
  <c r="BI131" i="3" s="1"/>
  <c r="BG132" i="3"/>
  <c r="BH132" i="3" s="1"/>
  <c r="BI132" i="3" s="1"/>
  <c r="AX134" i="3"/>
  <c r="BN135" i="3"/>
  <c r="AO135" i="3"/>
  <c r="BQ132" i="3"/>
  <c r="BF132" i="3"/>
  <c r="BJ131" i="3" s="1"/>
  <c r="BK131" i="3" s="1"/>
  <c r="AY133" i="3"/>
  <c r="Y135" i="3"/>
  <c r="Z135" i="3" s="1"/>
  <c r="AG135" i="3"/>
  <c r="AN135" i="3"/>
  <c r="BA133" i="3"/>
  <c r="BF133" i="3" s="1"/>
  <c r="AV133" i="3"/>
  <c r="AT134" i="3"/>
  <c r="AV134" i="3" s="1"/>
  <c r="AW134" i="3"/>
  <c r="A137" i="3"/>
  <c r="B136" i="3"/>
  <c r="AR136" i="3"/>
  <c r="AQ136" i="3"/>
  <c r="D136" i="3"/>
  <c r="AK136" i="3"/>
  <c r="R136" i="3"/>
  <c r="AM136" i="3"/>
  <c r="S136" i="3"/>
  <c r="Q136" i="3"/>
  <c r="AD136" i="3"/>
  <c r="P136" i="3"/>
  <c r="AE136" i="3"/>
  <c r="AF136" i="3"/>
  <c r="M136" i="3"/>
  <c r="O136" i="3"/>
  <c r="U136" i="3"/>
  <c r="V136" i="3"/>
  <c r="C136" i="3"/>
  <c r="F136" i="3"/>
  <c r="G136" i="3"/>
  <c r="H136" i="3" s="1"/>
  <c r="T136" i="3"/>
  <c r="AH135" i="3"/>
  <c r="X135" i="3"/>
  <c r="BN136" i="3" l="1"/>
  <c r="AY134" i="3"/>
  <c r="BC134" i="3" s="1"/>
  <c r="AN136" i="3"/>
  <c r="BJ132" i="3"/>
  <c r="BK132" i="3" s="1"/>
  <c r="AX135" i="3"/>
  <c r="BC133" i="3"/>
  <c r="BD133" i="3" s="1"/>
  <c r="AT135" i="3"/>
  <c r="BA134" i="3"/>
  <c r="BQ134" i="3" s="1"/>
  <c r="AG136" i="3"/>
  <c r="BB133" i="3"/>
  <c r="BQ133" i="3"/>
  <c r="AU135" i="3"/>
  <c r="AW135" i="3"/>
  <c r="X136" i="3"/>
  <c r="AH136" i="3"/>
  <c r="Y136" i="3"/>
  <c r="Z136" i="3" s="1"/>
  <c r="BM136" i="3"/>
  <c r="AO136" i="3"/>
  <c r="AR137" i="3"/>
  <c r="B137" i="3"/>
  <c r="AQ137" i="3"/>
  <c r="A138" i="3"/>
  <c r="D137" i="3"/>
  <c r="AK137" i="3"/>
  <c r="S137" i="3"/>
  <c r="C137" i="3"/>
  <c r="AM137" i="3"/>
  <c r="R137" i="3"/>
  <c r="Q137" i="3"/>
  <c r="AD137" i="3"/>
  <c r="P137" i="3"/>
  <c r="O137" i="3"/>
  <c r="AF137" i="3"/>
  <c r="V137" i="3"/>
  <c r="AE137" i="3"/>
  <c r="M137" i="3"/>
  <c r="U137" i="3"/>
  <c r="F137" i="3"/>
  <c r="BM137" i="3" s="1"/>
  <c r="G137" i="3"/>
  <c r="H137" i="3" s="1"/>
  <c r="T137" i="3"/>
  <c r="BN137" i="3" l="1"/>
  <c r="AY135" i="3"/>
  <c r="BG133" i="3"/>
  <c r="BH133" i="3" s="1"/>
  <c r="BI133" i="3" s="1"/>
  <c r="AV135" i="3"/>
  <c r="AU136" i="3"/>
  <c r="AT136" i="3"/>
  <c r="BB134" i="3"/>
  <c r="BF134" i="3"/>
  <c r="BJ133" i="3" s="1"/>
  <c r="AW136" i="3"/>
  <c r="AO137" i="3"/>
  <c r="BA135" i="3"/>
  <c r="BB135" i="3" s="1"/>
  <c r="Y137" i="3"/>
  <c r="Z137" i="3" s="1"/>
  <c r="AG137" i="3"/>
  <c r="AH137" i="3"/>
  <c r="AN137" i="3"/>
  <c r="AX136" i="3"/>
  <c r="AR138" i="3"/>
  <c r="B138" i="3"/>
  <c r="AQ138" i="3"/>
  <c r="A139" i="3"/>
  <c r="AK138" i="3"/>
  <c r="R138" i="3"/>
  <c r="AM138" i="3"/>
  <c r="Q138" i="3"/>
  <c r="AD138" i="3"/>
  <c r="P138" i="3"/>
  <c r="AE138" i="3"/>
  <c r="U138" i="3"/>
  <c r="V138" i="3"/>
  <c r="O138" i="3"/>
  <c r="M138" i="3"/>
  <c r="AF138" i="3"/>
  <c r="F138" i="3"/>
  <c r="C138" i="3"/>
  <c r="D138" i="3"/>
  <c r="G138" i="3"/>
  <c r="H138" i="3" s="1"/>
  <c r="T138" i="3"/>
  <c r="S138" i="3"/>
  <c r="BD134" i="3"/>
  <c r="BG134" i="3"/>
  <c r="BH134" i="3" s="1"/>
  <c r="BI134" i="3" s="1"/>
  <c r="X137" i="3"/>
  <c r="BC135" i="3" l="1"/>
  <c r="BD135" i="3" s="1"/>
  <c r="BK133" i="3"/>
  <c r="AN138" i="3"/>
  <c r="AV136" i="3"/>
  <c r="BM138" i="3"/>
  <c r="BA136" i="3"/>
  <c r="BB136" i="3" s="1"/>
  <c r="BQ135" i="3"/>
  <c r="AG138" i="3"/>
  <c r="BG135" i="3"/>
  <c r="BH135" i="3" s="1"/>
  <c r="BI135" i="3" s="1"/>
  <c r="BF135" i="3"/>
  <c r="BJ134" i="3" s="1"/>
  <c r="BK134" i="3" s="1"/>
  <c r="AT137" i="3"/>
  <c r="AU137" i="3"/>
  <c r="Y138" i="3"/>
  <c r="Z138" i="3" s="1"/>
  <c r="AH138" i="3"/>
  <c r="AO138" i="3"/>
  <c r="AX137" i="3"/>
  <c r="AY136" i="3"/>
  <c r="AQ139" i="3"/>
  <c r="B139" i="3"/>
  <c r="A140" i="3"/>
  <c r="AR139" i="3"/>
  <c r="C139" i="3"/>
  <c r="R139" i="3"/>
  <c r="D139" i="3"/>
  <c r="AK139" i="3"/>
  <c r="AM139" i="3"/>
  <c r="S139" i="3"/>
  <c r="T139" i="3"/>
  <c r="AD139" i="3"/>
  <c r="O139" i="3"/>
  <c r="M139" i="3"/>
  <c r="AE139" i="3"/>
  <c r="AF139" i="3"/>
  <c r="V139" i="3"/>
  <c r="U139" i="3"/>
  <c r="Q139" i="3"/>
  <c r="F139" i="3"/>
  <c r="G139" i="3"/>
  <c r="H139" i="3" s="1"/>
  <c r="P139" i="3"/>
  <c r="X138" i="3"/>
  <c r="BN138" i="3"/>
  <c r="AW137" i="3"/>
  <c r="BN139" i="3" l="1"/>
  <c r="AY137" i="3"/>
  <c r="BC136" i="3"/>
  <c r="BG136" i="3" s="1"/>
  <c r="BH136" i="3" s="1"/>
  <c r="BI136" i="3" s="1"/>
  <c r="BF136" i="3"/>
  <c r="BJ135" i="3" s="1"/>
  <c r="BK135" i="3" s="1"/>
  <c r="BQ136" i="3"/>
  <c r="BM139" i="3"/>
  <c r="AV137" i="3"/>
  <c r="BC137" i="3" s="1"/>
  <c r="AU138" i="3"/>
  <c r="AT138" i="3"/>
  <c r="AO139" i="3"/>
  <c r="AW138" i="3"/>
  <c r="Y139" i="3"/>
  <c r="Z139" i="3" s="1"/>
  <c r="A141" i="3"/>
  <c r="B140" i="3"/>
  <c r="AR140" i="3"/>
  <c r="AQ140" i="3"/>
  <c r="AM140" i="3"/>
  <c r="AK140" i="3"/>
  <c r="C140" i="3"/>
  <c r="R140" i="3"/>
  <c r="Q140" i="3"/>
  <c r="AD140" i="3"/>
  <c r="O140" i="3"/>
  <c r="M140" i="3"/>
  <c r="P140" i="3"/>
  <c r="AE140" i="3"/>
  <c r="AF140" i="3"/>
  <c r="V140" i="3"/>
  <c r="U140" i="3"/>
  <c r="D140" i="3"/>
  <c r="F140" i="3"/>
  <c r="BM140" i="3" s="1"/>
  <c r="G140" i="3"/>
  <c r="H140" i="3" s="1"/>
  <c r="BN140" i="3" s="1"/>
  <c r="S140" i="3"/>
  <c r="T140" i="3"/>
  <c r="AH139" i="3"/>
  <c r="AG139" i="3"/>
  <c r="AN139" i="3"/>
  <c r="X139" i="3"/>
  <c r="AX138" i="3"/>
  <c r="BA137" i="3"/>
  <c r="BD136" i="3" l="1"/>
  <c r="AV138" i="3"/>
  <c r="AT139" i="3"/>
  <c r="AY138" i="3"/>
  <c r="AN140" i="3"/>
  <c r="BF137" i="3"/>
  <c r="BQ137" i="3"/>
  <c r="BB137" i="3"/>
  <c r="AU139" i="3"/>
  <c r="AW139" i="3"/>
  <c r="AX139" i="3"/>
  <c r="X140" i="3"/>
  <c r="BA138" i="3"/>
  <c r="Y140" i="3"/>
  <c r="Z140" i="3" s="1"/>
  <c r="AG140" i="3"/>
  <c r="AH140" i="3"/>
  <c r="AO140" i="3"/>
  <c r="BD137" i="3"/>
  <c r="BG137" i="3"/>
  <c r="BH137" i="3" s="1"/>
  <c r="BI137" i="3" s="1"/>
  <c r="AR141" i="3"/>
  <c r="B141" i="3"/>
  <c r="AQ141" i="3"/>
  <c r="A142" i="3"/>
  <c r="D141" i="3"/>
  <c r="AK141" i="3"/>
  <c r="C141" i="3"/>
  <c r="AM141" i="3"/>
  <c r="T141" i="3"/>
  <c r="R141" i="3"/>
  <c r="P141" i="3"/>
  <c r="Q141" i="3"/>
  <c r="AD141" i="3"/>
  <c r="O141" i="3"/>
  <c r="M141" i="3"/>
  <c r="AF141" i="3"/>
  <c r="AE141" i="3"/>
  <c r="V141" i="3"/>
  <c r="U141" i="3"/>
  <c r="F141" i="3"/>
  <c r="G141" i="3"/>
  <c r="H141" i="3" s="1"/>
  <c r="BN141" i="3" s="1"/>
  <c r="S141" i="3"/>
  <c r="BC138" i="3" l="1"/>
  <c r="BG138" i="3" s="1"/>
  <c r="BH138" i="3" s="1"/>
  <c r="BI138" i="3" s="1"/>
  <c r="AV139" i="3"/>
  <c r="BM141" i="3"/>
  <c r="AN141" i="3"/>
  <c r="AO141" i="3"/>
  <c r="AX140" i="3"/>
  <c r="AR142" i="3"/>
  <c r="B142" i="3"/>
  <c r="AQ142" i="3"/>
  <c r="A143" i="3"/>
  <c r="AM142" i="3"/>
  <c r="AK142" i="3"/>
  <c r="T142" i="3"/>
  <c r="R142" i="3"/>
  <c r="Q142" i="3"/>
  <c r="AD142" i="3"/>
  <c r="P142" i="3"/>
  <c r="O142" i="3"/>
  <c r="AE142" i="3"/>
  <c r="M142" i="3"/>
  <c r="V142" i="3"/>
  <c r="AF142" i="3"/>
  <c r="U142" i="3"/>
  <c r="C142" i="3"/>
  <c r="D142" i="3"/>
  <c r="G142" i="3"/>
  <c r="H142" i="3" s="1"/>
  <c r="F142" i="3"/>
  <c r="S142" i="3"/>
  <c r="Y141" i="3"/>
  <c r="Z141" i="3" s="1"/>
  <c r="BJ136" i="3"/>
  <c r="BK136" i="3" s="1"/>
  <c r="AU140" i="3"/>
  <c r="AT140" i="3"/>
  <c r="AG141" i="3"/>
  <c r="AH141" i="3"/>
  <c r="AW140" i="3"/>
  <c r="AY139" i="3"/>
  <c r="BA139" i="3"/>
  <c r="BF138" i="3"/>
  <c r="BJ137" i="3" s="1"/>
  <c r="BK137" i="3" s="1"/>
  <c r="BQ138" i="3"/>
  <c r="BB138" i="3"/>
  <c r="X141" i="3"/>
  <c r="BD138" i="3" l="1"/>
  <c r="BC139" i="3"/>
  <c r="BG139" i="3" s="1"/>
  <c r="BH139" i="3" s="1"/>
  <c r="BI139" i="3" s="1"/>
  <c r="BM142" i="3"/>
  <c r="AW141" i="3"/>
  <c r="AG142" i="3"/>
  <c r="AY140" i="3"/>
  <c r="AN142" i="3"/>
  <c r="BB139" i="3"/>
  <c r="BF139" i="3"/>
  <c r="BJ138" i="3" s="1"/>
  <c r="BK138" i="3" s="1"/>
  <c r="BQ139" i="3"/>
  <c r="AV140" i="3"/>
  <c r="BA140" i="3"/>
  <c r="AQ143" i="3"/>
  <c r="B143" i="3"/>
  <c r="A144" i="3"/>
  <c r="AR143" i="3"/>
  <c r="D143" i="3"/>
  <c r="AK143" i="3"/>
  <c r="AM143" i="3"/>
  <c r="T143" i="3"/>
  <c r="C143" i="3"/>
  <c r="R143" i="3"/>
  <c r="Q143" i="3"/>
  <c r="S143" i="3"/>
  <c r="AD143" i="3"/>
  <c r="P143" i="3"/>
  <c r="O143" i="3"/>
  <c r="M143" i="3"/>
  <c r="AE143" i="3"/>
  <c r="AF143" i="3"/>
  <c r="V143" i="3"/>
  <c r="U143" i="3"/>
  <c r="F143" i="3"/>
  <c r="G143" i="3"/>
  <c r="H143" i="3" s="1"/>
  <c r="AU141" i="3"/>
  <c r="AT141" i="3"/>
  <c r="AX141" i="3"/>
  <c r="X142" i="3"/>
  <c r="BN142" i="3"/>
  <c r="AH142" i="3"/>
  <c r="AO142" i="3"/>
  <c r="Y142" i="3"/>
  <c r="Z142" i="3" s="1"/>
  <c r="BD139" i="3" l="1"/>
  <c r="BM143" i="3"/>
  <c r="AN143" i="3"/>
  <c r="AG143" i="3"/>
  <c r="AY141" i="3"/>
  <c r="BC140" i="3"/>
  <c r="BD140" i="3" s="1"/>
  <c r="AT142" i="3"/>
  <c r="AX142" i="3"/>
  <c r="Y143" i="3"/>
  <c r="Z143" i="3" s="1"/>
  <c r="A145" i="3"/>
  <c r="B144" i="3"/>
  <c r="AR144" i="3"/>
  <c r="AQ144" i="3"/>
  <c r="C144" i="3"/>
  <c r="T144" i="3"/>
  <c r="AK144" i="3"/>
  <c r="AM144" i="3"/>
  <c r="R144" i="3"/>
  <c r="P144" i="3"/>
  <c r="AD144" i="3"/>
  <c r="AF144" i="3"/>
  <c r="O144" i="3"/>
  <c r="M144" i="3"/>
  <c r="AE144" i="3"/>
  <c r="U144" i="3"/>
  <c r="V144" i="3"/>
  <c r="G144" i="3"/>
  <c r="H144" i="3" s="1"/>
  <c r="F144" i="3"/>
  <c r="Q144" i="3"/>
  <c r="D144" i="3"/>
  <c r="S144" i="3"/>
  <c r="BQ140" i="3"/>
  <c r="BF140" i="3"/>
  <c r="BJ139" i="3" s="1"/>
  <c r="BK139" i="3" s="1"/>
  <c r="BB140" i="3"/>
  <c r="AU142" i="3"/>
  <c r="AW142" i="3"/>
  <c r="BN143" i="3"/>
  <c r="AH143" i="3"/>
  <c r="AO143" i="3"/>
  <c r="BA141" i="3"/>
  <c r="AV141" i="3"/>
  <c r="X143" i="3"/>
  <c r="AT143" i="3" l="1"/>
  <c r="BC141" i="3"/>
  <c r="BD141" i="3" s="1"/>
  <c r="BM144" i="3"/>
  <c r="BG140" i="3"/>
  <c r="BH140" i="3" s="1"/>
  <c r="BI140" i="3" s="1"/>
  <c r="AY142" i="3"/>
  <c r="AN144" i="3"/>
  <c r="AG144" i="3"/>
  <c r="AX143" i="3"/>
  <c r="AO144" i="3"/>
  <c r="AU143" i="3"/>
  <c r="AW143" i="3"/>
  <c r="BA142" i="3"/>
  <c r="BB142" i="3" s="1"/>
  <c r="Y144" i="3"/>
  <c r="Z144" i="3" s="1"/>
  <c r="AR145" i="3"/>
  <c r="B145" i="3"/>
  <c r="AQ145" i="3"/>
  <c r="A146" i="3"/>
  <c r="D145" i="3"/>
  <c r="Q145" i="3"/>
  <c r="R145" i="3"/>
  <c r="C145" i="3"/>
  <c r="AK145" i="3"/>
  <c r="AM145" i="3"/>
  <c r="S145" i="3"/>
  <c r="AD145" i="3"/>
  <c r="O145" i="3"/>
  <c r="P145" i="3"/>
  <c r="M145" i="3"/>
  <c r="AF145" i="3"/>
  <c r="AE145" i="3"/>
  <c r="V145" i="3"/>
  <c r="U145" i="3"/>
  <c r="G145" i="3"/>
  <c r="H145" i="3" s="1"/>
  <c r="F145" i="3"/>
  <c r="T145" i="3"/>
  <c r="AH144" i="3"/>
  <c r="AV142" i="3"/>
  <c r="BF141" i="3"/>
  <c r="BJ140" i="3" s="1"/>
  <c r="BK140" i="3" s="1"/>
  <c r="BB141" i="3"/>
  <c r="BQ141" i="3"/>
  <c r="X144" i="3"/>
  <c r="BN144" i="3"/>
  <c r="AV143" i="3" l="1"/>
  <c r="BC142" i="3"/>
  <c r="BG141" i="3"/>
  <c r="BH141" i="3" s="1"/>
  <c r="BI141" i="3" s="1"/>
  <c r="BM145" i="3"/>
  <c r="AX144" i="3"/>
  <c r="AG145" i="3"/>
  <c r="BA143" i="3"/>
  <c r="BQ143" i="3" s="1"/>
  <c r="AO145" i="3"/>
  <c r="BQ142" i="3"/>
  <c r="AY143" i="3"/>
  <c r="BF142" i="3"/>
  <c r="BJ141" i="3" s="1"/>
  <c r="BK141" i="3" s="1"/>
  <c r="BD142" i="3"/>
  <c r="BG142" i="3"/>
  <c r="BH142" i="3" s="1"/>
  <c r="BI142" i="3" s="1"/>
  <c r="AR146" i="3"/>
  <c r="B146" i="3"/>
  <c r="AQ146" i="3"/>
  <c r="A147" i="3"/>
  <c r="AM146" i="3"/>
  <c r="AK146" i="3"/>
  <c r="T146" i="3"/>
  <c r="AD146" i="3"/>
  <c r="Q146" i="3"/>
  <c r="P146" i="3"/>
  <c r="AE146" i="3"/>
  <c r="AF146" i="3"/>
  <c r="O146" i="3"/>
  <c r="M146" i="3"/>
  <c r="U146" i="3"/>
  <c r="V146" i="3"/>
  <c r="R146" i="3"/>
  <c r="C146" i="3"/>
  <c r="F146" i="3"/>
  <c r="D146" i="3"/>
  <c r="G146" i="3"/>
  <c r="H146" i="3" s="1"/>
  <c r="S146" i="3"/>
  <c r="AU144" i="3"/>
  <c r="AT144" i="3"/>
  <c r="AW144" i="3"/>
  <c r="Y145" i="3"/>
  <c r="Z145" i="3" s="1"/>
  <c r="BN145" i="3"/>
  <c r="AH145" i="3"/>
  <c r="AN145" i="3"/>
  <c r="X145" i="3"/>
  <c r="BC143" i="3" l="1"/>
  <c r="AY144" i="3"/>
  <c r="BN146" i="3"/>
  <c r="BM146" i="3"/>
  <c r="AT145" i="3"/>
  <c r="BB143" i="3"/>
  <c r="BF143" i="3"/>
  <c r="BJ142" i="3" s="1"/>
  <c r="BK142" i="3" s="1"/>
  <c r="AN146" i="3"/>
  <c r="AW145" i="3"/>
  <c r="AG146" i="3"/>
  <c r="BD143" i="3"/>
  <c r="BG143" i="3"/>
  <c r="BH143" i="3" s="1"/>
  <c r="BI143" i="3" s="1"/>
  <c r="AV144" i="3"/>
  <c r="BA144" i="3"/>
  <c r="Y146" i="3"/>
  <c r="Z146" i="3" s="1"/>
  <c r="AQ147" i="3"/>
  <c r="B147" i="3"/>
  <c r="A148" i="3"/>
  <c r="AR147" i="3"/>
  <c r="D147" i="3"/>
  <c r="AM147" i="3"/>
  <c r="AK147" i="3"/>
  <c r="C147" i="3"/>
  <c r="S147" i="3"/>
  <c r="R147" i="3"/>
  <c r="Q147" i="3"/>
  <c r="AD147" i="3"/>
  <c r="P147" i="3"/>
  <c r="O147" i="3"/>
  <c r="AE147" i="3"/>
  <c r="AF147" i="3"/>
  <c r="M147" i="3"/>
  <c r="V147" i="3"/>
  <c r="U147" i="3"/>
  <c r="G147" i="3"/>
  <c r="H147" i="3" s="1"/>
  <c r="F147" i="3"/>
  <c r="T147" i="3"/>
  <c r="AX145" i="3"/>
  <c r="AU145" i="3"/>
  <c r="X146" i="3"/>
  <c r="AH146" i="3"/>
  <c r="AO146" i="3"/>
  <c r="BC144" i="3" l="1"/>
  <c r="BG144" i="3" s="1"/>
  <c r="BH144" i="3" s="1"/>
  <c r="BI144" i="3" s="1"/>
  <c r="AY145" i="3"/>
  <c r="BN147" i="3"/>
  <c r="AU146" i="3"/>
  <c r="AT146" i="3"/>
  <c r="AN147" i="3"/>
  <c r="AH147" i="3"/>
  <c r="Y147" i="3"/>
  <c r="Z147" i="3" s="1"/>
  <c r="AW146" i="3"/>
  <c r="BA145" i="3"/>
  <c r="BQ145" i="3" s="1"/>
  <c r="BD144" i="3"/>
  <c r="A149" i="3"/>
  <c r="B148" i="3"/>
  <c r="AR148" i="3"/>
  <c r="AQ148" i="3"/>
  <c r="D148" i="3"/>
  <c r="AM148" i="3"/>
  <c r="S148" i="3"/>
  <c r="R148" i="3"/>
  <c r="AK148" i="3"/>
  <c r="Q148" i="3"/>
  <c r="AD148" i="3"/>
  <c r="P148" i="3"/>
  <c r="O148" i="3"/>
  <c r="AE148" i="3"/>
  <c r="M148" i="3"/>
  <c r="AF148" i="3"/>
  <c r="U148" i="3"/>
  <c r="V148" i="3"/>
  <c r="C148" i="3"/>
  <c r="F148" i="3"/>
  <c r="G148" i="3"/>
  <c r="H148" i="3" s="1"/>
  <c r="T148" i="3"/>
  <c r="AX146" i="3"/>
  <c r="AV145" i="3"/>
  <c r="BM147" i="3"/>
  <c r="AG147" i="3"/>
  <c r="AO147" i="3"/>
  <c r="BF144" i="3"/>
  <c r="BJ143" i="3" s="1"/>
  <c r="BK143" i="3" s="1"/>
  <c r="BQ144" i="3"/>
  <c r="BB144" i="3"/>
  <c r="X147" i="3"/>
  <c r="BN148" i="3" l="1"/>
  <c r="BC145" i="3"/>
  <c r="BD145" i="3" s="1"/>
  <c r="AU147" i="3"/>
  <c r="AV146" i="3"/>
  <c r="BM148" i="3"/>
  <c r="AT147" i="3"/>
  <c r="AX147" i="3"/>
  <c r="BA146" i="3"/>
  <c r="BQ146" i="3" s="1"/>
  <c r="AG148" i="3"/>
  <c r="AN148" i="3"/>
  <c r="BF145" i="3"/>
  <c r="BJ144" i="3" s="1"/>
  <c r="BK144" i="3" s="1"/>
  <c r="Y148" i="3"/>
  <c r="Z148" i="3" s="1"/>
  <c r="BB145" i="3"/>
  <c r="AY146" i="3"/>
  <c r="BC146" i="3" s="1"/>
  <c r="BD146" i="3" s="1"/>
  <c r="AR149" i="3"/>
  <c r="B149" i="3"/>
  <c r="AQ149" i="3"/>
  <c r="A150" i="3"/>
  <c r="AK149" i="3"/>
  <c r="T149" i="3"/>
  <c r="S149" i="3"/>
  <c r="AM149" i="3"/>
  <c r="R149" i="3"/>
  <c r="Q149" i="3"/>
  <c r="P149" i="3"/>
  <c r="AD149" i="3"/>
  <c r="O149" i="3"/>
  <c r="M149" i="3"/>
  <c r="AE149" i="3"/>
  <c r="AF149" i="3"/>
  <c r="U149" i="3"/>
  <c r="V149" i="3"/>
  <c r="D149" i="3"/>
  <c r="F149" i="3"/>
  <c r="C149" i="3"/>
  <c r="G149" i="3"/>
  <c r="H149" i="3" s="1"/>
  <c r="AH148" i="3"/>
  <c r="AW147" i="3"/>
  <c r="X148" i="3"/>
  <c r="AO148" i="3"/>
  <c r="BG145" i="3" l="1"/>
  <c r="BH145" i="3" s="1"/>
  <c r="BI145" i="3" s="1"/>
  <c r="AV147" i="3"/>
  <c r="BF146" i="3"/>
  <c r="BJ145" i="3" s="1"/>
  <c r="AY147" i="3"/>
  <c r="BB146" i="3"/>
  <c r="AW148" i="3"/>
  <c r="BG146" i="3"/>
  <c r="BH146" i="3" s="1"/>
  <c r="BI146" i="3" s="1"/>
  <c r="AX148" i="3"/>
  <c r="AO149" i="3"/>
  <c r="X149" i="3"/>
  <c r="Y149" i="3"/>
  <c r="Z149" i="3" s="1"/>
  <c r="AR150" i="3"/>
  <c r="B150" i="3"/>
  <c r="AQ150" i="3"/>
  <c r="A151" i="3"/>
  <c r="D150" i="3"/>
  <c r="C150" i="3"/>
  <c r="AM150" i="3"/>
  <c r="S150" i="3"/>
  <c r="Q150" i="3"/>
  <c r="AK150" i="3"/>
  <c r="R150" i="3"/>
  <c r="AD150" i="3"/>
  <c r="O150" i="3"/>
  <c r="P150" i="3"/>
  <c r="AE150" i="3"/>
  <c r="AF150" i="3"/>
  <c r="U150" i="3"/>
  <c r="M150" i="3"/>
  <c r="V150" i="3"/>
  <c r="G150" i="3"/>
  <c r="H150" i="3" s="1"/>
  <c r="F150" i="3"/>
  <c r="T150" i="3"/>
  <c r="AU148" i="3"/>
  <c r="AT148" i="3"/>
  <c r="BN149" i="3"/>
  <c r="BM149" i="3"/>
  <c r="AG149" i="3"/>
  <c r="AH149" i="3"/>
  <c r="AN149" i="3"/>
  <c r="BA147" i="3"/>
  <c r="AY148" i="3" l="1"/>
  <c r="BK145" i="3"/>
  <c r="BC147" i="3"/>
  <c r="BG147" i="3" s="1"/>
  <c r="BH147" i="3" s="1"/>
  <c r="BI147" i="3" s="1"/>
  <c r="BN150" i="3"/>
  <c r="AT149" i="3"/>
  <c r="AW149" i="3"/>
  <c r="AV148" i="3"/>
  <c r="BC148" i="3" s="1"/>
  <c r="BG148" i="3" s="1"/>
  <c r="BH148" i="3" s="1"/>
  <c r="BI148" i="3" s="1"/>
  <c r="BF147" i="3"/>
  <c r="BJ146" i="3" s="1"/>
  <c r="BK146" i="3" s="1"/>
  <c r="BB147" i="3"/>
  <c r="BQ147" i="3"/>
  <c r="AO150" i="3"/>
  <c r="AN150" i="3"/>
  <c r="AX149" i="3"/>
  <c r="BA148" i="3"/>
  <c r="BM150" i="3"/>
  <c r="AG150" i="3"/>
  <c r="AQ151" i="3"/>
  <c r="B151" i="3"/>
  <c r="A152" i="3"/>
  <c r="AR151" i="3"/>
  <c r="D151" i="3"/>
  <c r="AM151" i="3"/>
  <c r="AK151" i="3"/>
  <c r="Q151" i="3"/>
  <c r="T151" i="3"/>
  <c r="R151" i="3"/>
  <c r="AD151" i="3"/>
  <c r="P151" i="3"/>
  <c r="O151" i="3"/>
  <c r="AE151" i="3"/>
  <c r="AF151" i="3"/>
  <c r="M151" i="3"/>
  <c r="V151" i="3"/>
  <c r="U151" i="3"/>
  <c r="C151" i="3"/>
  <c r="G151" i="3"/>
  <c r="H151" i="3" s="1"/>
  <c r="F151" i="3"/>
  <c r="S151" i="3"/>
  <c r="AU149" i="3"/>
  <c r="Y150" i="3"/>
  <c r="Z150" i="3" s="1"/>
  <c r="AH150" i="3"/>
  <c r="X150" i="3"/>
  <c r="BD147" i="3" l="1"/>
  <c r="BM151" i="3"/>
  <c r="BD148" i="3"/>
  <c r="BN151" i="3"/>
  <c r="AX150" i="3"/>
  <c r="BA149" i="3"/>
  <c r="BQ149" i="3" s="1"/>
  <c r="AO151" i="3"/>
  <c r="AN151" i="3"/>
  <c r="AY149" i="3"/>
  <c r="AG151" i="3"/>
  <c r="X151" i="3"/>
  <c r="Y151" i="3"/>
  <c r="Z151" i="3" s="1"/>
  <c r="A153" i="3"/>
  <c r="B152" i="3"/>
  <c r="AR152" i="3"/>
  <c r="AQ152" i="3"/>
  <c r="C152" i="3"/>
  <c r="AK152" i="3"/>
  <c r="AM152" i="3"/>
  <c r="Q152" i="3"/>
  <c r="AD152" i="3"/>
  <c r="T152" i="3"/>
  <c r="R152" i="3"/>
  <c r="P152" i="3"/>
  <c r="M152" i="3"/>
  <c r="AE152" i="3"/>
  <c r="AF152" i="3"/>
  <c r="V152" i="3"/>
  <c r="U152" i="3"/>
  <c r="O152" i="3"/>
  <c r="D152" i="3"/>
  <c r="G152" i="3"/>
  <c r="H152" i="3" s="1"/>
  <c r="F152" i="3"/>
  <c r="BM152" i="3" s="1"/>
  <c r="S152" i="3"/>
  <c r="BF148" i="3"/>
  <c r="BJ147" i="3" s="1"/>
  <c r="BK147" i="3" s="1"/>
  <c r="BB148" i="3"/>
  <c r="BQ148" i="3"/>
  <c r="AV149" i="3"/>
  <c r="AH151" i="3"/>
  <c r="AU150" i="3"/>
  <c r="AW150" i="3"/>
  <c r="AT150" i="3"/>
  <c r="AY150" i="3" l="1"/>
  <c r="AV150" i="3"/>
  <c r="BN152" i="3"/>
  <c r="BC149" i="3"/>
  <c r="BD149" i="3" s="1"/>
  <c r="BB149" i="3"/>
  <c r="AG152" i="3"/>
  <c r="AX151" i="3"/>
  <c r="BF149" i="3"/>
  <c r="BJ148" i="3" s="1"/>
  <c r="BK148" i="3" s="1"/>
  <c r="AO152" i="3"/>
  <c r="X152" i="3"/>
  <c r="Y152" i="3"/>
  <c r="Z152" i="3" s="1"/>
  <c r="AR153" i="3"/>
  <c r="B153" i="3"/>
  <c r="AQ153" i="3"/>
  <c r="A154" i="3"/>
  <c r="D153" i="3"/>
  <c r="C153" i="3"/>
  <c r="S153" i="3"/>
  <c r="T153" i="3"/>
  <c r="AM153" i="3"/>
  <c r="AK153" i="3"/>
  <c r="Q153" i="3"/>
  <c r="P153" i="3"/>
  <c r="AD153" i="3"/>
  <c r="O153" i="3"/>
  <c r="M153" i="3"/>
  <c r="U153" i="3"/>
  <c r="AE153" i="3"/>
  <c r="AF153" i="3"/>
  <c r="V153" i="3"/>
  <c r="R153" i="3"/>
  <c r="F153" i="3"/>
  <c r="G153" i="3"/>
  <c r="H153" i="3" s="1"/>
  <c r="BA150" i="3"/>
  <c r="AW151" i="3"/>
  <c r="AU151" i="3"/>
  <c r="AH152" i="3"/>
  <c r="AN152" i="3"/>
  <c r="AT151" i="3"/>
  <c r="BC150" i="3" l="1"/>
  <c r="BG150" i="3" s="1"/>
  <c r="BH150" i="3" s="1"/>
  <c r="BI150" i="3" s="1"/>
  <c r="BM153" i="3"/>
  <c r="BN153" i="3"/>
  <c r="AU152" i="3"/>
  <c r="BG149" i="3"/>
  <c r="BH149" i="3" s="1"/>
  <c r="BI149" i="3" s="1"/>
  <c r="AY151" i="3"/>
  <c r="AO153" i="3"/>
  <c r="AH153" i="3"/>
  <c r="BD150" i="3"/>
  <c r="BQ150" i="3"/>
  <c r="BF150" i="3"/>
  <c r="BJ149" i="3" s="1"/>
  <c r="BB150" i="3"/>
  <c r="Y153" i="3"/>
  <c r="Z153" i="3" s="1"/>
  <c r="AX152" i="3"/>
  <c r="AG153" i="3"/>
  <c r="AN153" i="3"/>
  <c r="AT152" i="3"/>
  <c r="AV151" i="3"/>
  <c r="BA151" i="3"/>
  <c r="AR154" i="3"/>
  <c r="B154" i="3"/>
  <c r="AQ154" i="3"/>
  <c r="A155" i="3"/>
  <c r="D154" i="3"/>
  <c r="AK154" i="3"/>
  <c r="T154" i="3"/>
  <c r="AM154" i="3"/>
  <c r="S154" i="3"/>
  <c r="R154" i="3"/>
  <c r="Q154" i="3"/>
  <c r="P154" i="3"/>
  <c r="AD154" i="3"/>
  <c r="AE154" i="3"/>
  <c r="U154" i="3"/>
  <c r="O154" i="3"/>
  <c r="AF154" i="3"/>
  <c r="M154" i="3"/>
  <c r="V154" i="3"/>
  <c r="C154" i="3"/>
  <c r="F154" i="3"/>
  <c r="G154" i="3"/>
  <c r="H154" i="3" s="1"/>
  <c r="X153" i="3"/>
  <c r="AW152" i="3"/>
  <c r="AN154" i="3" l="1"/>
  <c r="AT153" i="3"/>
  <c r="BK149" i="3"/>
  <c r="BN154" i="3"/>
  <c r="BC151" i="3"/>
  <c r="BG151" i="3" s="1"/>
  <c r="BH151" i="3" s="1"/>
  <c r="BI151" i="3" s="1"/>
  <c r="BM154" i="3"/>
  <c r="AU153" i="3"/>
  <c r="AY152" i="3"/>
  <c r="AX153" i="3"/>
  <c r="AH154" i="3"/>
  <c r="AQ155" i="3"/>
  <c r="B155" i="3"/>
  <c r="A156" i="3"/>
  <c r="AR155" i="3"/>
  <c r="C155" i="3"/>
  <c r="AM155" i="3"/>
  <c r="AK155" i="3"/>
  <c r="Q155" i="3"/>
  <c r="AD155" i="3"/>
  <c r="P155" i="3"/>
  <c r="R155" i="3"/>
  <c r="O155" i="3"/>
  <c r="AE155" i="3"/>
  <c r="AF155" i="3"/>
  <c r="V155" i="3"/>
  <c r="U155" i="3"/>
  <c r="M155" i="3"/>
  <c r="G155" i="3"/>
  <c r="H155" i="3" s="1"/>
  <c r="F155" i="3"/>
  <c r="D155" i="3"/>
  <c r="T155" i="3"/>
  <c r="S155" i="3"/>
  <c r="BQ151" i="3"/>
  <c r="BB151" i="3"/>
  <c r="BF151" i="3"/>
  <c r="BJ150" i="3" s="1"/>
  <c r="BK150" i="3" s="1"/>
  <c r="BA152" i="3"/>
  <c r="AV152" i="3"/>
  <c r="X154" i="3"/>
  <c r="AG154" i="3"/>
  <c r="AO154" i="3"/>
  <c r="AW153" i="3"/>
  <c r="Y154" i="3"/>
  <c r="Z154" i="3" s="1"/>
  <c r="BM155" i="3" l="1"/>
  <c r="BD151" i="3"/>
  <c r="AV153" i="3"/>
  <c r="AY153" i="3"/>
  <c r="AT154" i="3"/>
  <c r="AU154" i="3"/>
  <c r="BC152" i="3"/>
  <c r="BG152" i="3" s="1"/>
  <c r="BH152" i="3" s="1"/>
  <c r="BI152" i="3" s="1"/>
  <c r="AX154" i="3"/>
  <c r="AN155" i="3"/>
  <c r="BA153" i="3"/>
  <c r="BB153" i="3" s="1"/>
  <c r="X155" i="3"/>
  <c r="A157" i="3"/>
  <c r="B156" i="3"/>
  <c r="AR156" i="3"/>
  <c r="AQ156" i="3"/>
  <c r="C156" i="3"/>
  <c r="AM156" i="3"/>
  <c r="AK156" i="3"/>
  <c r="S156" i="3"/>
  <c r="T156" i="3"/>
  <c r="AD156" i="3"/>
  <c r="Q156" i="3"/>
  <c r="P156" i="3"/>
  <c r="O156" i="3"/>
  <c r="AE156" i="3"/>
  <c r="V156" i="3"/>
  <c r="U156" i="3"/>
  <c r="M156" i="3"/>
  <c r="AF156" i="3"/>
  <c r="R156" i="3"/>
  <c r="F156" i="3"/>
  <c r="D156" i="3"/>
  <c r="G156" i="3"/>
  <c r="H156" i="3" s="1"/>
  <c r="AW154" i="3"/>
  <c r="Y155" i="3"/>
  <c r="Z155" i="3" s="1"/>
  <c r="AG155" i="3"/>
  <c r="AH155" i="3"/>
  <c r="AO155" i="3"/>
  <c r="BF152" i="3"/>
  <c r="BJ151" i="3" s="1"/>
  <c r="BK151" i="3" s="1"/>
  <c r="BB152" i="3"/>
  <c r="BQ152" i="3"/>
  <c r="BN155" i="3"/>
  <c r="AY154" i="3" l="1"/>
  <c r="BC153" i="3"/>
  <c r="BG153" i="3" s="1"/>
  <c r="BH153" i="3" s="1"/>
  <c r="BI153" i="3" s="1"/>
  <c r="AV154" i="3"/>
  <c r="BN156" i="3"/>
  <c r="BM156" i="3"/>
  <c r="AH156" i="3"/>
  <c r="BD152" i="3"/>
  <c r="AO156" i="3"/>
  <c r="BF153" i="3"/>
  <c r="BJ152" i="3" s="1"/>
  <c r="BK152" i="3" s="1"/>
  <c r="BQ153" i="3"/>
  <c r="AW155" i="3"/>
  <c r="AG156" i="3"/>
  <c r="AN156" i="3"/>
  <c r="BD153" i="3"/>
  <c r="Y156" i="3"/>
  <c r="Z156" i="3" s="1"/>
  <c r="AR157" i="3"/>
  <c r="B157" i="3"/>
  <c r="AQ157" i="3"/>
  <c r="A158" i="3"/>
  <c r="C157" i="3"/>
  <c r="AK157" i="3"/>
  <c r="AM157" i="3"/>
  <c r="R157" i="3"/>
  <c r="AD157" i="3"/>
  <c r="P157" i="3"/>
  <c r="O157" i="3"/>
  <c r="M157" i="3"/>
  <c r="AE157" i="3"/>
  <c r="V157" i="3"/>
  <c r="U157" i="3"/>
  <c r="AF157" i="3"/>
  <c r="Q157" i="3"/>
  <c r="D157" i="3"/>
  <c r="G157" i="3"/>
  <c r="H157" i="3" s="1"/>
  <c r="F157" i="3"/>
  <c r="S157" i="3"/>
  <c r="T157" i="3"/>
  <c r="AT155" i="3"/>
  <c r="AU155" i="3"/>
  <c r="AX155" i="3"/>
  <c r="X156" i="3"/>
  <c r="BA154" i="3"/>
  <c r="BC154" i="3" l="1"/>
  <c r="BM157" i="3"/>
  <c r="BN157" i="3"/>
  <c r="AW156" i="3"/>
  <c r="AT156" i="3"/>
  <c r="AG157" i="3"/>
  <c r="AU156" i="3"/>
  <c r="AN157" i="3"/>
  <c r="AX156" i="3"/>
  <c r="X157" i="3"/>
  <c r="AV155" i="3"/>
  <c r="BA155" i="3"/>
  <c r="AH157" i="3"/>
  <c r="AY155" i="3"/>
  <c r="BQ154" i="3"/>
  <c r="BF154" i="3"/>
  <c r="BJ153" i="3" s="1"/>
  <c r="BK153" i="3" s="1"/>
  <c r="BB154" i="3"/>
  <c r="AR158" i="3"/>
  <c r="B158" i="3"/>
  <c r="AQ158" i="3"/>
  <c r="A159" i="3"/>
  <c r="AM158" i="3"/>
  <c r="R158" i="3"/>
  <c r="AK158" i="3"/>
  <c r="S158" i="3"/>
  <c r="Q158" i="3"/>
  <c r="AD158" i="3"/>
  <c r="O158" i="3"/>
  <c r="P158" i="3"/>
  <c r="M158" i="3"/>
  <c r="AF158" i="3"/>
  <c r="AE158" i="3"/>
  <c r="V158" i="3"/>
  <c r="U158" i="3"/>
  <c r="C158" i="3"/>
  <c r="D158" i="3"/>
  <c r="G158" i="3"/>
  <c r="H158" i="3" s="1"/>
  <c r="F158" i="3"/>
  <c r="T158" i="3"/>
  <c r="BD154" i="3"/>
  <c r="BG154" i="3"/>
  <c r="BH154" i="3" s="1"/>
  <c r="BI154" i="3" s="1"/>
  <c r="Y157" i="3"/>
  <c r="Z157" i="3" s="1"/>
  <c r="AO157" i="3"/>
  <c r="AV156" i="3" l="1"/>
  <c r="AO158" i="3"/>
  <c r="BM158" i="3"/>
  <c r="AY156" i="3"/>
  <c r="BC156" i="3" s="1"/>
  <c r="BD156" i="3" s="1"/>
  <c r="AG158" i="3"/>
  <c r="AT157" i="3"/>
  <c r="BA156" i="3"/>
  <c r="BF156" i="3" s="1"/>
  <c r="AW157" i="3"/>
  <c r="AQ159" i="3"/>
  <c r="B159" i="3"/>
  <c r="A160" i="3"/>
  <c r="AR159" i="3"/>
  <c r="D159" i="3"/>
  <c r="C159" i="3"/>
  <c r="AK159" i="3"/>
  <c r="AM159" i="3"/>
  <c r="S159" i="3"/>
  <c r="Q159" i="3"/>
  <c r="AD159" i="3"/>
  <c r="M159" i="3"/>
  <c r="AE159" i="3"/>
  <c r="O159" i="3"/>
  <c r="AF159" i="3"/>
  <c r="U159" i="3"/>
  <c r="V159" i="3"/>
  <c r="P159" i="3"/>
  <c r="R159" i="3"/>
  <c r="G159" i="3"/>
  <c r="H159" i="3" s="1"/>
  <c r="F159" i="3"/>
  <c r="T159" i="3"/>
  <c r="AN158" i="3"/>
  <c r="Y158" i="3"/>
  <c r="Z158" i="3" s="1"/>
  <c r="BN158" i="3"/>
  <c r="X158" i="3"/>
  <c r="AH158" i="3"/>
  <c r="AU157" i="3"/>
  <c r="BC155" i="3"/>
  <c r="BB155" i="3"/>
  <c r="BQ155" i="3"/>
  <c r="BF155" i="3"/>
  <c r="BJ154" i="3" s="1"/>
  <c r="BK154" i="3" s="1"/>
  <c r="AX157" i="3"/>
  <c r="BB156" i="3" l="1"/>
  <c r="AU158" i="3"/>
  <c r="BQ156" i="3"/>
  <c r="BM159" i="3"/>
  <c r="AY157" i="3"/>
  <c r="AV157" i="3"/>
  <c r="AG159" i="3"/>
  <c r="AO159" i="3"/>
  <c r="AW158" i="3"/>
  <c r="BG156" i="3"/>
  <c r="BH156" i="3" s="1"/>
  <c r="BI156" i="3" s="1"/>
  <c r="BD155" i="3"/>
  <c r="BG155" i="3"/>
  <c r="BH155" i="3" s="1"/>
  <c r="BI155" i="3" s="1"/>
  <c r="AX158" i="3"/>
  <c r="AT158" i="3"/>
  <c r="BJ155" i="3"/>
  <c r="Y159" i="3"/>
  <c r="Z159" i="3" s="1"/>
  <c r="BN159" i="3"/>
  <c r="AN159" i="3"/>
  <c r="X159" i="3"/>
  <c r="BA157" i="3"/>
  <c r="A161" i="3"/>
  <c r="B160" i="3"/>
  <c r="AR160" i="3"/>
  <c r="AQ160" i="3"/>
  <c r="AM160" i="3"/>
  <c r="S160" i="3"/>
  <c r="C160" i="3"/>
  <c r="AK160" i="3"/>
  <c r="Q160" i="3"/>
  <c r="R160" i="3"/>
  <c r="AD160" i="3"/>
  <c r="P160" i="3"/>
  <c r="O160" i="3"/>
  <c r="M160" i="3"/>
  <c r="AE160" i="3"/>
  <c r="AF160" i="3"/>
  <c r="V160" i="3"/>
  <c r="U160" i="3"/>
  <c r="D160" i="3"/>
  <c r="G160" i="3"/>
  <c r="H160" i="3" s="1"/>
  <c r="F160" i="3"/>
  <c r="T160" i="3"/>
  <c r="AH159" i="3"/>
  <c r="BM160" i="3" l="1"/>
  <c r="BK155" i="3"/>
  <c r="AO160" i="3"/>
  <c r="BC157" i="3"/>
  <c r="BG157" i="3" s="1"/>
  <c r="BH157" i="3" s="1"/>
  <c r="BI157" i="3" s="1"/>
  <c r="BN160" i="3"/>
  <c r="AX159" i="3"/>
  <c r="AY158" i="3"/>
  <c r="AU159" i="3"/>
  <c r="Y160" i="3"/>
  <c r="Z160" i="3" s="1"/>
  <c r="AR161" i="3"/>
  <c r="B161" i="3"/>
  <c r="AQ161" i="3"/>
  <c r="A162" i="3"/>
  <c r="D161" i="3"/>
  <c r="S161" i="3"/>
  <c r="AM161" i="3"/>
  <c r="AK161" i="3"/>
  <c r="T161" i="3"/>
  <c r="Q161" i="3"/>
  <c r="R161" i="3"/>
  <c r="AD161" i="3"/>
  <c r="P161" i="3"/>
  <c r="V161" i="3"/>
  <c r="O161" i="3"/>
  <c r="AE161" i="3"/>
  <c r="M161" i="3"/>
  <c r="AF161" i="3"/>
  <c r="U161" i="3"/>
  <c r="C161" i="3"/>
  <c r="G161" i="3"/>
  <c r="H161" i="3" s="1"/>
  <c r="BN161" i="3" s="1"/>
  <c r="F161" i="3"/>
  <c r="BM161" i="3" s="1"/>
  <c r="AV158" i="3"/>
  <c r="BA158" i="3"/>
  <c r="AG160" i="3"/>
  <c r="AH160" i="3"/>
  <c r="X160" i="3"/>
  <c r="AN160" i="3"/>
  <c r="AT159" i="3"/>
  <c r="AW159" i="3"/>
  <c r="BF157" i="3"/>
  <c r="BJ156" i="3" s="1"/>
  <c r="BK156" i="3" s="1"/>
  <c r="BQ157" i="3"/>
  <c r="BB157" i="3"/>
  <c r="BD157" i="3" l="1"/>
  <c r="AY159" i="3"/>
  <c r="BC158" i="3"/>
  <c r="BD158" i="3" s="1"/>
  <c r="AN161" i="3"/>
  <c r="AT160" i="3"/>
  <c r="BB158" i="3"/>
  <c r="BF158" i="3"/>
  <c r="BJ157" i="3" s="1"/>
  <c r="BK157" i="3" s="1"/>
  <c r="BQ158" i="3"/>
  <c r="AR162" i="3"/>
  <c r="B162" i="3"/>
  <c r="AQ162" i="3"/>
  <c r="A163" i="3"/>
  <c r="C162" i="3"/>
  <c r="AK162" i="3"/>
  <c r="S162" i="3"/>
  <c r="R162" i="3"/>
  <c r="Q162" i="3"/>
  <c r="AM162" i="3"/>
  <c r="D162" i="3"/>
  <c r="AD162" i="3"/>
  <c r="O162" i="3"/>
  <c r="M162" i="3"/>
  <c r="AE162" i="3"/>
  <c r="V162" i="3"/>
  <c r="AF162" i="3"/>
  <c r="U162" i="3"/>
  <c r="G162" i="3"/>
  <c r="H162" i="3" s="1"/>
  <c r="F162" i="3"/>
  <c r="P162" i="3"/>
  <c r="T162" i="3"/>
  <c r="AU160" i="3"/>
  <c r="AW160" i="3"/>
  <c r="X161" i="3"/>
  <c r="AG161" i="3"/>
  <c r="AH161" i="3"/>
  <c r="AO161" i="3"/>
  <c r="BA159" i="3"/>
  <c r="AV159" i="3"/>
  <c r="Y161" i="3"/>
  <c r="Z161" i="3" s="1"/>
  <c r="AX160" i="3"/>
  <c r="BN162" i="3" l="1"/>
  <c r="AN162" i="3"/>
  <c r="BC159" i="3"/>
  <c r="BD159" i="3" s="1"/>
  <c r="AV160" i="3"/>
  <c r="BG158" i="3"/>
  <c r="BH158" i="3" s="1"/>
  <c r="BI158" i="3" s="1"/>
  <c r="AT161" i="3"/>
  <c r="AX161" i="3"/>
  <c r="AG162" i="3"/>
  <c r="Y162" i="3"/>
  <c r="Z162" i="3" s="1"/>
  <c r="AQ163" i="3"/>
  <c r="B163" i="3"/>
  <c r="A164" i="3"/>
  <c r="AR163" i="3"/>
  <c r="C163" i="3"/>
  <c r="AM163" i="3"/>
  <c r="T163" i="3"/>
  <c r="Q163" i="3"/>
  <c r="AK163" i="3"/>
  <c r="R163" i="3"/>
  <c r="P163" i="3"/>
  <c r="AD163" i="3"/>
  <c r="M163" i="3"/>
  <c r="AF163" i="3"/>
  <c r="V163" i="3"/>
  <c r="O163" i="3"/>
  <c r="AE163" i="3"/>
  <c r="U163" i="3"/>
  <c r="F163" i="3"/>
  <c r="D163" i="3"/>
  <c r="G163" i="3"/>
  <c r="H163" i="3" s="1"/>
  <c r="S163" i="3"/>
  <c r="X162" i="3"/>
  <c r="AU161" i="3"/>
  <c r="AW161" i="3"/>
  <c r="AY160" i="3"/>
  <c r="BM162" i="3"/>
  <c r="AH162" i="3"/>
  <c r="AO162" i="3"/>
  <c r="BA160" i="3"/>
  <c r="BQ159" i="3"/>
  <c r="BF159" i="3"/>
  <c r="BJ158" i="3" s="1"/>
  <c r="BK158" i="3" s="1"/>
  <c r="BB159" i="3"/>
  <c r="BM163" i="3" l="1"/>
  <c r="BG159" i="3"/>
  <c r="BH159" i="3" s="1"/>
  <c r="BI159" i="3" s="1"/>
  <c r="AT162" i="3"/>
  <c r="BC160" i="3"/>
  <c r="BG160" i="3" s="1"/>
  <c r="BH160" i="3" s="1"/>
  <c r="BI160" i="3" s="1"/>
  <c r="AV161" i="3"/>
  <c r="BN163" i="3"/>
  <c r="AG163" i="3"/>
  <c r="BA161" i="3"/>
  <c r="BF161" i="3" s="1"/>
  <c r="AY161" i="3"/>
  <c r="AO163" i="3"/>
  <c r="AX162" i="3"/>
  <c r="BQ160" i="3"/>
  <c r="BB160" i="3"/>
  <c r="BF160" i="3"/>
  <c r="BJ159" i="3" s="1"/>
  <c r="BK159" i="3" s="1"/>
  <c r="Y163" i="3"/>
  <c r="Z163" i="3" s="1"/>
  <c r="AU162" i="3"/>
  <c r="X163" i="3"/>
  <c r="AH163" i="3"/>
  <c r="AN163" i="3"/>
  <c r="A165" i="3"/>
  <c r="B164" i="3"/>
  <c r="AR164" i="3"/>
  <c r="AQ164" i="3"/>
  <c r="C164" i="3"/>
  <c r="AM164" i="3"/>
  <c r="T164" i="3"/>
  <c r="AK164" i="3"/>
  <c r="R164" i="3"/>
  <c r="Q164" i="3"/>
  <c r="AD164" i="3"/>
  <c r="P164" i="3"/>
  <c r="M164" i="3"/>
  <c r="U164" i="3"/>
  <c r="V164" i="3"/>
  <c r="O164" i="3"/>
  <c r="AF164" i="3"/>
  <c r="AE164" i="3"/>
  <c r="D164" i="3"/>
  <c r="G164" i="3"/>
  <c r="H164" i="3" s="1"/>
  <c r="F164" i="3"/>
  <c r="BM164" i="3" s="1"/>
  <c r="S164" i="3"/>
  <c r="AW162" i="3"/>
  <c r="BD160" i="3" l="1"/>
  <c r="AV162" i="3"/>
  <c r="BC161" i="3"/>
  <c r="BG161" i="3" s="1"/>
  <c r="BH161" i="3" s="1"/>
  <c r="BI161" i="3" s="1"/>
  <c r="AO164" i="3"/>
  <c r="AY162" i="3"/>
  <c r="BN164" i="3"/>
  <c r="AX163" i="3"/>
  <c r="BB161" i="3"/>
  <c r="AU163" i="3"/>
  <c r="AT163" i="3"/>
  <c r="AG164" i="3"/>
  <c r="BQ161" i="3"/>
  <c r="X164" i="3"/>
  <c r="Y164" i="3"/>
  <c r="Z164" i="3" s="1"/>
  <c r="AR165" i="3"/>
  <c r="B165" i="3"/>
  <c r="AQ165" i="3"/>
  <c r="A166" i="3"/>
  <c r="AM165" i="3"/>
  <c r="R165" i="3"/>
  <c r="C165" i="3"/>
  <c r="AK165" i="3"/>
  <c r="Q165" i="3"/>
  <c r="AD165" i="3"/>
  <c r="S165" i="3"/>
  <c r="P165" i="3"/>
  <c r="O165" i="3"/>
  <c r="AE165" i="3"/>
  <c r="U165" i="3"/>
  <c r="V165" i="3"/>
  <c r="M165" i="3"/>
  <c r="AF165" i="3"/>
  <c r="D165" i="3"/>
  <c r="G165" i="3"/>
  <c r="H165" i="3" s="1"/>
  <c r="F165" i="3"/>
  <c r="T165" i="3"/>
  <c r="AH164" i="3"/>
  <c r="BA162" i="3"/>
  <c r="BD161" i="3"/>
  <c r="AN164" i="3"/>
  <c r="AW163" i="3"/>
  <c r="BJ160" i="3"/>
  <c r="BK160" i="3" s="1"/>
  <c r="BC162" i="3" l="1"/>
  <c r="BG162" i="3" s="1"/>
  <c r="BH162" i="3" s="1"/>
  <c r="BI162" i="3" s="1"/>
  <c r="BM165" i="3"/>
  <c r="BD162" i="3"/>
  <c r="BN165" i="3"/>
  <c r="AT164" i="3"/>
  <c r="AY163" i="3"/>
  <c r="AV163" i="3"/>
  <c r="AW164" i="3"/>
  <c r="AU164" i="3"/>
  <c r="Y165" i="3"/>
  <c r="Z165" i="3" s="1"/>
  <c r="AO165" i="3"/>
  <c r="BQ162" i="3"/>
  <c r="BF162" i="3"/>
  <c r="BB162" i="3"/>
  <c r="BA163" i="3"/>
  <c r="AX164" i="3"/>
  <c r="X165" i="3"/>
  <c r="AN165" i="3"/>
  <c r="AR166" i="3"/>
  <c r="B166" i="3"/>
  <c r="AQ166" i="3"/>
  <c r="A167" i="3"/>
  <c r="C166" i="3"/>
  <c r="D166" i="3"/>
  <c r="AK166" i="3"/>
  <c r="Q166" i="3"/>
  <c r="AM166" i="3"/>
  <c r="AD166" i="3"/>
  <c r="T166" i="3"/>
  <c r="R166" i="3"/>
  <c r="P166" i="3"/>
  <c r="M166" i="3"/>
  <c r="AE166" i="3"/>
  <c r="V166" i="3"/>
  <c r="U166" i="3"/>
  <c r="O166" i="3"/>
  <c r="AF166" i="3"/>
  <c r="G166" i="3"/>
  <c r="H166" i="3" s="1"/>
  <c r="F166" i="3"/>
  <c r="S166" i="3"/>
  <c r="AG165" i="3"/>
  <c r="AH165" i="3"/>
  <c r="AV164" i="3" l="1"/>
  <c r="BM166" i="3"/>
  <c r="BN166" i="3"/>
  <c r="AN166" i="3"/>
  <c r="AY164" i="3"/>
  <c r="BC164" i="3" s="1"/>
  <c r="BD164" i="3" s="1"/>
  <c r="BC163" i="3"/>
  <c r="BG163" i="3" s="1"/>
  <c r="BH163" i="3" s="1"/>
  <c r="BI163" i="3" s="1"/>
  <c r="BA164" i="3"/>
  <c r="BQ164" i="3" s="1"/>
  <c r="AX165" i="3"/>
  <c r="Y166" i="3"/>
  <c r="Z166" i="3" s="1"/>
  <c r="AQ167" i="3"/>
  <c r="B167" i="3"/>
  <c r="A168" i="3"/>
  <c r="AR167" i="3"/>
  <c r="D167" i="3"/>
  <c r="AK167" i="3"/>
  <c r="AM167" i="3"/>
  <c r="R167" i="3"/>
  <c r="P167" i="3"/>
  <c r="Q167" i="3"/>
  <c r="AD167" i="3"/>
  <c r="U167" i="3"/>
  <c r="O167" i="3"/>
  <c r="M167" i="3"/>
  <c r="AF167" i="3"/>
  <c r="AE167" i="3"/>
  <c r="V167" i="3"/>
  <c r="C167" i="3"/>
  <c r="G167" i="3"/>
  <c r="H167" i="3" s="1"/>
  <c r="F167" i="3"/>
  <c r="BM167" i="3" s="1"/>
  <c r="T167" i="3"/>
  <c r="S167" i="3"/>
  <c r="BF163" i="3"/>
  <c r="BJ162" i="3" s="1"/>
  <c r="BK162" i="3" s="1"/>
  <c r="BQ163" i="3"/>
  <c r="BB163" i="3"/>
  <c r="BJ161" i="3"/>
  <c r="BK161" i="3" s="1"/>
  <c r="AW165" i="3"/>
  <c r="X166" i="3"/>
  <c r="AH166" i="3"/>
  <c r="AT165" i="3"/>
  <c r="AG166" i="3"/>
  <c r="AO166" i="3"/>
  <c r="AU165" i="3"/>
  <c r="BN167" i="3" l="1"/>
  <c r="BD163" i="3"/>
  <c r="AY165" i="3"/>
  <c r="BB164" i="3"/>
  <c r="BF164" i="3"/>
  <c r="BJ163" i="3" s="1"/>
  <c r="BK163" i="3" s="1"/>
  <c r="AU166" i="3"/>
  <c r="X167" i="3"/>
  <c r="AG167" i="3"/>
  <c r="BG164" i="3"/>
  <c r="BH164" i="3" s="1"/>
  <c r="BI164" i="3" s="1"/>
  <c r="AO167" i="3"/>
  <c r="AT166" i="3"/>
  <c r="AV165" i="3"/>
  <c r="BA165" i="3"/>
  <c r="A169" i="3"/>
  <c r="B168" i="3"/>
  <c r="AR168" i="3"/>
  <c r="AQ168" i="3"/>
  <c r="D168" i="3"/>
  <c r="C168" i="3"/>
  <c r="AK168" i="3"/>
  <c r="AM168" i="3"/>
  <c r="S168" i="3"/>
  <c r="R168" i="3"/>
  <c r="AD168" i="3"/>
  <c r="P168" i="3"/>
  <c r="Q168" i="3"/>
  <c r="AF168" i="3"/>
  <c r="AE168" i="3"/>
  <c r="M168" i="3"/>
  <c r="U168" i="3"/>
  <c r="O168" i="3"/>
  <c r="V168" i="3"/>
  <c r="F168" i="3"/>
  <c r="G168" i="3"/>
  <c r="H168" i="3" s="1"/>
  <c r="T168" i="3"/>
  <c r="AW166" i="3"/>
  <c r="AX166" i="3"/>
  <c r="Y167" i="3"/>
  <c r="Z167" i="3" s="1"/>
  <c r="AH167" i="3"/>
  <c r="AN167" i="3"/>
  <c r="BM168" i="3" l="1"/>
  <c r="BC165" i="3"/>
  <c r="BG165" i="3" s="1"/>
  <c r="BH165" i="3" s="1"/>
  <c r="BI165" i="3" s="1"/>
  <c r="AV166" i="3"/>
  <c r="AN168" i="3"/>
  <c r="BN168" i="3"/>
  <c r="AX167" i="3"/>
  <c r="Y168" i="3"/>
  <c r="Z168" i="3" s="1"/>
  <c r="BA166" i="3"/>
  <c r="AY166" i="3"/>
  <c r="AR169" i="3"/>
  <c r="B169" i="3"/>
  <c r="AQ169" i="3"/>
  <c r="A170" i="3"/>
  <c r="C169" i="3"/>
  <c r="AM169" i="3"/>
  <c r="AK169" i="3"/>
  <c r="R169" i="3"/>
  <c r="Q169" i="3"/>
  <c r="AD169" i="3"/>
  <c r="S169" i="3"/>
  <c r="P169" i="3"/>
  <c r="O169" i="3"/>
  <c r="V169" i="3"/>
  <c r="U169" i="3"/>
  <c r="M169" i="3"/>
  <c r="AE169" i="3"/>
  <c r="AF169" i="3"/>
  <c r="F169" i="3"/>
  <c r="D169" i="3"/>
  <c r="G169" i="3"/>
  <c r="H169" i="3" s="1"/>
  <c r="T169" i="3"/>
  <c r="AW167" i="3"/>
  <c r="AT167" i="3"/>
  <c r="AU167" i="3"/>
  <c r="AG168" i="3"/>
  <c r="AH168" i="3"/>
  <c r="AO168" i="3"/>
  <c r="BF165" i="3"/>
  <c r="BJ164" i="3" s="1"/>
  <c r="BK164" i="3" s="1"/>
  <c r="BB165" i="3"/>
  <c r="BQ165" i="3"/>
  <c r="X168" i="3"/>
  <c r="BM169" i="3" l="1"/>
  <c r="BD165" i="3"/>
  <c r="BC166" i="3"/>
  <c r="BG166" i="3" s="1"/>
  <c r="BH166" i="3" s="1"/>
  <c r="BI166" i="3" s="1"/>
  <c r="BN169" i="3"/>
  <c r="AY167" i="3"/>
  <c r="AU168" i="3"/>
  <c r="AN169" i="3"/>
  <c r="Y169" i="3"/>
  <c r="Z169" i="3" s="1"/>
  <c r="AT168" i="3"/>
  <c r="AX168" i="3"/>
  <c r="BQ166" i="3"/>
  <c r="BB166" i="3"/>
  <c r="BF166" i="3"/>
  <c r="BJ165" i="3" s="1"/>
  <c r="BK165" i="3" s="1"/>
  <c r="AG169" i="3"/>
  <c r="AO169" i="3"/>
  <c r="X169" i="3"/>
  <c r="AV167" i="3"/>
  <c r="BA167" i="3"/>
  <c r="AR170" i="3"/>
  <c r="B170" i="3"/>
  <c r="AQ170" i="3"/>
  <c r="A171" i="3"/>
  <c r="D170" i="3"/>
  <c r="R170" i="3"/>
  <c r="AM170" i="3"/>
  <c r="AK170" i="3"/>
  <c r="O170" i="3"/>
  <c r="Q170" i="3"/>
  <c r="AD170" i="3"/>
  <c r="P170" i="3"/>
  <c r="AE170" i="3"/>
  <c r="AF170" i="3"/>
  <c r="U170" i="3"/>
  <c r="V170" i="3"/>
  <c r="M170" i="3"/>
  <c r="C170" i="3"/>
  <c r="F170" i="3"/>
  <c r="G170" i="3"/>
  <c r="H170" i="3" s="1"/>
  <c r="T170" i="3"/>
  <c r="S170" i="3"/>
  <c r="AW168" i="3"/>
  <c r="AH169" i="3"/>
  <c r="BD166" i="3" l="1"/>
  <c r="BC167" i="3"/>
  <c r="AX169" i="3"/>
  <c r="BM170" i="3"/>
  <c r="BN170" i="3"/>
  <c r="AV168" i="3"/>
  <c r="AO170" i="3"/>
  <c r="X170" i="3"/>
  <c r="AY168" i="3"/>
  <c r="Y170" i="3"/>
  <c r="Z170" i="3" s="1"/>
  <c r="BD167" i="3"/>
  <c r="BG167" i="3"/>
  <c r="BH167" i="3" s="1"/>
  <c r="BI167" i="3" s="1"/>
  <c r="AG170" i="3"/>
  <c r="AH170" i="3"/>
  <c r="AN170" i="3"/>
  <c r="AU169" i="3"/>
  <c r="AQ171" i="3"/>
  <c r="B171" i="3"/>
  <c r="A172" i="3"/>
  <c r="AR171" i="3"/>
  <c r="S171" i="3"/>
  <c r="R171" i="3"/>
  <c r="AM171" i="3"/>
  <c r="AK171" i="3"/>
  <c r="Q171" i="3"/>
  <c r="AD171" i="3"/>
  <c r="O171" i="3"/>
  <c r="M171" i="3"/>
  <c r="AE171" i="3"/>
  <c r="AF171" i="3"/>
  <c r="U171" i="3"/>
  <c r="V171" i="3"/>
  <c r="C171" i="3"/>
  <c r="D171" i="3"/>
  <c r="F171" i="3"/>
  <c r="BM171" i="3" s="1"/>
  <c r="G171" i="3"/>
  <c r="H171" i="3" s="1"/>
  <c r="BN171" i="3" s="1"/>
  <c r="T171" i="3"/>
  <c r="P171" i="3"/>
  <c r="BF167" i="3"/>
  <c r="BJ166" i="3" s="1"/>
  <c r="BK166" i="3" s="1"/>
  <c r="BB167" i="3"/>
  <c r="BQ167" i="3"/>
  <c r="AT169" i="3"/>
  <c r="AW169" i="3"/>
  <c r="BA168" i="3"/>
  <c r="AY169" i="3" l="1"/>
  <c r="AT170" i="3"/>
  <c r="BC168" i="3"/>
  <c r="AG171" i="3"/>
  <c r="AN171" i="3"/>
  <c r="AX170" i="3"/>
  <c r="BF168" i="3"/>
  <c r="BJ167" i="3" s="1"/>
  <c r="BK167" i="3" s="1"/>
  <c r="BB168" i="3"/>
  <c r="BQ168" i="3"/>
  <c r="BA169" i="3"/>
  <c r="AV169" i="3"/>
  <c r="Y171" i="3"/>
  <c r="Z171" i="3" s="1"/>
  <c r="AH171" i="3"/>
  <c r="AO171" i="3"/>
  <c r="AU170" i="3"/>
  <c r="AW170" i="3"/>
  <c r="A173" i="3"/>
  <c r="B172" i="3"/>
  <c r="AR172" i="3"/>
  <c r="AQ172" i="3"/>
  <c r="C172" i="3"/>
  <c r="AK172" i="3"/>
  <c r="AM172" i="3"/>
  <c r="S172" i="3"/>
  <c r="R172" i="3"/>
  <c r="D172" i="3"/>
  <c r="Q172" i="3"/>
  <c r="AD172" i="3"/>
  <c r="O172" i="3"/>
  <c r="AF172" i="3"/>
  <c r="M172" i="3"/>
  <c r="U172" i="3"/>
  <c r="P172" i="3"/>
  <c r="AE172" i="3"/>
  <c r="V172" i="3"/>
  <c r="G172" i="3"/>
  <c r="H172" i="3" s="1"/>
  <c r="BN172" i="3" s="1"/>
  <c r="F172" i="3"/>
  <c r="T172" i="3"/>
  <c r="X171" i="3"/>
  <c r="BC169" i="3" l="1"/>
  <c r="BM172" i="3"/>
  <c r="AV170" i="3"/>
  <c r="AT171" i="3"/>
  <c r="BG168" i="3"/>
  <c r="BH168" i="3" s="1"/>
  <c r="BI168" i="3" s="1"/>
  <c r="BD168" i="3"/>
  <c r="BA170" i="3"/>
  <c r="BF170" i="3" s="1"/>
  <c r="AW171" i="3"/>
  <c r="AY170" i="3"/>
  <c r="AO172" i="3"/>
  <c r="AX171" i="3"/>
  <c r="AU171" i="3"/>
  <c r="Y172" i="3"/>
  <c r="Z172" i="3" s="1"/>
  <c r="AR173" i="3"/>
  <c r="B173" i="3"/>
  <c r="AQ173" i="3"/>
  <c r="A174" i="3"/>
  <c r="AK173" i="3"/>
  <c r="AM173" i="3"/>
  <c r="T173" i="3"/>
  <c r="AD173" i="3"/>
  <c r="P173" i="3"/>
  <c r="R173" i="3"/>
  <c r="O173" i="3"/>
  <c r="AE173" i="3"/>
  <c r="AF173" i="3"/>
  <c r="M173" i="3"/>
  <c r="U173" i="3"/>
  <c r="V173" i="3"/>
  <c r="Q173" i="3"/>
  <c r="C173" i="3"/>
  <c r="D173" i="3"/>
  <c r="G173" i="3"/>
  <c r="H173" i="3" s="1"/>
  <c r="F173" i="3"/>
  <c r="S173" i="3"/>
  <c r="BD169" i="3"/>
  <c r="BG169" i="3"/>
  <c r="BH169" i="3" s="1"/>
  <c r="BI169" i="3" s="1"/>
  <c r="AN172" i="3"/>
  <c r="X172" i="3"/>
  <c r="AH172" i="3"/>
  <c r="AG172" i="3"/>
  <c r="BQ169" i="3"/>
  <c r="BF169" i="3"/>
  <c r="BJ168" i="3" s="1"/>
  <c r="BB169" i="3"/>
  <c r="BC170" i="3" l="1"/>
  <c r="BK168" i="3"/>
  <c r="BB170" i="3"/>
  <c r="BQ170" i="3"/>
  <c r="BM173" i="3"/>
  <c r="AO173" i="3"/>
  <c r="BA171" i="3"/>
  <c r="BF171" i="3" s="1"/>
  <c r="BJ170" i="3" s="1"/>
  <c r="AV171" i="3"/>
  <c r="AY171" i="3"/>
  <c r="BG170" i="3"/>
  <c r="BH170" i="3" s="1"/>
  <c r="BI170" i="3" s="1"/>
  <c r="BD170" i="3"/>
  <c r="AX172" i="3"/>
  <c r="Y173" i="3"/>
  <c r="Z173" i="3" s="1"/>
  <c r="BN173" i="3"/>
  <c r="AR174" i="3"/>
  <c r="B174" i="3"/>
  <c r="AQ174" i="3"/>
  <c r="A175" i="3"/>
  <c r="D174" i="3"/>
  <c r="T174" i="3"/>
  <c r="C174" i="3"/>
  <c r="AK174" i="3"/>
  <c r="AM174" i="3"/>
  <c r="Q174" i="3"/>
  <c r="S174" i="3"/>
  <c r="R174" i="3"/>
  <c r="AD174" i="3"/>
  <c r="O174" i="3"/>
  <c r="P174" i="3"/>
  <c r="AE174" i="3"/>
  <c r="M174" i="3"/>
  <c r="V174" i="3"/>
  <c r="U174" i="3"/>
  <c r="AF174" i="3"/>
  <c r="G174" i="3"/>
  <c r="H174" i="3" s="1"/>
  <c r="F174" i="3"/>
  <c r="AU172" i="3"/>
  <c r="AW172" i="3"/>
  <c r="AT172" i="3"/>
  <c r="X173" i="3"/>
  <c r="AG173" i="3"/>
  <c r="AH173" i="3"/>
  <c r="AN173" i="3"/>
  <c r="BJ169" i="3"/>
  <c r="BK169" i="3" s="1"/>
  <c r="BN174" i="3" l="1"/>
  <c r="AY172" i="3"/>
  <c r="BK170" i="3"/>
  <c r="BB171" i="3"/>
  <c r="BM174" i="3"/>
  <c r="BQ171" i="3"/>
  <c r="BC171" i="3"/>
  <c r="BD171" i="3" s="1"/>
  <c r="AU173" i="3"/>
  <c r="AT173" i="3"/>
  <c r="AH174" i="3"/>
  <c r="AN174" i="3"/>
  <c r="BA172" i="3"/>
  <c r="BQ172" i="3" s="1"/>
  <c r="Y174" i="3"/>
  <c r="Z174" i="3" s="1"/>
  <c r="AX173" i="3"/>
  <c r="X174" i="3"/>
  <c r="AQ175" i="3"/>
  <c r="B175" i="3"/>
  <c r="A176" i="3"/>
  <c r="AR175" i="3"/>
  <c r="D175" i="3"/>
  <c r="AK175" i="3"/>
  <c r="AM175" i="3"/>
  <c r="S175" i="3"/>
  <c r="R175" i="3"/>
  <c r="T175" i="3"/>
  <c r="AD175" i="3"/>
  <c r="P175" i="3"/>
  <c r="O175" i="3"/>
  <c r="AE175" i="3"/>
  <c r="M175" i="3"/>
  <c r="AF175" i="3"/>
  <c r="U175" i="3"/>
  <c r="V175" i="3"/>
  <c r="F175" i="3"/>
  <c r="Q175" i="3"/>
  <c r="C175" i="3"/>
  <c r="G175" i="3"/>
  <c r="H175" i="3" s="1"/>
  <c r="AW173" i="3"/>
  <c r="AV172" i="3"/>
  <c r="AG174" i="3"/>
  <c r="AO174" i="3"/>
  <c r="BC172" i="3" l="1"/>
  <c r="BG172" i="3" s="1"/>
  <c r="BH172" i="3" s="1"/>
  <c r="BI172" i="3" s="1"/>
  <c r="BB172" i="3"/>
  <c r="BN175" i="3"/>
  <c r="AV173" i="3"/>
  <c r="BG171" i="3"/>
  <c r="BH171" i="3" s="1"/>
  <c r="BI171" i="3" s="1"/>
  <c r="AG175" i="3"/>
  <c r="AY173" i="3"/>
  <c r="AO175" i="3"/>
  <c r="BF172" i="3"/>
  <c r="BJ171" i="3" s="1"/>
  <c r="BK171" i="3" s="1"/>
  <c r="AX174" i="3"/>
  <c r="Y175" i="3"/>
  <c r="Z175" i="3" s="1"/>
  <c r="A177" i="3"/>
  <c r="B176" i="3"/>
  <c r="AR176" i="3"/>
  <c r="AQ176" i="3"/>
  <c r="D176" i="3"/>
  <c r="AM176" i="3"/>
  <c r="AK176" i="3"/>
  <c r="T176" i="3"/>
  <c r="Q176" i="3"/>
  <c r="P176" i="3"/>
  <c r="R176" i="3"/>
  <c r="AD176" i="3"/>
  <c r="O176" i="3"/>
  <c r="AE176" i="3"/>
  <c r="M176" i="3"/>
  <c r="AF176" i="3"/>
  <c r="U176" i="3"/>
  <c r="V176" i="3"/>
  <c r="C176" i="3"/>
  <c r="F176" i="3"/>
  <c r="G176" i="3"/>
  <c r="H176" i="3" s="1"/>
  <c r="BN176" i="3" s="1"/>
  <c r="S176" i="3"/>
  <c r="AW174" i="3"/>
  <c r="X175" i="3"/>
  <c r="BM175" i="3"/>
  <c r="AH175" i="3"/>
  <c r="AN175" i="3"/>
  <c r="AT174" i="3"/>
  <c r="BA173" i="3"/>
  <c r="AU174" i="3"/>
  <c r="BD172" i="3" l="1"/>
  <c r="AX175" i="3"/>
  <c r="BC173" i="3"/>
  <c r="BG173" i="3" s="1"/>
  <c r="BH173" i="3" s="1"/>
  <c r="BI173" i="3" s="1"/>
  <c r="BM176" i="3"/>
  <c r="AN176" i="3"/>
  <c r="BQ173" i="3"/>
  <c r="BB173" i="3"/>
  <c r="BF173" i="3"/>
  <c r="BJ172" i="3" s="1"/>
  <c r="BK172" i="3" s="1"/>
  <c r="BA174" i="3"/>
  <c r="AY174" i="3"/>
  <c r="Y176" i="3"/>
  <c r="Z176" i="3" s="1"/>
  <c r="AR177" i="3"/>
  <c r="B177" i="3"/>
  <c r="AQ177" i="3"/>
  <c r="A178" i="3"/>
  <c r="R177" i="3"/>
  <c r="AM177" i="3"/>
  <c r="AK177" i="3"/>
  <c r="Q177" i="3"/>
  <c r="AD177" i="3"/>
  <c r="O177" i="3"/>
  <c r="AF177" i="3"/>
  <c r="AE177" i="3"/>
  <c r="P177" i="3"/>
  <c r="M177" i="3"/>
  <c r="V177" i="3"/>
  <c r="U177" i="3"/>
  <c r="D177" i="3"/>
  <c r="G177" i="3"/>
  <c r="H177" i="3" s="1"/>
  <c r="C177" i="3"/>
  <c r="F177" i="3"/>
  <c r="S177" i="3"/>
  <c r="T177" i="3"/>
  <c r="AU175" i="3"/>
  <c r="X176" i="3"/>
  <c r="AH176" i="3"/>
  <c r="AT175" i="3"/>
  <c r="AV174" i="3"/>
  <c r="AW175" i="3"/>
  <c r="AY175" i="3" s="1"/>
  <c r="AO176" i="3"/>
  <c r="AG176" i="3"/>
  <c r="BD173" i="3" l="1"/>
  <c r="BC174" i="3"/>
  <c r="BD174" i="3" s="1"/>
  <c r="AO177" i="3"/>
  <c r="AW176" i="3"/>
  <c r="AT176" i="3"/>
  <c r="X177" i="3"/>
  <c r="BA175" i="3"/>
  <c r="AV175" i="3"/>
  <c r="BC175" i="3" s="1"/>
  <c r="AR178" i="3"/>
  <c r="B178" i="3"/>
  <c r="AQ178" i="3"/>
  <c r="A179" i="3"/>
  <c r="AM178" i="3"/>
  <c r="AK178" i="3"/>
  <c r="S178" i="3"/>
  <c r="T178" i="3"/>
  <c r="C178" i="3"/>
  <c r="Q178" i="3"/>
  <c r="AD178" i="3"/>
  <c r="P178" i="3"/>
  <c r="O178" i="3"/>
  <c r="AE178" i="3"/>
  <c r="AF178" i="3"/>
  <c r="M178" i="3"/>
  <c r="U178" i="3"/>
  <c r="V178" i="3"/>
  <c r="D178" i="3"/>
  <c r="F178" i="3"/>
  <c r="R178" i="3"/>
  <c r="G178" i="3"/>
  <c r="H178" i="3" s="1"/>
  <c r="AH177" i="3"/>
  <c r="AU176" i="3"/>
  <c r="Y177" i="3"/>
  <c r="Z177" i="3" s="1"/>
  <c r="BM177" i="3"/>
  <c r="BN177" i="3"/>
  <c r="AG177" i="3"/>
  <c r="AN177" i="3"/>
  <c r="BF174" i="3"/>
  <c r="BJ173" i="3" s="1"/>
  <c r="BK173" i="3" s="1"/>
  <c r="BQ174" i="3"/>
  <c r="BB174" i="3"/>
  <c r="AX176" i="3"/>
  <c r="BN178" i="3" l="1"/>
  <c r="BM178" i="3"/>
  <c r="BG174" i="3"/>
  <c r="BH174" i="3" s="1"/>
  <c r="BI174" i="3" s="1"/>
  <c r="AT177" i="3"/>
  <c r="AG178" i="3"/>
  <c r="AY176" i="3"/>
  <c r="AW177" i="3"/>
  <c r="AO178" i="3"/>
  <c r="BA176" i="3"/>
  <c r="BB176" i="3" s="1"/>
  <c r="AU177" i="3"/>
  <c r="AX177" i="3"/>
  <c r="Y178" i="3"/>
  <c r="Z178" i="3" s="1"/>
  <c r="BB175" i="3"/>
  <c r="BF175" i="3"/>
  <c r="BJ174" i="3" s="1"/>
  <c r="BQ175" i="3"/>
  <c r="AH178" i="3"/>
  <c r="X178" i="3"/>
  <c r="AN178" i="3"/>
  <c r="AV176" i="3"/>
  <c r="AQ179" i="3"/>
  <c r="B179" i="3"/>
  <c r="A180" i="3"/>
  <c r="AR179" i="3"/>
  <c r="D179" i="3"/>
  <c r="AM179" i="3"/>
  <c r="AK179" i="3"/>
  <c r="S179" i="3"/>
  <c r="Q179" i="3"/>
  <c r="C179" i="3"/>
  <c r="AD179" i="3"/>
  <c r="R179" i="3"/>
  <c r="P179" i="3"/>
  <c r="O179" i="3"/>
  <c r="M179" i="3"/>
  <c r="AE179" i="3"/>
  <c r="AF179" i="3"/>
  <c r="V179" i="3"/>
  <c r="U179" i="3"/>
  <c r="G179" i="3"/>
  <c r="H179" i="3" s="1"/>
  <c r="F179" i="3"/>
  <c r="T179" i="3"/>
  <c r="BD175" i="3"/>
  <c r="BG175" i="3"/>
  <c r="BH175" i="3" s="1"/>
  <c r="BI175" i="3" s="1"/>
  <c r="AV177" i="3" l="1"/>
  <c r="AY177" i="3"/>
  <c r="BK174" i="3"/>
  <c r="BM179" i="3"/>
  <c r="BC176" i="3"/>
  <c r="BG176" i="3" s="1"/>
  <c r="BH176" i="3" s="1"/>
  <c r="BI176" i="3" s="1"/>
  <c r="AW178" i="3"/>
  <c r="AO179" i="3"/>
  <c r="AT178" i="3"/>
  <c r="BQ176" i="3"/>
  <c r="BF176" i="3"/>
  <c r="BJ175" i="3" s="1"/>
  <c r="BK175" i="3" s="1"/>
  <c r="BA177" i="3"/>
  <c r="BF177" i="3" s="1"/>
  <c r="Y179" i="3"/>
  <c r="Z179" i="3" s="1"/>
  <c r="BN179" i="3"/>
  <c r="AG179" i="3"/>
  <c r="X179" i="3"/>
  <c r="AN179" i="3"/>
  <c r="AU178" i="3"/>
  <c r="A181" i="3"/>
  <c r="B180" i="3"/>
  <c r="AR180" i="3"/>
  <c r="AQ180" i="3"/>
  <c r="D180" i="3"/>
  <c r="S180" i="3"/>
  <c r="R180" i="3"/>
  <c r="AM180" i="3"/>
  <c r="AK180" i="3"/>
  <c r="Q180" i="3"/>
  <c r="P180" i="3"/>
  <c r="AD180" i="3"/>
  <c r="O180" i="3"/>
  <c r="AE180" i="3"/>
  <c r="AF180" i="3"/>
  <c r="M180" i="3"/>
  <c r="U180" i="3"/>
  <c r="V180" i="3"/>
  <c r="G180" i="3"/>
  <c r="H180" i="3" s="1"/>
  <c r="C180" i="3"/>
  <c r="F180" i="3"/>
  <c r="T180" i="3"/>
  <c r="AH179" i="3"/>
  <c r="AX178" i="3"/>
  <c r="BC177" i="3" l="1"/>
  <c r="BG177" i="3" s="1"/>
  <c r="BH177" i="3" s="1"/>
  <c r="BI177" i="3" s="1"/>
  <c r="BD176" i="3"/>
  <c r="BN180" i="3"/>
  <c r="AU179" i="3"/>
  <c r="AV178" i="3"/>
  <c r="AG180" i="3"/>
  <c r="AY178" i="3"/>
  <c r="BC178" i="3" s="1"/>
  <c r="AN180" i="3"/>
  <c r="BB177" i="3"/>
  <c r="BQ177" i="3"/>
  <c r="BJ176" i="3"/>
  <c r="BK176" i="3" s="1"/>
  <c r="Y180" i="3"/>
  <c r="Z180" i="3" s="1"/>
  <c r="AW179" i="3"/>
  <c r="AX179" i="3"/>
  <c r="X180" i="3"/>
  <c r="BM180" i="3"/>
  <c r="AR181" i="3"/>
  <c r="B181" i="3"/>
  <c r="AQ181" i="3"/>
  <c r="A182" i="3"/>
  <c r="D181" i="3"/>
  <c r="AM181" i="3"/>
  <c r="AK181" i="3"/>
  <c r="T181" i="3"/>
  <c r="P181" i="3"/>
  <c r="R181" i="3"/>
  <c r="Q181" i="3"/>
  <c r="AD181" i="3"/>
  <c r="O181" i="3"/>
  <c r="AE181" i="3"/>
  <c r="AF181" i="3"/>
  <c r="M181" i="3"/>
  <c r="U181" i="3"/>
  <c r="V181" i="3"/>
  <c r="C181" i="3"/>
  <c r="G181" i="3"/>
  <c r="H181" i="3" s="1"/>
  <c r="F181" i="3"/>
  <c r="BM181" i="3" s="1"/>
  <c r="S181" i="3"/>
  <c r="BA178" i="3"/>
  <c r="AO180" i="3"/>
  <c r="AH180" i="3"/>
  <c r="AT179" i="3"/>
  <c r="BD177" i="3" l="1"/>
  <c r="AT180" i="3"/>
  <c r="BN181" i="3"/>
  <c r="AG181" i="3"/>
  <c r="AN181" i="3"/>
  <c r="AX180" i="3"/>
  <c r="AW180" i="3"/>
  <c r="AU180" i="3"/>
  <c r="AV180" i="3" s="1"/>
  <c r="X181" i="3"/>
  <c r="AV179" i="3"/>
  <c r="BA179" i="3"/>
  <c r="BD178" i="3"/>
  <c r="BG178" i="3"/>
  <c r="BH178" i="3" s="1"/>
  <c r="BI178" i="3" s="1"/>
  <c r="Y181" i="3"/>
  <c r="Z181" i="3" s="1"/>
  <c r="AH181" i="3"/>
  <c r="AO181" i="3"/>
  <c r="AY179" i="3"/>
  <c r="BB178" i="3"/>
  <c r="BF178" i="3"/>
  <c r="BJ177" i="3" s="1"/>
  <c r="BK177" i="3" s="1"/>
  <c r="BQ178" i="3"/>
  <c r="AR182" i="3"/>
  <c r="B182" i="3"/>
  <c r="AQ182" i="3"/>
  <c r="A183" i="3"/>
  <c r="C182" i="3"/>
  <c r="AK182" i="3"/>
  <c r="AM182" i="3"/>
  <c r="Q182" i="3"/>
  <c r="R182" i="3"/>
  <c r="AD182" i="3"/>
  <c r="O182" i="3"/>
  <c r="M182" i="3"/>
  <c r="AE182" i="3"/>
  <c r="U182" i="3"/>
  <c r="P182" i="3"/>
  <c r="AF182" i="3"/>
  <c r="V182" i="3"/>
  <c r="D182" i="3"/>
  <c r="G182" i="3"/>
  <c r="H182" i="3" s="1"/>
  <c r="F182" i="3"/>
  <c r="T182" i="3"/>
  <c r="S182" i="3"/>
  <c r="AU181" i="3" l="1"/>
  <c r="BN182" i="3"/>
  <c r="BM182" i="3"/>
  <c r="BA180" i="3"/>
  <c r="BQ180" i="3" s="1"/>
  <c r="AY180" i="3"/>
  <c r="BC180" i="3" s="1"/>
  <c r="AX181" i="3"/>
  <c r="AN182" i="3"/>
  <c r="AW181" i="3"/>
  <c r="AG182" i="3"/>
  <c r="Y182" i="3"/>
  <c r="Z182" i="3" s="1"/>
  <c r="AQ183" i="3"/>
  <c r="B183" i="3"/>
  <c r="A184" i="3"/>
  <c r="AR183" i="3"/>
  <c r="D183" i="3"/>
  <c r="AM183" i="3"/>
  <c r="T183" i="3"/>
  <c r="AK183" i="3"/>
  <c r="R183" i="3"/>
  <c r="AD183" i="3"/>
  <c r="P183" i="3"/>
  <c r="O183" i="3"/>
  <c r="AE183" i="3"/>
  <c r="U183" i="3"/>
  <c r="V183" i="3"/>
  <c r="M183" i="3"/>
  <c r="AF183" i="3"/>
  <c r="C183" i="3"/>
  <c r="Q183" i="3"/>
  <c r="G183" i="3"/>
  <c r="H183" i="3" s="1"/>
  <c r="F183" i="3"/>
  <c r="S183" i="3"/>
  <c r="X182" i="3"/>
  <c r="AH182" i="3"/>
  <c r="AO182" i="3"/>
  <c r="AT181" i="3"/>
  <c r="BC179" i="3"/>
  <c r="BQ179" i="3"/>
  <c r="BF179" i="3"/>
  <c r="BJ178" i="3" s="1"/>
  <c r="BK178" i="3" s="1"/>
  <c r="BB179" i="3"/>
  <c r="AY181" i="3" l="1"/>
  <c r="AO183" i="3"/>
  <c r="BB180" i="3"/>
  <c r="BN183" i="3"/>
  <c r="BF180" i="3"/>
  <c r="BJ179" i="3" s="1"/>
  <c r="BD180" i="3"/>
  <c r="BG180" i="3"/>
  <c r="BH180" i="3" s="1"/>
  <c r="BI180" i="3" s="1"/>
  <c r="AT182" i="3"/>
  <c r="AX182" i="3"/>
  <c r="X183" i="3"/>
  <c r="AV181" i="3"/>
  <c r="BA181" i="3"/>
  <c r="BD179" i="3"/>
  <c r="BG179" i="3"/>
  <c r="BH179" i="3" s="1"/>
  <c r="BI179" i="3" s="1"/>
  <c r="Y183" i="3"/>
  <c r="Z183" i="3" s="1"/>
  <c r="A185" i="3"/>
  <c r="B184" i="3"/>
  <c r="AR184" i="3"/>
  <c r="AQ184" i="3"/>
  <c r="AM184" i="3"/>
  <c r="T184" i="3"/>
  <c r="AK184" i="3"/>
  <c r="S184" i="3"/>
  <c r="R184" i="3"/>
  <c r="Q184" i="3"/>
  <c r="AD184" i="3"/>
  <c r="P184" i="3"/>
  <c r="O184" i="3"/>
  <c r="AE184" i="3"/>
  <c r="AF184" i="3"/>
  <c r="V184" i="3"/>
  <c r="M184" i="3"/>
  <c r="U184" i="3"/>
  <c r="D184" i="3"/>
  <c r="G184" i="3"/>
  <c r="H184" i="3" s="1"/>
  <c r="C184" i="3"/>
  <c r="F184" i="3"/>
  <c r="AU182" i="3"/>
  <c r="AW182" i="3"/>
  <c r="BM183" i="3"/>
  <c r="AH183" i="3"/>
  <c r="AG183" i="3"/>
  <c r="AN183" i="3"/>
  <c r="AO184" i="3" l="1"/>
  <c r="BC181" i="3"/>
  <c r="BK179" i="3"/>
  <c r="BM184" i="3"/>
  <c r="BN184" i="3"/>
  <c r="AT183" i="3"/>
  <c r="AG184" i="3"/>
  <c r="AY182" i="3"/>
  <c r="AH184" i="3"/>
  <c r="BA182" i="3"/>
  <c r="BF182" i="3" s="1"/>
  <c r="Y184" i="3"/>
  <c r="Z184" i="3" s="1"/>
  <c r="AR185" i="3"/>
  <c r="B185" i="3"/>
  <c r="AQ185" i="3"/>
  <c r="A186" i="3"/>
  <c r="C185" i="3"/>
  <c r="D185" i="3"/>
  <c r="AK185" i="3"/>
  <c r="AM185" i="3"/>
  <c r="Q185" i="3"/>
  <c r="AD185" i="3"/>
  <c r="P185" i="3"/>
  <c r="T185" i="3"/>
  <c r="O185" i="3"/>
  <c r="M185" i="3"/>
  <c r="AE185" i="3"/>
  <c r="AF185" i="3"/>
  <c r="U185" i="3"/>
  <c r="V185" i="3"/>
  <c r="G185" i="3"/>
  <c r="H185" i="3" s="1"/>
  <c r="R185" i="3"/>
  <c r="F185" i="3"/>
  <c r="BM185" i="3" s="1"/>
  <c r="S185" i="3"/>
  <c r="BD181" i="3"/>
  <c r="BG181" i="3"/>
  <c r="BH181" i="3" s="1"/>
  <c r="BI181" i="3" s="1"/>
  <c r="AW183" i="3"/>
  <c r="X184" i="3"/>
  <c r="AN184" i="3"/>
  <c r="AV182" i="3"/>
  <c r="AU183" i="3"/>
  <c r="AX183" i="3"/>
  <c r="BB181" i="3"/>
  <c r="BQ181" i="3"/>
  <c r="BF181" i="3"/>
  <c r="BJ180" i="3" s="1"/>
  <c r="BK180" i="3" s="1"/>
  <c r="BC182" i="3" l="1"/>
  <c r="BD182" i="3" s="1"/>
  <c r="AT184" i="3"/>
  <c r="BN185" i="3"/>
  <c r="AW184" i="3"/>
  <c r="AU184" i="3"/>
  <c r="AO185" i="3"/>
  <c r="AX184" i="3"/>
  <c r="AG185" i="3"/>
  <c r="BB182" i="3"/>
  <c r="BQ182" i="3"/>
  <c r="BA183" i="3"/>
  <c r="BQ183" i="3" s="1"/>
  <c r="Y185" i="3"/>
  <c r="Z185" i="3" s="1"/>
  <c r="AR186" i="3"/>
  <c r="B186" i="3"/>
  <c r="AQ186" i="3"/>
  <c r="A187" i="3"/>
  <c r="AM186" i="3"/>
  <c r="S186" i="3"/>
  <c r="AK186" i="3"/>
  <c r="AO186" i="3" s="1"/>
  <c r="T186" i="3"/>
  <c r="Q186" i="3"/>
  <c r="R186" i="3"/>
  <c r="AD186" i="3"/>
  <c r="P186" i="3"/>
  <c r="O186" i="3"/>
  <c r="AE186" i="3"/>
  <c r="U186" i="3"/>
  <c r="AF186" i="3"/>
  <c r="M186" i="3"/>
  <c r="V186" i="3"/>
  <c r="D186" i="3"/>
  <c r="G186" i="3"/>
  <c r="H186" i="3" s="1"/>
  <c r="C186" i="3"/>
  <c r="F186" i="3"/>
  <c r="AY183" i="3"/>
  <c r="X185" i="3"/>
  <c r="AH185" i="3"/>
  <c r="AN185" i="3"/>
  <c r="BJ181" i="3"/>
  <c r="BK181" i="3" s="1"/>
  <c r="AV183" i="3"/>
  <c r="BG182" i="3" l="1"/>
  <c r="BH182" i="3" s="1"/>
  <c r="BI182" i="3" s="1"/>
  <c r="AV184" i="3"/>
  <c r="BA184" i="3"/>
  <c r="BQ184" i="3" s="1"/>
  <c r="AY184" i="3"/>
  <c r="AT185" i="3"/>
  <c r="AW185" i="3"/>
  <c r="BB183" i="3"/>
  <c r="BF183" i="3"/>
  <c r="BJ182" i="3" s="1"/>
  <c r="BK182" i="3" s="1"/>
  <c r="X186" i="3"/>
  <c r="AU185" i="3"/>
  <c r="AX185" i="3"/>
  <c r="AH186" i="3"/>
  <c r="AG186" i="3"/>
  <c r="AQ187" i="3"/>
  <c r="B187" i="3"/>
  <c r="A188" i="3"/>
  <c r="AR187" i="3"/>
  <c r="D187" i="3"/>
  <c r="AK187" i="3"/>
  <c r="AM187" i="3"/>
  <c r="R187" i="3"/>
  <c r="Q187" i="3"/>
  <c r="AD187" i="3"/>
  <c r="P187" i="3"/>
  <c r="O187" i="3"/>
  <c r="M187" i="3"/>
  <c r="V187" i="3"/>
  <c r="U187" i="3"/>
  <c r="AE187" i="3"/>
  <c r="AF187" i="3"/>
  <c r="C187" i="3"/>
  <c r="G187" i="3"/>
  <c r="H187" i="3" s="1"/>
  <c r="BN187" i="3" s="1"/>
  <c r="F187" i="3"/>
  <c r="T187" i="3"/>
  <c r="S187" i="3"/>
  <c r="BC183" i="3"/>
  <c r="BM186" i="3"/>
  <c r="BN186" i="3"/>
  <c r="Y186" i="3"/>
  <c r="Z186" i="3" s="1"/>
  <c r="AN186" i="3"/>
  <c r="BM187" i="3" l="1"/>
  <c r="BC184" i="3"/>
  <c r="BD184" i="3" s="1"/>
  <c r="BF184" i="3"/>
  <c r="BJ183" i="3" s="1"/>
  <c r="BB184" i="3"/>
  <c r="AN187" i="3"/>
  <c r="AV185" i="3"/>
  <c r="AY185" i="3"/>
  <c r="BG184" i="3"/>
  <c r="BH184" i="3" s="1"/>
  <c r="BI184" i="3" s="1"/>
  <c r="AU186" i="3"/>
  <c r="AT186" i="3"/>
  <c r="BD183" i="3"/>
  <c r="BG183" i="3"/>
  <c r="BH183" i="3" s="1"/>
  <c r="BI183" i="3" s="1"/>
  <c r="X187" i="3"/>
  <c r="AG187" i="3"/>
  <c r="AH187" i="3"/>
  <c r="AO187" i="3"/>
  <c r="AW186" i="3"/>
  <c r="BA185" i="3"/>
  <c r="Y187" i="3"/>
  <c r="Z187" i="3" s="1"/>
  <c r="A189" i="3"/>
  <c r="B188" i="3"/>
  <c r="AR188" i="3"/>
  <c r="AQ188" i="3"/>
  <c r="D188" i="3"/>
  <c r="AK188" i="3"/>
  <c r="T188" i="3"/>
  <c r="Q188" i="3"/>
  <c r="AM188" i="3"/>
  <c r="S188" i="3"/>
  <c r="AD188" i="3"/>
  <c r="O188" i="3"/>
  <c r="P188" i="3"/>
  <c r="AE188" i="3"/>
  <c r="AF188" i="3"/>
  <c r="V188" i="3"/>
  <c r="U188" i="3"/>
  <c r="M188" i="3"/>
  <c r="C188" i="3"/>
  <c r="F188" i="3"/>
  <c r="R188" i="3"/>
  <c r="G188" i="3"/>
  <c r="H188" i="3" s="1"/>
  <c r="AX186" i="3"/>
  <c r="BK183" i="3" l="1"/>
  <c r="AN188" i="3"/>
  <c r="BC185" i="3"/>
  <c r="BD185" i="3" s="1"/>
  <c r="AV186" i="3"/>
  <c r="AU187" i="3"/>
  <c r="AT187" i="3"/>
  <c r="X188" i="3"/>
  <c r="AR189" i="3"/>
  <c r="B189" i="3"/>
  <c r="AQ189" i="3"/>
  <c r="A190" i="3"/>
  <c r="Q189" i="3"/>
  <c r="D189" i="3"/>
  <c r="AK189" i="3"/>
  <c r="AM189" i="3"/>
  <c r="R189" i="3"/>
  <c r="AD189" i="3"/>
  <c r="P189" i="3"/>
  <c r="M189" i="3"/>
  <c r="V189" i="3"/>
  <c r="O189" i="3"/>
  <c r="AE189" i="3"/>
  <c r="AF189" i="3"/>
  <c r="U189" i="3"/>
  <c r="F189" i="3"/>
  <c r="C189" i="3"/>
  <c r="G189" i="3"/>
  <c r="H189" i="3" s="1"/>
  <c r="T189" i="3"/>
  <c r="S189" i="3"/>
  <c r="BQ185" i="3"/>
  <c r="BB185" i="3"/>
  <c r="BF185" i="3"/>
  <c r="BJ184" i="3" s="1"/>
  <c r="BK184" i="3" s="1"/>
  <c r="AH188" i="3"/>
  <c r="BN188" i="3"/>
  <c r="BM188" i="3"/>
  <c r="AG188" i="3"/>
  <c r="AO188" i="3"/>
  <c r="AX187" i="3"/>
  <c r="Y188" i="3"/>
  <c r="Z188" i="3" s="1"/>
  <c r="AY186" i="3"/>
  <c r="AW187" i="3"/>
  <c r="BA186" i="3"/>
  <c r="BN189" i="3" l="1"/>
  <c r="BG185" i="3"/>
  <c r="BH185" i="3" s="1"/>
  <c r="BI185" i="3" s="1"/>
  <c r="BC186" i="3"/>
  <c r="BD186" i="3" s="1"/>
  <c r="AO189" i="3"/>
  <c r="AV187" i="3"/>
  <c r="AU188" i="3"/>
  <c r="AW188" i="3"/>
  <c r="AG189" i="3"/>
  <c r="AT188" i="3"/>
  <c r="X189" i="3"/>
  <c r="BA187" i="3"/>
  <c r="BF187" i="3" s="1"/>
  <c r="BQ186" i="3"/>
  <c r="BB186" i="3"/>
  <c r="BF186" i="3"/>
  <c r="AY187" i="3"/>
  <c r="Y189" i="3"/>
  <c r="Z189" i="3" s="1"/>
  <c r="AR190" i="3"/>
  <c r="B190" i="3"/>
  <c r="AQ190" i="3"/>
  <c r="A191" i="3"/>
  <c r="D190" i="3"/>
  <c r="C190" i="3"/>
  <c r="AM190" i="3"/>
  <c r="S190" i="3"/>
  <c r="R190" i="3"/>
  <c r="AK190" i="3"/>
  <c r="Q190" i="3"/>
  <c r="P190" i="3"/>
  <c r="AD190" i="3"/>
  <c r="O190" i="3"/>
  <c r="AE190" i="3"/>
  <c r="M190" i="3"/>
  <c r="AF190" i="3"/>
  <c r="U190" i="3"/>
  <c r="V190" i="3"/>
  <c r="G190" i="3"/>
  <c r="H190" i="3" s="1"/>
  <c r="F190" i="3"/>
  <c r="T190" i="3"/>
  <c r="AX188" i="3"/>
  <c r="BM189" i="3"/>
  <c r="AH189" i="3"/>
  <c r="AN189" i="3"/>
  <c r="BC187" i="3" l="1"/>
  <c r="BD187" i="3" s="1"/>
  <c r="BG186" i="3"/>
  <c r="BH186" i="3" s="1"/>
  <c r="BI186" i="3" s="1"/>
  <c r="BN190" i="3"/>
  <c r="AV188" i="3"/>
  <c r="BA188" i="3"/>
  <c r="BQ188" i="3" s="1"/>
  <c r="BB187" i="3"/>
  <c r="AO190" i="3"/>
  <c r="BQ187" i="3"/>
  <c r="AX189" i="3"/>
  <c r="AY188" i="3"/>
  <c r="BM190" i="3"/>
  <c r="AG190" i="3"/>
  <c r="AH190" i="3"/>
  <c r="AN190" i="3"/>
  <c r="AU189" i="3"/>
  <c r="AQ191" i="3"/>
  <c r="B191" i="3"/>
  <c r="A192" i="3"/>
  <c r="AR191" i="3"/>
  <c r="AM191" i="3"/>
  <c r="Q191" i="3"/>
  <c r="C191" i="3"/>
  <c r="AK191" i="3"/>
  <c r="AD191" i="3"/>
  <c r="O191" i="3"/>
  <c r="S191" i="3"/>
  <c r="P191" i="3"/>
  <c r="AE191" i="3"/>
  <c r="AF191" i="3"/>
  <c r="V191" i="3"/>
  <c r="M191" i="3"/>
  <c r="U191" i="3"/>
  <c r="F191" i="3"/>
  <c r="R191" i="3"/>
  <c r="D191" i="3"/>
  <c r="G191" i="3"/>
  <c r="H191" i="3" s="1"/>
  <c r="T191" i="3"/>
  <c r="BJ186" i="3"/>
  <c r="BK186" i="3" s="1"/>
  <c r="BJ185" i="3"/>
  <c r="BK185" i="3" s="1"/>
  <c r="Y190" i="3"/>
  <c r="Z190" i="3" s="1"/>
  <c r="X190" i="3"/>
  <c r="AT189" i="3"/>
  <c r="AW189" i="3"/>
  <c r="BG187" i="3" l="1"/>
  <c r="BH187" i="3" s="1"/>
  <c r="BI187" i="3" s="1"/>
  <c r="AO191" i="3"/>
  <c r="BM191" i="3"/>
  <c r="BB188" i="3"/>
  <c r="BF188" i="3"/>
  <c r="BJ187" i="3" s="1"/>
  <c r="BK187" i="3" s="1"/>
  <c r="BC188" i="3"/>
  <c r="BG188" i="3" s="1"/>
  <c r="BH188" i="3" s="1"/>
  <c r="BI188" i="3" s="1"/>
  <c r="AY189" i="3"/>
  <c r="AT190" i="3"/>
  <c r="AU190" i="3"/>
  <c r="Y191" i="3"/>
  <c r="Z191" i="3" s="1"/>
  <c r="A193" i="3"/>
  <c r="B192" i="3"/>
  <c r="AR192" i="3"/>
  <c r="AQ192" i="3"/>
  <c r="D192" i="3"/>
  <c r="C192" i="3"/>
  <c r="AM192" i="3"/>
  <c r="AK192" i="3"/>
  <c r="R192" i="3"/>
  <c r="AD192" i="3"/>
  <c r="Q192" i="3"/>
  <c r="P192" i="3"/>
  <c r="O192" i="3"/>
  <c r="V192" i="3"/>
  <c r="AE192" i="3"/>
  <c r="M192" i="3"/>
  <c r="AF192" i="3"/>
  <c r="U192" i="3"/>
  <c r="G192" i="3"/>
  <c r="H192" i="3" s="1"/>
  <c r="F192" i="3"/>
  <c r="S192" i="3"/>
  <c r="T192" i="3"/>
  <c r="BN191" i="3"/>
  <c r="AG191" i="3"/>
  <c r="AH191" i="3"/>
  <c r="X191" i="3"/>
  <c r="AN191" i="3"/>
  <c r="AX190" i="3"/>
  <c r="BA189" i="3"/>
  <c r="AV189" i="3"/>
  <c r="AW190" i="3"/>
  <c r="BM192" i="3" l="1"/>
  <c r="BN192" i="3"/>
  <c r="BC189" i="3"/>
  <c r="BG189" i="3" s="1"/>
  <c r="BH189" i="3" s="1"/>
  <c r="BI189" i="3" s="1"/>
  <c r="BD188" i="3"/>
  <c r="AV190" i="3"/>
  <c r="AW191" i="3"/>
  <c r="AO192" i="3"/>
  <c r="AH192" i="3"/>
  <c r="AY190" i="3"/>
  <c r="Y192" i="3"/>
  <c r="Z192" i="3" s="1"/>
  <c r="AR193" i="3"/>
  <c r="B193" i="3"/>
  <c r="AQ193" i="3"/>
  <c r="A194" i="3"/>
  <c r="AK193" i="3"/>
  <c r="T193" i="3"/>
  <c r="Q193" i="3"/>
  <c r="AM193" i="3"/>
  <c r="C193" i="3"/>
  <c r="S193" i="3"/>
  <c r="R193" i="3"/>
  <c r="AD193" i="3"/>
  <c r="P193" i="3"/>
  <c r="M193" i="3"/>
  <c r="O193" i="3"/>
  <c r="AF193" i="3"/>
  <c r="AE193" i="3"/>
  <c r="V193" i="3"/>
  <c r="U193" i="3"/>
  <c r="D193" i="3"/>
  <c r="F193" i="3"/>
  <c r="BM193" i="3" s="1"/>
  <c r="G193" i="3"/>
  <c r="H193" i="3" s="1"/>
  <c r="AT191" i="3"/>
  <c r="AX191" i="3"/>
  <c r="X192" i="3"/>
  <c r="AG192" i="3"/>
  <c r="AN192" i="3"/>
  <c r="BA190" i="3"/>
  <c r="BB189" i="3"/>
  <c r="BQ189" i="3"/>
  <c r="BF189" i="3"/>
  <c r="BJ188" i="3" s="1"/>
  <c r="BK188" i="3" s="1"/>
  <c r="AU191" i="3"/>
  <c r="BD189" i="3" l="1"/>
  <c r="BN193" i="3"/>
  <c r="AT192" i="3"/>
  <c r="AY191" i="3"/>
  <c r="BC190" i="3"/>
  <c r="BD190" i="3" s="1"/>
  <c r="AN193" i="3"/>
  <c r="AX192" i="3"/>
  <c r="AU192" i="3"/>
  <c r="BA191" i="3"/>
  <c r="AV191" i="3"/>
  <c r="Y193" i="3"/>
  <c r="Z193" i="3" s="1"/>
  <c r="AR194" i="3"/>
  <c r="B194" i="3"/>
  <c r="AQ194" i="3"/>
  <c r="A195" i="3"/>
  <c r="C194" i="3"/>
  <c r="AK194" i="3"/>
  <c r="S194" i="3"/>
  <c r="AM194" i="3"/>
  <c r="R194" i="3"/>
  <c r="Q194" i="3"/>
  <c r="AD194" i="3"/>
  <c r="P194" i="3"/>
  <c r="AE194" i="3"/>
  <c r="V194" i="3"/>
  <c r="O194" i="3"/>
  <c r="M194" i="3"/>
  <c r="AF194" i="3"/>
  <c r="U194" i="3"/>
  <c r="G194" i="3"/>
  <c r="H194" i="3" s="1"/>
  <c r="F194" i="3"/>
  <c r="D194" i="3"/>
  <c r="T194" i="3"/>
  <c r="BB190" i="3"/>
  <c r="BQ190" i="3"/>
  <c r="BF190" i="3"/>
  <c r="BJ189" i="3" s="1"/>
  <c r="BK189" i="3" s="1"/>
  <c r="AH193" i="3"/>
  <c r="AW192" i="3"/>
  <c r="AG193" i="3"/>
  <c r="X193" i="3"/>
  <c r="AO193" i="3"/>
  <c r="AN194" i="3" l="1"/>
  <c r="BC191" i="3"/>
  <c r="BG191" i="3" s="1"/>
  <c r="BH191" i="3" s="1"/>
  <c r="BI191" i="3" s="1"/>
  <c r="AY192" i="3"/>
  <c r="BG190" i="3"/>
  <c r="BH190" i="3" s="1"/>
  <c r="BI190" i="3" s="1"/>
  <c r="AV192" i="3"/>
  <c r="BN194" i="3"/>
  <c r="AU193" i="3"/>
  <c r="AT193" i="3"/>
  <c r="BQ191" i="3"/>
  <c r="BF191" i="3"/>
  <c r="BJ190" i="3" s="1"/>
  <c r="BB191" i="3"/>
  <c r="AH194" i="3"/>
  <c r="X194" i="3"/>
  <c r="AQ195" i="3"/>
  <c r="B195" i="3"/>
  <c r="A196" i="3"/>
  <c r="AR195" i="3"/>
  <c r="AM195" i="3"/>
  <c r="D195" i="3"/>
  <c r="AK195" i="3"/>
  <c r="R195" i="3"/>
  <c r="T195" i="3"/>
  <c r="P195" i="3"/>
  <c r="S195" i="3"/>
  <c r="Q195" i="3"/>
  <c r="AD195" i="3"/>
  <c r="AE195" i="3"/>
  <c r="O195" i="3"/>
  <c r="M195" i="3"/>
  <c r="AF195" i="3"/>
  <c r="V195" i="3"/>
  <c r="U195" i="3"/>
  <c r="G195" i="3"/>
  <c r="H195" i="3" s="1"/>
  <c r="C195" i="3"/>
  <c r="F195" i="3"/>
  <c r="BD191" i="3"/>
  <c r="AG194" i="3"/>
  <c r="AW193" i="3"/>
  <c r="AX193" i="3"/>
  <c r="BA192" i="3"/>
  <c r="Y194" i="3"/>
  <c r="Z194" i="3" s="1"/>
  <c r="BM194" i="3"/>
  <c r="AO194" i="3"/>
  <c r="BK190" i="3" l="1"/>
  <c r="BN195" i="3"/>
  <c r="BC192" i="3"/>
  <c r="BD192" i="3" s="1"/>
  <c r="AO195" i="3"/>
  <c r="AV193" i="3"/>
  <c r="BM195" i="3"/>
  <c r="AU194" i="3"/>
  <c r="AX194" i="3"/>
  <c r="AG195" i="3"/>
  <c r="AY193" i="3"/>
  <c r="BQ192" i="3"/>
  <c r="BF192" i="3"/>
  <c r="BJ191" i="3" s="1"/>
  <c r="BK191" i="3" s="1"/>
  <c r="BB192" i="3"/>
  <c r="Y195" i="3"/>
  <c r="Z195" i="3" s="1"/>
  <c r="AT194" i="3"/>
  <c r="AW194" i="3"/>
  <c r="A197" i="3"/>
  <c r="B196" i="3"/>
  <c r="AR196" i="3"/>
  <c r="AQ196" i="3"/>
  <c r="S196" i="3"/>
  <c r="AM196" i="3"/>
  <c r="AK196" i="3"/>
  <c r="T196" i="3"/>
  <c r="R196" i="3"/>
  <c r="AD196" i="3"/>
  <c r="Q196" i="3"/>
  <c r="P196" i="3"/>
  <c r="M196" i="3"/>
  <c r="V196" i="3"/>
  <c r="U196" i="3"/>
  <c r="O196" i="3"/>
  <c r="AF196" i="3"/>
  <c r="AE196" i="3"/>
  <c r="C196" i="3"/>
  <c r="D196" i="3"/>
  <c r="G196" i="3"/>
  <c r="H196" i="3" s="1"/>
  <c r="F196" i="3"/>
  <c r="BA193" i="3"/>
  <c r="X195" i="3"/>
  <c r="AH195" i="3"/>
  <c r="AN195" i="3"/>
  <c r="BG192" i="3" l="1"/>
  <c r="BH192" i="3" s="1"/>
  <c r="BI192" i="3" s="1"/>
  <c r="AG196" i="3"/>
  <c r="BC193" i="3"/>
  <c r="BD193" i="3" s="1"/>
  <c r="BM196" i="3"/>
  <c r="AY194" i="3"/>
  <c r="AN196" i="3"/>
  <c r="Y196" i="3"/>
  <c r="Z196" i="3" s="1"/>
  <c r="AH196" i="3"/>
  <c r="AU195" i="3"/>
  <c r="AX195" i="3"/>
  <c r="BF193" i="3"/>
  <c r="BJ192" i="3" s="1"/>
  <c r="BK192" i="3" s="1"/>
  <c r="BB193" i="3"/>
  <c r="BQ193" i="3"/>
  <c r="AR197" i="3"/>
  <c r="B197" i="3"/>
  <c r="AQ197" i="3"/>
  <c r="A198" i="3"/>
  <c r="C197" i="3"/>
  <c r="D197" i="3"/>
  <c r="AM197" i="3"/>
  <c r="R197" i="3"/>
  <c r="AK197" i="3"/>
  <c r="Q197" i="3"/>
  <c r="AD197" i="3"/>
  <c r="P197" i="3"/>
  <c r="AE197" i="3"/>
  <c r="V197" i="3"/>
  <c r="O197" i="3"/>
  <c r="M197" i="3"/>
  <c r="AF197" i="3"/>
  <c r="U197" i="3"/>
  <c r="G197" i="3"/>
  <c r="H197" i="3" s="1"/>
  <c r="F197" i="3"/>
  <c r="T197" i="3"/>
  <c r="S197" i="3"/>
  <c r="AV194" i="3"/>
  <c r="BA194" i="3"/>
  <c r="AT195" i="3"/>
  <c r="AW195" i="3"/>
  <c r="BN196" i="3"/>
  <c r="X196" i="3"/>
  <c r="AO196" i="3"/>
  <c r="AO197" i="3" l="1"/>
  <c r="BC194" i="3"/>
  <c r="BD194" i="3" s="1"/>
  <c r="BG193" i="3"/>
  <c r="BH193" i="3" s="1"/>
  <c r="BI193" i="3" s="1"/>
  <c r="AU196" i="3"/>
  <c r="BN197" i="3"/>
  <c r="AT196" i="3"/>
  <c r="AW196" i="3"/>
  <c r="Y197" i="3"/>
  <c r="Z197" i="3" s="1"/>
  <c r="AV195" i="3"/>
  <c r="BA195" i="3"/>
  <c r="BB194" i="3"/>
  <c r="BQ194" i="3"/>
  <c r="BF194" i="3"/>
  <c r="BJ193" i="3" s="1"/>
  <c r="BK193" i="3" s="1"/>
  <c r="AR198" i="3"/>
  <c r="B198" i="3"/>
  <c r="AQ198" i="3"/>
  <c r="A199" i="3"/>
  <c r="C198" i="3"/>
  <c r="AK198" i="3"/>
  <c r="AM198" i="3"/>
  <c r="T198" i="3"/>
  <c r="Q198" i="3"/>
  <c r="R198" i="3"/>
  <c r="AD198" i="3"/>
  <c r="P198" i="3"/>
  <c r="O198" i="3"/>
  <c r="M198" i="3"/>
  <c r="AE198" i="3"/>
  <c r="AF198" i="3"/>
  <c r="V198" i="3"/>
  <c r="U198" i="3"/>
  <c r="D198" i="3"/>
  <c r="G198" i="3"/>
  <c r="H198" i="3" s="1"/>
  <c r="F198" i="3"/>
  <c r="S198" i="3"/>
  <c r="AG197" i="3"/>
  <c r="AH197" i="3"/>
  <c r="AN197" i="3"/>
  <c r="AY195" i="3"/>
  <c r="X197" i="3"/>
  <c r="BM197" i="3"/>
  <c r="AX196" i="3"/>
  <c r="BM198" i="3" l="1"/>
  <c r="BG194" i="3"/>
  <c r="BH194" i="3" s="1"/>
  <c r="BI194" i="3" s="1"/>
  <c r="AV196" i="3"/>
  <c r="BN198" i="3"/>
  <c r="BA196" i="3"/>
  <c r="BF196" i="3" s="1"/>
  <c r="AX197" i="3"/>
  <c r="AH198" i="3"/>
  <c r="X198" i="3"/>
  <c r="Y198" i="3"/>
  <c r="Z198" i="3" s="1"/>
  <c r="BF195" i="3"/>
  <c r="BJ194" i="3" s="1"/>
  <c r="BK194" i="3" s="1"/>
  <c r="BB195" i="3"/>
  <c r="BQ195" i="3"/>
  <c r="AU197" i="3"/>
  <c r="AT197" i="3"/>
  <c r="AW197" i="3"/>
  <c r="AG198" i="3"/>
  <c r="AY196" i="3"/>
  <c r="AN198" i="3"/>
  <c r="AO198" i="3"/>
  <c r="AQ199" i="3"/>
  <c r="B199" i="3"/>
  <c r="A200" i="3"/>
  <c r="AR199" i="3"/>
  <c r="D199" i="3"/>
  <c r="AM199" i="3"/>
  <c r="C199" i="3"/>
  <c r="AK199" i="3"/>
  <c r="R199" i="3"/>
  <c r="P199" i="3"/>
  <c r="S199" i="3"/>
  <c r="AD199" i="3"/>
  <c r="O199" i="3"/>
  <c r="AF199" i="3"/>
  <c r="M199" i="3"/>
  <c r="AE199" i="3"/>
  <c r="V199" i="3"/>
  <c r="U199" i="3"/>
  <c r="Q199" i="3"/>
  <c r="G199" i="3"/>
  <c r="H199" i="3" s="1"/>
  <c r="F199" i="3"/>
  <c r="BM199" i="3" s="1"/>
  <c r="T199" i="3"/>
  <c r="BC195" i="3"/>
  <c r="BC196" i="3" l="1"/>
  <c r="BD196" i="3" s="1"/>
  <c r="AG199" i="3"/>
  <c r="AO199" i="3"/>
  <c r="BN199" i="3"/>
  <c r="AY197" i="3"/>
  <c r="BQ196" i="3"/>
  <c r="AU198" i="3"/>
  <c r="BB196" i="3"/>
  <c r="AT198" i="3"/>
  <c r="AX198" i="3"/>
  <c r="Y199" i="3"/>
  <c r="Z199" i="3" s="1"/>
  <c r="BD195" i="3"/>
  <c r="BG195" i="3"/>
  <c r="BH195" i="3" s="1"/>
  <c r="BI195" i="3" s="1"/>
  <c r="A201" i="3"/>
  <c r="B200" i="3"/>
  <c r="AR200" i="3"/>
  <c r="AQ200" i="3"/>
  <c r="AM200" i="3"/>
  <c r="S200" i="3"/>
  <c r="R200" i="3"/>
  <c r="AK200" i="3"/>
  <c r="Q200" i="3"/>
  <c r="P200" i="3"/>
  <c r="AD200" i="3"/>
  <c r="O200" i="3"/>
  <c r="M200" i="3"/>
  <c r="AE200" i="3"/>
  <c r="U200" i="3"/>
  <c r="AF200" i="3"/>
  <c r="V200" i="3"/>
  <c r="C200" i="3"/>
  <c r="D200" i="3"/>
  <c r="F200" i="3"/>
  <c r="G200" i="3"/>
  <c r="H200" i="3" s="1"/>
  <c r="T200" i="3"/>
  <c r="BA197" i="3"/>
  <c r="AV197" i="3"/>
  <c r="X199" i="3"/>
  <c r="AW198" i="3"/>
  <c r="AH199" i="3"/>
  <c r="AN199" i="3"/>
  <c r="BJ195" i="3"/>
  <c r="BC197" i="3" l="1"/>
  <c r="BD197" i="3" s="1"/>
  <c r="BM200" i="3"/>
  <c r="BG196" i="3"/>
  <c r="BH196" i="3" s="1"/>
  <c r="BI196" i="3" s="1"/>
  <c r="AU199" i="3"/>
  <c r="BK195" i="3"/>
  <c r="AV198" i="3"/>
  <c r="BN200" i="3"/>
  <c r="AO200" i="3"/>
  <c r="AY198" i="3"/>
  <c r="AG200" i="3"/>
  <c r="AW199" i="3"/>
  <c r="Y200" i="3"/>
  <c r="Z200" i="3" s="1"/>
  <c r="BQ197" i="3"/>
  <c r="BF197" i="3"/>
  <c r="BJ196" i="3" s="1"/>
  <c r="BK196" i="3" s="1"/>
  <c r="BB197" i="3"/>
  <c r="AR201" i="3"/>
  <c r="B201" i="3"/>
  <c r="AQ201" i="3"/>
  <c r="A202" i="3"/>
  <c r="D201" i="3"/>
  <c r="AM201" i="3"/>
  <c r="AK201" i="3"/>
  <c r="S201" i="3"/>
  <c r="Q201" i="3"/>
  <c r="AD201" i="3"/>
  <c r="R201" i="3"/>
  <c r="P201" i="3"/>
  <c r="O201" i="3"/>
  <c r="AE201" i="3"/>
  <c r="M201" i="3"/>
  <c r="V201" i="3"/>
  <c r="U201" i="3"/>
  <c r="AF201" i="3"/>
  <c r="C201" i="3"/>
  <c r="F201" i="3"/>
  <c r="G201" i="3"/>
  <c r="H201" i="3" s="1"/>
  <c r="T201" i="3"/>
  <c r="AX199" i="3"/>
  <c r="AT199" i="3"/>
  <c r="BA198" i="3"/>
  <c r="AH200" i="3"/>
  <c r="AN200" i="3"/>
  <c r="X200" i="3"/>
  <c r="BG197" i="3" l="1"/>
  <c r="BH197" i="3" s="1"/>
  <c r="BI197" i="3" s="1"/>
  <c r="BN201" i="3"/>
  <c r="AY199" i="3"/>
  <c r="BC198" i="3"/>
  <c r="BD198" i="3" s="1"/>
  <c r="AX200" i="3"/>
  <c r="BM201" i="3"/>
  <c r="AN201" i="3"/>
  <c r="AU200" i="3"/>
  <c r="Y201" i="3"/>
  <c r="Z201" i="3" s="1"/>
  <c r="BQ198" i="3"/>
  <c r="BF198" i="3"/>
  <c r="BJ197" i="3" s="1"/>
  <c r="BK197" i="3" s="1"/>
  <c r="BB198" i="3"/>
  <c r="AV199" i="3"/>
  <c r="BA199" i="3"/>
  <c r="AT200" i="3"/>
  <c r="AG201" i="3"/>
  <c r="AW200" i="3"/>
  <c r="X201" i="3"/>
  <c r="AO201" i="3"/>
  <c r="AR202" i="3"/>
  <c r="B202" i="3"/>
  <c r="AQ202" i="3"/>
  <c r="A203" i="3"/>
  <c r="AM202" i="3"/>
  <c r="R202" i="3"/>
  <c r="D202" i="3"/>
  <c r="AK202" i="3"/>
  <c r="AD202" i="3"/>
  <c r="Q202" i="3"/>
  <c r="P202" i="3"/>
  <c r="M202" i="3"/>
  <c r="AF202" i="3"/>
  <c r="AE202" i="3"/>
  <c r="V202" i="3"/>
  <c r="O202" i="3"/>
  <c r="U202" i="3"/>
  <c r="C202" i="3"/>
  <c r="G202" i="3"/>
  <c r="H202" i="3" s="1"/>
  <c r="F202" i="3"/>
  <c r="BM202" i="3" s="1"/>
  <c r="S202" i="3"/>
  <c r="T202" i="3"/>
  <c r="AH201" i="3"/>
  <c r="BC199" i="3" l="1"/>
  <c r="BG199" i="3" s="1"/>
  <c r="BH199" i="3" s="1"/>
  <c r="BI199" i="3" s="1"/>
  <c r="BN202" i="3"/>
  <c r="AV200" i="3"/>
  <c r="BG198" i="3"/>
  <c r="BH198" i="3" s="1"/>
  <c r="BI198" i="3" s="1"/>
  <c r="AU201" i="3"/>
  <c r="AY200" i="3"/>
  <c r="AN202" i="3"/>
  <c r="X202" i="3"/>
  <c r="AQ203" i="3"/>
  <c r="B203" i="3"/>
  <c r="A204" i="3"/>
  <c r="AR203" i="3"/>
  <c r="AK203" i="3"/>
  <c r="T203" i="3"/>
  <c r="S203" i="3"/>
  <c r="R203" i="3"/>
  <c r="AM203" i="3"/>
  <c r="Q203" i="3"/>
  <c r="O203" i="3"/>
  <c r="AD203" i="3"/>
  <c r="AE203" i="3"/>
  <c r="AF203" i="3"/>
  <c r="U203" i="3"/>
  <c r="M203" i="3"/>
  <c r="V203" i="3"/>
  <c r="G203" i="3"/>
  <c r="H203" i="3" s="1"/>
  <c r="D203" i="3"/>
  <c r="C203" i="3"/>
  <c r="F203" i="3"/>
  <c r="P203" i="3"/>
  <c r="BB199" i="3"/>
  <c r="BQ199" i="3"/>
  <c r="BF199" i="3"/>
  <c r="BJ198" i="3" s="1"/>
  <c r="AH202" i="3"/>
  <c r="AX201" i="3"/>
  <c r="Y202" i="3"/>
  <c r="Z202" i="3" s="1"/>
  <c r="AG202" i="3"/>
  <c r="AO202" i="3"/>
  <c r="AT201" i="3"/>
  <c r="AW201" i="3"/>
  <c r="BD199" i="3"/>
  <c r="BA200" i="3"/>
  <c r="BK198" i="3" l="1"/>
  <c r="BC200" i="3"/>
  <c r="BG200" i="3" s="1"/>
  <c r="BH200" i="3" s="1"/>
  <c r="BI200" i="3" s="1"/>
  <c r="AN203" i="3"/>
  <c r="BN203" i="3"/>
  <c r="AT202" i="3"/>
  <c r="AU202" i="3"/>
  <c r="AW202" i="3"/>
  <c r="Y203" i="3"/>
  <c r="Z203" i="3" s="1"/>
  <c r="X203" i="3"/>
  <c r="AY201" i="3"/>
  <c r="BB200" i="3"/>
  <c r="BF200" i="3"/>
  <c r="BJ199" i="3" s="1"/>
  <c r="BK199" i="3" s="1"/>
  <c r="BQ200" i="3"/>
  <c r="AV201" i="3"/>
  <c r="BA201" i="3"/>
  <c r="A205" i="3"/>
  <c r="B204" i="3"/>
  <c r="AR204" i="3"/>
  <c r="AQ204" i="3"/>
  <c r="C204" i="3"/>
  <c r="D204" i="3"/>
  <c r="AK204" i="3"/>
  <c r="AM204" i="3"/>
  <c r="S204" i="3"/>
  <c r="R204" i="3"/>
  <c r="AD204" i="3"/>
  <c r="O204" i="3"/>
  <c r="P204" i="3"/>
  <c r="M204" i="3"/>
  <c r="AF204" i="3"/>
  <c r="AE204" i="3"/>
  <c r="V204" i="3"/>
  <c r="U204" i="3"/>
  <c r="Q204" i="3"/>
  <c r="F204" i="3"/>
  <c r="G204" i="3"/>
  <c r="H204" i="3" s="1"/>
  <c r="T204" i="3"/>
  <c r="BM203" i="3"/>
  <c r="AG203" i="3"/>
  <c r="AO203" i="3"/>
  <c r="AX202" i="3"/>
  <c r="AH203" i="3"/>
  <c r="BD200" i="3" l="1"/>
  <c r="BM204" i="3"/>
  <c r="AN204" i="3"/>
  <c r="AV202" i="3"/>
  <c r="BN204" i="3"/>
  <c r="AY202" i="3"/>
  <c r="AG204" i="3"/>
  <c r="BC201" i="3"/>
  <c r="BG201" i="3" s="1"/>
  <c r="BH201" i="3" s="1"/>
  <c r="BI201" i="3" s="1"/>
  <c r="AX203" i="3"/>
  <c r="Y204" i="3"/>
  <c r="Z204" i="3" s="1"/>
  <c r="BB201" i="3"/>
  <c r="BF201" i="3"/>
  <c r="BJ200" i="3" s="1"/>
  <c r="BK200" i="3" s="1"/>
  <c r="BQ201" i="3"/>
  <c r="AW203" i="3"/>
  <c r="BA202" i="3"/>
  <c r="AR205" i="3"/>
  <c r="B205" i="3"/>
  <c r="AQ205" i="3"/>
  <c r="A206" i="3"/>
  <c r="D205" i="3"/>
  <c r="AK205" i="3"/>
  <c r="AM205" i="3"/>
  <c r="T205" i="3"/>
  <c r="Q205" i="3"/>
  <c r="R205" i="3"/>
  <c r="P205" i="3"/>
  <c r="AD205" i="3"/>
  <c r="O205" i="3"/>
  <c r="AE205" i="3"/>
  <c r="M205" i="3"/>
  <c r="U205" i="3"/>
  <c r="AF205" i="3"/>
  <c r="V205" i="3"/>
  <c r="F205" i="3"/>
  <c r="C205" i="3"/>
  <c r="G205" i="3"/>
  <c r="H205" i="3" s="1"/>
  <c r="S205" i="3"/>
  <c r="AU203" i="3"/>
  <c r="AT203" i="3"/>
  <c r="AH204" i="3"/>
  <c r="AO204" i="3"/>
  <c r="X204" i="3"/>
  <c r="BC202" i="3" l="1"/>
  <c r="BG202" i="3" s="1"/>
  <c r="BH202" i="3" s="1"/>
  <c r="BI202" i="3" s="1"/>
  <c r="BN205" i="3"/>
  <c r="AO205" i="3"/>
  <c r="BD201" i="3"/>
  <c r="AG205" i="3"/>
  <c r="AT204" i="3"/>
  <c r="AY203" i="3"/>
  <c r="X205" i="3"/>
  <c r="AV203" i="3"/>
  <c r="BA203" i="3"/>
  <c r="Y205" i="3"/>
  <c r="Z205" i="3" s="1"/>
  <c r="AH205" i="3"/>
  <c r="AX204" i="3"/>
  <c r="BM205" i="3"/>
  <c r="AN205" i="3"/>
  <c r="AU204" i="3"/>
  <c r="AW204" i="3"/>
  <c r="AR206" i="3"/>
  <c r="B206" i="3"/>
  <c r="AQ206" i="3"/>
  <c r="A207" i="3"/>
  <c r="D206" i="3"/>
  <c r="AM206" i="3"/>
  <c r="S206" i="3"/>
  <c r="C206" i="3"/>
  <c r="AK206" i="3"/>
  <c r="R206" i="3"/>
  <c r="AD206" i="3"/>
  <c r="T206" i="3"/>
  <c r="O206" i="3"/>
  <c r="P206" i="3"/>
  <c r="M206" i="3"/>
  <c r="AE206" i="3"/>
  <c r="AF206" i="3"/>
  <c r="V206" i="3"/>
  <c r="U206" i="3"/>
  <c r="G206" i="3"/>
  <c r="H206" i="3" s="1"/>
  <c r="F206" i="3"/>
  <c r="Q206" i="3"/>
  <c r="BF202" i="3"/>
  <c r="BB202" i="3"/>
  <c r="BQ202" i="3"/>
  <c r="BD202" i="3" l="1"/>
  <c r="BC203" i="3"/>
  <c r="BD203" i="3" s="1"/>
  <c r="BM206" i="3"/>
  <c r="AU205" i="3"/>
  <c r="BN206" i="3"/>
  <c r="AW205" i="3"/>
  <c r="AV204" i="3"/>
  <c r="AX205" i="3"/>
  <c r="AO206" i="3"/>
  <c r="AH206" i="3"/>
  <c r="BJ201" i="3"/>
  <c r="BK201" i="3" s="1"/>
  <c r="AQ207" i="3"/>
  <c r="B207" i="3"/>
  <c r="A208" i="3"/>
  <c r="AR207" i="3"/>
  <c r="AK207" i="3"/>
  <c r="T207" i="3"/>
  <c r="AM207" i="3"/>
  <c r="Q207" i="3"/>
  <c r="R207" i="3"/>
  <c r="AD207" i="3"/>
  <c r="P207" i="3"/>
  <c r="O207" i="3"/>
  <c r="M207" i="3"/>
  <c r="AE207" i="3"/>
  <c r="U207" i="3"/>
  <c r="AF207" i="3"/>
  <c r="V207" i="3"/>
  <c r="D207" i="3"/>
  <c r="C207" i="3"/>
  <c r="G207" i="3"/>
  <c r="H207" i="3" s="1"/>
  <c r="F207" i="3"/>
  <c r="S207" i="3"/>
  <c r="BA204" i="3"/>
  <c r="AY204" i="3"/>
  <c r="AG206" i="3"/>
  <c r="X206" i="3"/>
  <c r="AN206" i="3"/>
  <c r="AT205" i="3"/>
  <c r="Y206" i="3"/>
  <c r="Z206" i="3" s="1"/>
  <c r="BQ203" i="3"/>
  <c r="BF203" i="3"/>
  <c r="BJ202" i="3" s="1"/>
  <c r="BK202" i="3" s="1"/>
  <c r="BB203" i="3"/>
  <c r="BG203" i="3" l="1"/>
  <c r="BH203" i="3" s="1"/>
  <c r="BI203" i="3" s="1"/>
  <c r="BN207" i="3"/>
  <c r="BM207" i="3"/>
  <c r="BC204" i="3"/>
  <c r="BD204" i="3" s="1"/>
  <c r="AU206" i="3"/>
  <c r="AN207" i="3"/>
  <c r="AY205" i="3"/>
  <c r="AX206" i="3"/>
  <c r="AG207" i="3"/>
  <c r="AW206" i="3"/>
  <c r="X207" i="3"/>
  <c r="AV205" i="3"/>
  <c r="BA205" i="3"/>
  <c r="BF204" i="3"/>
  <c r="BJ203" i="3" s="1"/>
  <c r="BK203" i="3" s="1"/>
  <c r="BQ204" i="3"/>
  <c r="BB204" i="3"/>
  <c r="A209" i="3"/>
  <c r="B208" i="3"/>
  <c r="AR208" i="3"/>
  <c r="AQ208" i="3"/>
  <c r="AM208" i="3"/>
  <c r="T208" i="3"/>
  <c r="AK208" i="3"/>
  <c r="C208" i="3"/>
  <c r="Q208" i="3"/>
  <c r="R208" i="3"/>
  <c r="AD208" i="3"/>
  <c r="P208" i="3"/>
  <c r="S208" i="3"/>
  <c r="O208" i="3"/>
  <c r="M208" i="3"/>
  <c r="AE208" i="3"/>
  <c r="AF208" i="3"/>
  <c r="U208" i="3"/>
  <c r="V208" i="3"/>
  <c r="D208" i="3"/>
  <c r="G208" i="3"/>
  <c r="H208" i="3" s="1"/>
  <c r="F208" i="3"/>
  <c r="AH207" i="3"/>
  <c r="AT206" i="3"/>
  <c r="AO207" i="3"/>
  <c r="Y207" i="3"/>
  <c r="Z207" i="3" s="1"/>
  <c r="BG204" i="3" l="1"/>
  <c r="BH204" i="3" s="1"/>
  <c r="BI204" i="3" s="1"/>
  <c r="AU207" i="3"/>
  <c r="BM208" i="3"/>
  <c r="BC205" i="3"/>
  <c r="BD205" i="3" s="1"/>
  <c r="AY206" i="3"/>
  <c r="AO208" i="3"/>
  <c r="BN208" i="3"/>
  <c r="AT207" i="3"/>
  <c r="AV207" i="3" s="1"/>
  <c r="AW207" i="3"/>
  <c r="AR209" i="3"/>
  <c r="B209" i="3"/>
  <c r="AQ209" i="3"/>
  <c r="A210" i="3"/>
  <c r="D209" i="3"/>
  <c r="C209" i="3"/>
  <c r="R209" i="3"/>
  <c r="AK209" i="3"/>
  <c r="AM209" i="3"/>
  <c r="Q209" i="3"/>
  <c r="S209" i="3"/>
  <c r="AD209" i="3"/>
  <c r="P209" i="3"/>
  <c r="AF209" i="3"/>
  <c r="O209" i="3"/>
  <c r="AE209" i="3"/>
  <c r="M209" i="3"/>
  <c r="V209" i="3"/>
  <c r="U209" i="3"/>
  <c r="G209" i="3"/>
  <c r="H209" i="3" s="1"/>
  <c r="F209" i="3"/>
  <c r="T209" i="3"/>
  <c r="BA206" i="3"/>
  <c r="AV206" i="3"/>
  <c r="Y208" i="3"/>
  <c r="Z208" i="3" s="1"/>
  <c r="AN208" i="3"/>
  <c r="AG208" i="3"/>
  <c r="X208" i="3"/>
  <c r="BQ205" i="3"/>
  <c r="BF205" i="3"/>
  <c r="BJ204" i="3" s="1"/>
  <c r="BK204" i="3" s="1"/>
  <c r="BB205" i="3"/>
  <c r="AX207" i="3"/>
  <c r="AH208" i="3"/>
  <c r="BC206" i="3" l="1"/>
  <c r="BG206" i="3" s="1"/>
  <c r="BH206" i="3" s="1"/>
  <c r="BI206" i="3" s="1"/>
  <c r="BG205" i="3"/>
  <c r="BH205" i="3" s="1"/>
  <c r="BI205" i="3" s="1"/>
  <c r="AG209" i="3"/>
  <c r="AT208" i="3"/>
  <c r="AO209" i="3"/>
  <c r="BN209" i="3"/>
  <c r="BA207" i="3"/>
  <c r="BB207" i="3" s="1"/>
  <c r="BQ206" i="3"/>
  <c r="BB206" i="3"/>
  <c r="BF206" i="3"/>
  <c r="BJ205" i="3" s="1"/>
  <c r="AX208" i="3"/>
  <c r="AY207" i="3"/>
  <c r="BC207" i="3" s="1"/>
  <c r="AU208" i="3"/>
  <c r="AW208" i="3"/>
  <c r="BM209" i="3"/>
  <c r="AN209" i="3"/>
  <c r="BD206" i="3"/>
  <c r="AR210" i="3"/>
  <c r="B210" i="3"/>
  <c r="AQ210" i="3"/>
  <c r="A211" i="3"/>
  <c r="AK210" i="3"/>
  <c r="Q210" i="3"/>
  <c r="AM210" i="3"/>
  <c r="T210" i="3"/>
  <c r="AD210" i="3"/>
  <c r="P210" i="3"/>
  <c r="O210" i="3"/>
  <c r="U210" i="3"/>
  <c r="AE210" i="3"/>
  <c r="M210" i="3"/>
  <c r="AF210" i="3"/>
  <c r="V210" i="3"/>
  <c r="R210" i="3"/>
  <c r="C210" i="3"/>
  <c r="F210" i="3"/>
  <c r="D210" i="3"/>
  <c r="G210" i="3"/>
  <c r="H210" i="3" s="1"/>
  <c r="S210" i="3"/>
  <c r="Y209" i="3"/>
  <c r="Z209" i="3" s="1"/>
  <c r="AH209" i="3"/>
  <c r="X209" i="3"/>
  <c r="BK205" i="3" l="1"/>
  <c r="AN210" i="3"/>
  <c r="AV208" i="3"/>
  <c r="BN210" i="3"/>
  <c r="BM210" i="3"/>
  <c r="BQ207" i="3"/>
  <c r="BF207" i="3"/>
  <c r="BJ206" i="3" s="1"/>
  <c r="BK206" i="3" s="1"/>
  <c r="AX209" i="3"/>
  <c r="BA208" i="3"/>
  <c r="BQ208" i="3" s="1"/>
  <c r="AY208" i="3"/>
  <c r="AG210" i="3"/>
  <c r="AH210" i="3"/>
  <c r="AO210" i="3"/>
  <c r="AT209" i="3"/>
  <c r="Y210" i="3"/>
  <c r="Z210" i="3" s="1"/>
  <c r="AQ211" i="3"/>
  <c r="B211" i="3"/>
  <c r="A212" i="3"/>
  <c r="AR211" i="3"/>
  <c r="AK211" i="3"/>
  <c r="AM211" i="3"/>
  <c r="C211" i="3"/>
  <c r="R211" i="3"/>
  <c r="Q211" i="3"/>
  <c r="AD211" i="3"/>
  <c r="P211" i="3"/>
  <c r="M211" i="3"/>
  <c r="AF211" i="3"/>
  <c r="U211" i="3"/>
  <c r="O211" i="3"/>
  <c r="AE211" i="3"/>
  <c r="V211" i="3"/>
  <c r="D211" i="3"/>
  <c r="G211" i="3"/>
  <c r="H211" i="3" s="1"/>
  <c r="F211" i="3"/>
  <c r="S211" i="3"/>
  <c r="T211" i="3"/>
  <c r="BD207" i="3"/>
  <c r="BG207" i="3"/>
  <c r="BH207" i="3" s="1"/>
  <c r="BI207" i="3" s="1"/>
  <c r="X210" i="3"/>
  <c r="AW209" i="3"/>
  <c r="AU209" i="3"/>
  <c r="BB208" i="3" l="1"/>
  <c r="AY209" i="3"/>
  <c r="BC208" i="3"/>
  <c r="BN211" i="3"/>
  <c r="AO211" i="3"/>
  <c r="BM211" i="3"/>
  <c r="AG211" i="3"/>
  <c r="BF208" i="3"/>
  <c r="BJ207" i="3" s="1"/>
  <c r="BK207" i="3" s="1"/>
  <c r="Y211" i="3"/>
  <c r="Z211" i="3" s="1"/>
  <c r="A213" i="3"/>
  <c r="B212" i="3"/>
  <c r="AR212" i="3"/>
  <c r="AQ212" i="3"/>
  <c r="D212" i="3"/>
  <c r="AM212" i="3"/>
  <c r="Q212" i="3"/>
  <c r="R212" i="3"/>
  <c r="C212" i="3"/>
  <c r="AK212" i="3"/>
  <c r="P212" i="3"/>
  <c r="AD212" i="3"/>
  <c r="AF212" i="3"/>
  <c r="U212" i="3"/>
  <c r="O212" i="3"/>
  <c r="AE212" i="3"/>
  <c r="M212" i="3"/>
  <c r="V212" i="3"/>
  <c r="F212" i="3"/>
  <c r="BM212" i="3" s="1"/>
  <c r="G212" i="3"/>
  <c r="H212" i="3" s="1"/>
  <c r="S212" i="3"/>
  <c r="T212" i="3"/>
  <c r="BA209" i="3"/>
  <c r="AV209" i="3"/>
  <c r="X211" i="3"/>
  <c r="AW210" i="3"/>
  <c r="AU210" i="3"/>
  <c r="AX210" i="3"/>
  <c r="AH211" i="3"/>
  <c r="AN211" i="3"/>
  <c r="AT210" i="3"/>
  <c r="AO212" i="3" l="1"/>
  <c r="BC209" i="3"/>
  <c r="BG209" i="3" s="1"/>
  <c r="BH209" i="3" s="1"/>
  <c r="BI209" i="3" s="1"/>
  <c r="BG208" i="3"/>
  <c r="BH208" i="3" s="1"/>
  <c r="BI208" i="3" s="1"/>
  <c r="BD208" i="3"/>
  <c r="BN212" i="3"/>
  <c r="AG212" i="3"/>
  <c r="AX211" i="3"/>
  <c r="Y212" i="3"/>
  <c r="Z212" i="3" s="1"/>
  <c r="X212" i="3"/>
  <c r="AV210" i="3"/>
  <c r="BA210" i="3"/>
  <c r="BQ209" i="3"/>
  <c r="BF209" i="3"/>
  <c r="BJ208" i="3" s="1"/>
  <c r="BK208" i="3" s="1"/>
  <c r="BB209" i="3"/>
  <c r="AR213" i="3"/>
  <c r="B213" i="3"/>
  <c r="AQ213" i="3"/>
  <c r="A214" i="3"/>
  <c r="AK213" i="3"/>
  <c r="T213" i="3"/>
  <c r="AM213" i="3"/>
  <c r="S213" i="3"/>
  <c r="R213" i="3"/>
  <c r="AD213" i="3"/>
  <c r="P213" i="3"/>
  <c r="M213" i="3"/>
  <c r="AF213" i="3"/>
  <c r="U213" i="3"/>
  <c r="O213" i="3"/>
  <c r="AE213" i="3"/>
  <c r="V213" i="3"/>
  <c r="Q213" i="3"/>
  <c r="C213" i="3"/>
  <c r="D213" i="3"/>
  <c r="G213" i="3"/>
  <c r="H213" i="3" s="1"/>
  <c r="F213" i="3"/>
  <c r="AT211" i="3"/>
  <c r="AW211" i="3"/>
  <c r="AY210" i="3"/>
  <c r="BD209" i="3"/>
  <c r="AU211" i="3"/>
  <c r="AH212" i="3"/>
  <c r="AN212" i="3"/>
  <c r="AN213" i="3" l="1"/>
  <c r="AT212" i="3"/>
  <c r="BN213" i="3"/>
  <c r="BC210" i="3"/>
  <c r="BG210" i="3" s="1"/>
  <c r="BH210" i="3" s="1"/>
  <c r="BI210" i="3" s="1"/>
  <c r="AY211" i="3"/>
  <c r="AW212" i="3"/>
  <c r="AU212" i="3"/>
  <c r="X213" i="3"/>
  <c r="Y213" i="3"/>
  <c r="Z213" i="3" s="1"/>
  <c r="AR214" i="3"/>
  <c r="B214" i="3"/>
  <c r="AQ214" i="3"/>
  <c r="A215" i="3"/>
  <c r="D214" i="3"/>
  <c r="AM214" i="3"/>
  <c r="AK214" i="3"/>
  <c r="S214" i="3"/>
  <c r="Q214" i="3"/>
  <c r="R214" i="3"/>
  <c r="AD214" i="3"/>
  <c r="P214" i="3"/>
  <c r="O214" i="3"/>
  <c r="AE214" i="3"/>
  <c r="M214" i="3"/>
  <c r="AF214" i="3"/>
  <c r="V214" i="3"/>
  <c r="U214" i="3"/>
  <c r="F214" i="3"/>
  <c r="C214" i="3"/>
  <c r="G214" i="3"/>
  <c r="H214" i="3" s="1"/>
  <c r="T214" i="3"/>
  <c r="AX212" i="3"/>
  <c r="BM213" i="3"/>
  <c r="AG213" i="3"/>
  <c r="AH213" i="3"/>
  <c r="AV211" i="3"/>
  <c r="BA211" i="3"/>
  <c r="BB210" i="3"/>
  <c r="BF210" i="3"/>
  <c r="BJ209" i="3" s="1"/>
  <c r="BK209" i="3" s="1"/>
  <c r="BQ210" i="3"/>
  <c r="AO213" i="3"/>
  <c r="BN214" i="3" l="1"/>
  <c r="BD210" i="3"/>
  <c r="AY212" i="3"/>
  <c r="AO214" i="3"/>
  <c r="AV212" i="3"/>
  <c r="BM214" i="3"/>
  <c r="BC211" i="3"/>
  <c r="BG211" i="3" s="1"/>
  <c r="BH211" i="3" s="1"/>
  <c r="BI211" i="3" s="1"/>
  <c r="AT213" i="3"/>
  <c r="AH214" i="3"/>
  <c r="BA212" i="3"/>
  <c r="BB212" i="3" s="1"/>
  <c r="BB211" i="3"/>
  <c r="BF211" i="3"/>
  <c r="BJ210" i="3" s="1"/>
  <c r="BK210" i="3" s="1"/>
  <c r="BQ211" i="3"/>
  <c r="AQ215" i="3"/>
  <c r="B215" i="3"/>
  <c r="A216" i="3"/>
  <c r="AR215" i="3"/>
  <c r="C215" i="3"/>
  <c r="S215" i="3"/>
  <c r="AK215" i="3"/>
  <c r="AM215" i="3"/>
  <c r="T215" i="3"/>
  <c r="Q215" i="3"/>
  <c r="R215" i="3"/>
  <c r="AD215" i="3"/>
  <c r="P215" i="3"/>
  <c r="M215" i="3"/>
  <c r="AE215" i="3"/>
  <c r="O215" i="3"/>
  <c r="V215" i="3"/>
  <c r="AF215" i="3"/>
  <c r="U215" i="3"/>
  <c r="G215" i="3"/>
  <c r="H215" i="3" s="1"/>
  <c r="D215" i="3"/>
  <c r="F215" i="3"/>
  <c r="AX213" i="3"/>
  <c r="AU213" i="3"/>
  <c r="AW213" i="3"/>
  <c r="Y214" i="3"/>
  <c r="Z214" i="3" s="1"/>
  <c r="X214" i="3"/>
  <c r="AG214" i="3"/>
  <c r="AN214" i="3"/>
  <c r="BC212" i="3" l="1"/>
  <c r="BD212" i="3" s="1"/>
  <c r="BD211" i="3"/>
  <c r="BM215" i="3"/>
  <c r="AO215" i="3"/>
  <c r="BQ212" i="3"/>
  <c r="BF212" i="3"/>
  <c r="BJ211" i="3" s="1"/>
  <c r="BK211" i="3" s="1"/>
  <c r="AT214" i="3"/>
  <c r="AX214" i="3"/>
  <c r="AY213" i="3"/>
  <c r="AG215" i="3"/>
  <c r="BA213" i="3"/>
  <c r="BQ213" i="3" s="1"/>
  <c r="AW214" i="3"/>
  <c r="AU214" i="3"/>
  <c r="BN215" i="3"/>
  <c r="AH215" i="3"/>
  <c r="AN215" i="3"/>
  <c r="AV213" i="3"/>
  <c r="Y215" i="3"/>
  <c r="Z215" i="3" s="1"/>
  <c r="A217" i="3"/>
  <c r="B216" i="3"/>
  <c r="AR216" i="3"/>
  <c r="AQ216" i="3"/>
  <c r="AK216" i="3"/>
  <c r="Q216" i="3"/>
  <c r="AM216" i="3"/>
  <c r="T216" i="3"/>
  <c r="R216" i="3"/>
  <c r="AD216" i="3"/>
  <c r="P216" i="3"/>
  <c r="O216" i="3"/>
  <c r="M216" i="3"/>
  <c r="AE216" i="3"/>
  <c r="V216" i="3"/>
  <c r="AF216" i="3"/>
  <c r="U216" i="3"/>
  <c r="D216" i="3"/>
  <c r="F216" i="3"/>
  <c r="C216" i="3"/>
  <c r="G216" i="3"/>
  <c r="H216" i="3" s="1"/>
  <c r="S216" i="3"/>
  <c r="X215" i="3"/>
  <c r="BC213" i="3" l="1"/>
  <c r="BG213" i="3" s="1"/>
  <c r="BH213" i="3" s="1"/>
  <c r="BI213" i="3" s="1"/>
  <c r="BG212" i="3"/>
  <c r="BH212" i="3" s="1"/>
  <c r="BI212" i="3" s="1"/>
  <c r="AN216" i="3"/>
  <c r="AY214" i="3"/>
  <c r="AV214" i="3"/>
  <c r="AT215" i="3"/>
  <c r="AU215" i="3"/>
  <c r="AW215" i="3"/>
  <c r="AH216" i="3"/>
  <c r="BB213" i="3"/>
  <c r="BF213" i="3"/>
  <c r="BJ212" i="3" s="1"/>
  <c r="X216" i="3"/>
  <c r="Y216" i="3"/>
  <c r="Z216" i="3" s="1"/>
  <c r="BN216" i="3"/>
  <c r="AR217" i="3"/>
  <c r="B217" i="3"/>
  <c r="AQ217" i="3"/>
  <c r="A218" i="3"/>
  <c r="D217" i="3"/>
  <c r="AM217" i="3"/>
  <c r="AK217" i="3"/>
  <c r="T217" i="3"/>
  <c r="P217" i="3"/>
  <c r="Q217" i="3"/>
  <c r="AD217" i="3"/>
  <c r="O217" i="3"/>
  <c r="M217" i="3"/>
  <c r="AE217" i="3"/>
  <c r="AF217" i="3"/>
  <c r="V217" i="3"/>
  <c r="U217" i="3"/>
  <c r="R217" i="3"/>
  <c r="C217" i="3"/>
  <c r="G217" i="3"/>
  <c r="H217" i="3" s="1"/>
  <c r="F217" i="3"/>
  <c r="S217" i="3"/>
  <c r="BM216" i="3"/>
  <c r="AO216" i="3"/>
  <c r="BA214" i="3"/>
  <c r="AX215" i="3"/>
  <c r="BD213" i="3"/>
  <c r="AG216" i="3"/>
  <c r="BM217" i="3" l="1"/>
  <c r="BK212" i="3"/>
  <c r="BC214" i="3"/>
  <c r="BG214" i="3" s="1"/>
  <c r="BH214" i="3" s="1"/>
  <c r="BI214" i="3" s="1"/>
  <c r="AW216" i="3"/>
  <c r="BN217" i="3"/>
  <c r="AV215" i="3"/>
  <c r="BA215" i="3"/>
  <c r="BQ215" i="3" s="1"/>
  <c r="AN217" i="3"/>
  <c r="AG217" i="3"/>
  <c r="X217" i="3"/>
  <c r="BQ214" i="3"/>
  <c r="BB214" i="3"/>
  <c r="BF214" i="3"/>
  <c r="BJ213" i="3" s="1"/>
  <c r="BK213" i="3" s="1"/>
  <c r="Y217" i="3"/>
  <c r="Z217" i="3" s="1"/>
  <c r="AY215" i="3"/>
  <c r="AU216" i="3"/>
  <c r="AT216" i="3"/>
  <c r="AX216" i="3"/>
  <c r="AH217" i="3"/>
  <c r="AO217" i="3"/>
  <c r="AR218" i="3"/>
  <c r="B218" i="3"/>
  <c r="AQ218" i="3"/>
  <c r="A219" i="3"/>
  <c r="D218" i="3"/>
  <c r="C218" i="3"/>
  <c r="AM218" i="3"/>
  <c r="T218" i="3"/>
  <c r="AK218" i="3"/>
  <c r="R218" i="3"/>
  <c r="S218" i="3"/>
  <c r="Q218" i="3"/>
  <c r="P218" i="3"/>
  <c r="AD218" i="3"/>
  <c r="O218" i="3"/>
  <c r="M218" i="3"/>
  <c r="AF218" i="3"/>
  <c r="AE218" i="3"/>
  <c r="U218" i="3"/>
  <c r="V218" i="3"/>
  <c r="G218" i="3"/>
  <c r="H218" i="3" s="1"/>
  <c r="F218" i="3"/>
  <c r="BM218" i="3" s="1"/>
  <c r="BN218" i="3" l="1"/>
  <c r="BF215" i="3"/>
  <c r="BJ214" i="3" s="1"/>
  <c r="BK214" i="3" s="1"/>
  <c r="AO218" i="3"/>
  <c r="AT217" i="3"/>
  <c r="BD214" i="3"/>
  <c r="AY216" i="3"/>
  <c r="AW217" i="3"/>
  <c r="BC215" i="3"/>
  <c r="BD215" i="3" s="1"/>
  <c r="AU217" i="3"/>
  <c r="BB215" i="3"/>
  <c r="AG218" i="3"/>
  <c r="AX217" i="3"/>
  <c r="Y218" i="3"/>
  <c r="Z218" i="3" s="1"/>
  <c r="AH218" i="3"/>
  <c r="AN218" i="3"/>
  <c r="AQ219" i="3"/>
  <c r="B219" i="3"/>
  <c r="A220" i="3"/>
  <c r="AR219" i="3"/>
  <c r="AK219" i="3"/>
  <c r="AM219" i="3"/>
  <c r="R219" i="3"/>
  <c r="AD219" i="3"/>
  <c r="P219" i="3"/>
  <c r="S219" i="3"/>
  <c r="O219" i="3"/>
  <c r="M219" i="3"/>
  <c r="AE219" i="3"/>
  <c r="AF219" i="3"/>
  <c r="V219" i="3"/>
  <c r="U219" i="3"/>
  <c r="Q219" i="3"/>
  <c r="D219" i="3"/>
  <c r="F219" i="3"/>
  <c r="C219" i="3"/>
  <c r="G219" i="3"/>
  <c r="H219" i="3" s="1"/>
  <c r="T219" i="3"/>
  <c r="BA216" i="3"/>
  <c r="AV216" i="3"/>
  <c r="X218" i="3"/>
  <c r="BC216" i="3" l="1"/>
  <c r="BD216" i="3" s="1"/>
  <c r="AV217" i="3"/>
  <c r="AY217" i="3"/>
  <c r="BN219" i="3"/>
  <c r="BM219" i="3"/>
  <c r="BG215" i="3"/>
  <c r="BH215" i="3" s="1"/>
  <c r="BI215" i="3" s="1"/>
  <c r="BA217" i="3"/>
  <c r="BQ217" i="3" s="1"/>
  <c r="AO219" i="3"/>
  <c r="AX218" i="3"/>
  <c r="AG219" i="3"/>
  <c r="A221" i="3"/>
  <c r="B220" i="3"/>
  <c r="AR220" i="3"/>
  <c r="AQ220" i="3"/>
  <c r="AK220" i="3"/>
  <c r="AM220" i="3"/>
  <c r="D220" i="3"/>
  <c r="S220" i="3"/>
  <c r="T220" i="3"/>
  <c r="Q220" i="3"/>
  <c r="AD220" i="3"/>
  <c r="O220" i="3"/>
  <c r="P220" i="3"/>
  <c r="AE220" i="3"/>
  <c r="M220" i="3"/>
  <c r="V220" i="3"/>
  <c r="U220" i="3"/>
  <c r="AF220" i="3"/>
  <c r="R220" i="3"/>
  <c r="F220" i="3"/>
  <c r="C220" i="3"/>
  <c r="G220" i="3"/>
  <c r="H220" i="3" s="1"/>
  <c r="Y219" i="3"/>
  <c r="Z219" i="3" s="1"/>
  <c r="AU218" i="3"/>
  <c r="X219" i="3"/>
  <c r="AH219" i="3"/>
  <c r="AN219" i="3"/>
  <c r="AT218" i="3"/>
  <c r="AW218" i="3"/>
  <c r="BQ216" i="3"/>
  <c r="BF216" i="3"/>
  <c r="BJ215" i="3" s="1"/>
  <c r="BB216" i="3"/>
  <c r="BK215" i="3" l="1"/>
  <c r="BC217" i="3"/>
  <c r="BG217" i="3" s="1"/>
  <c r="BH217" i="3" s="1"/>
  <c r="BI217" i="3" s="1"/>
  <c r="AU219" i="3"/>
  <c r="BB217" i="3"/>
  <c r="BG216" i="3"/>
  <c r="BH216" i="3" s="1"/>
  <c r="BI216" i="3" s="1"/>
  <c r="BN220" i="3"/>
  <c r="BF217" i="3"/>
  <c r="BJ216" i="3" s="1"/>
  <c r="BK216" i="3" s="1"/>
  <c r="BM220" i="3"/>
  <c r="AN220" i="3"/>
  <c r="AT219" i="3"/>
  <c r="AH220" i="3"/>
  <c r="AY218" i="3"/>
  <c r="Y220" i="3"/>
  <c r="Z220" i="3" s="1"/>
  <c r="AR221" i="3"/>
  <c r="B221" i="3"/>
  <c r="AQ221" i="3"/>
  <c r="A222" i="3"/>
  <c r="AM221" i="3"/>
  <c r="D221" i="3"/>
  <c r="AK221" i="3"/>
  <c r="Q221" i="3"/>
  <c r="R221" i="3"/>
  <c r="AD221" i="3"/>
  <c r="P221" i="3"/>
  <c r="M221" i="3"/>
  <c r="O221" i="3"/>
  <c r="V221" i="3"/>
  <c r="AF221" i="3"/>
  <c r="AE221" i="3"/>
  <c r="U221" i="3"/>
  <c r="C221" i="3"/>
  <c r="G221" i="3"/>
  <c r="H221" i="3" s="1"/>
  <c r="F221" i="3"/>
  <c r="S221" i="3"/>
  <c r="T221" i="3"/>
  <c r="AX219" i="3"/>
  <c r="AW219" i="3"/>
  <c r="X220" i="3"/>
  <c r="AO220" i="3"/>
  <c r="AV218" i="3"/>
  <c r="BA218" i="3"/>
  <c r="AG220" i="3"/>
  <c r="AO221" i="3" l="1"/>
  <c r="BM221" i="3"/>
  <c r="AV219" i="3"/>
  <c r="BD217" i="3"/>
  <c r="BC218" i="3"/>
  <c r="BG218" i="3" s="1"/>
  <c r="BH218" i="3" s="1"/>
  <c r="BI218" i="3" s="1"/>
  <c r="BN221" i="3"/>
  <c r="AX220" i="3"/>
  <c r="AU220" i="3"/>
  <c r="X221" i="3"/>
  <c r="AY219" i="3"/>
  <c r="AN221" i="3"/>
  <c r="BF218" i="3"/>
  <c r="BJ217" i="3" s="1"/>
  <c r="BK217" i="3" s="1"/>
  <c r="BQ218" i="3"/>
  <c r="BB218" i="3"/>
  <c r="AR222" i="3"/>
  <c r="B222" i="3"/>
  <c r="AQ222" i="3"/>
  <c r="A223" i="3"/>
  <c r="C222" i="3"/>
  <c r="D222" i="3"/>
  <c r="R222" i="3"/>
  <c r="AK222" i="3"/>
  <c r="AM222" i="3"/>
  <c r="Q222" i="3"/>
  <c r="S222" i="3"/>
  <c r="P222" i="3"/>
  <c r="AD222" i="3"/>
  <c r="O222" i="3"/>
  <c r="M222" i="3"/>
  <c r="AE222" i="3"/>
  <c r="AF222" i="3"/>
  <c r="U222" i="3"/>
  <c r="V222" i="3"/>
  <c r="F222" i="3"/>
  <c r="G222" i="3"/>
  <c r="H222" i="3" s="1"/>
  <c r="T222" i="3"/>
  <c r="AW220" i="3"/>
  <c r="AT220" i="3"/>
  <c r="BA219" i="3"/>
  <c r="Y221" i="3"/>
  <c r="Z221" i="3" s="1"/>
  <c r="AG221" i="3"/>
  <c r="AH221" i="3"/>
  <c r="BD218" i="3" l="1"/>
  <c r="BC219" i="3"/>
  <c r="BD219" i="3" s="1"/>
  <c r="AY220" i="3"/>
  <c r="BM222" i="3"/>
  <c r="AX221" i="3"/>
  <c r="AG222" i="3"/>
  <c r="AO222" i="3"/>
  <c r="Y222" i="3"/>
  <c r="Z222" i="3" s="1"/>
  <c r="AV220" i="3"/>
  <c r="BA220" i="3"/>
  <c r="BQ219" i="3"/>
  <c r="BF219" i="3"/>
  <c r="BJ218" i="3" s="1"/>
  <c r="BK218" i="3" s="1"/>
  <c r="BB219" i="3"/>
  <c r="AW221" i="3"/>
  <c r="BN222" i="3"/>
  <c r="AH222" i="3"/>
  <c r="AN222" i="3"/>
  <c r="X222" i="3"/>
  <c r="AT221" i="3"/>
  <c r="AQ223" i="3"/>
  <c r="B223" i="3"/>
  <c r="A224" i="3"/>
  <c r="AR223" i="3"/>
  <c r="AM223" i="3"/>
  <c r="Q223" i="3"/>
  <c r="AK223" i="3"/>
  <c r="AD223" i="3"/>
  <c r="O223" i="3"/>
  <c r="M223" i="3"/>
  <c r="U223" i="3"/>
  <c r="V223" i="3"/>
  <c r="P223" i="3"/>
  <c r="AF223" i="3"/>
  <c r="AE223" i="3"/>
  <c r="R223" i="3"/>
  <c r="F223" i="3"/>
  <c r="C223" i="3"/>
  <c r="D223" i="3"/>
  <c r="G223" i="3"/>
  <c r="H223" i="3" s="1"/>
  <c r="S223" i="3"/>
  <c r="T223" i="3"/>
  <c r="AU221" i="3"/>
  <c r="AY221" i="3" l="1"/>
  <c r="BG219" i="3"/>
  <c r="BH219" i="3" s="1"/>
  <c r="BI219" i="3" s="1"/>
  <c r="BC220" i="3"/>
  <c r="BG220" i="3" s="1"/>
  <c r="BH220" i="3" s="1"/>
  <c r="BI220" i="3" s="1"/>
  <c r="AO223" i="3"/>
  <c r="BM223" i="3"/>
  <c r="AW222" i="3"/>
  <c r="AG223" i="3"/>
  <c r="AT222" i="3"/>
  <c r="AX222" i="3"/>
  <c r="X223" i="3"/>
  <c r="AV221" i="3"/>
  <c r="BA221" i="3"/>
  <c r="Y223" i="3"/>
  <c r="Z223" i="3" s="1"/>
  <c r="BN223" i="3"/>
  <c r="AH223" i="3"/>
  <c r="AU222" i="3"/>
  <c r="A225" i="3"/>
  <c r="B224" i="3"/>
  <c r="AR224" i="3"/>
  <c r="AQ224" i="3"/>
  <c r="C224" i="3"/>
  <c r="D224" i="3"/>
  <c r="AM224" i="3"/>
  <c r="AK224" i="3"/>
  <c r="S224" i="3"/>
  <c r="R224" i="3"/>
  <c r="AD224" i="3"/>
  <c r="Q224" i="3"/>
  <c r="P224" i="3"/>
  <c r="O224" i="3"/>
  <c r="AF224" i="3"/>
  <c r="U224" i="3"/>
  <c r="V224" i="3"/>
  <c r="M224" i="3"/>
  <c r="AE224" i="3"/>
  <c r="F224" i="3"/>
  <c r="G224" i="3"/>
  <c r="H224" i="3" s="1"/>
  <c r="T224" i="3"/>
  <c r="BB220" i="3"/>
  <c r="BQ220" i="3"/>
  <c r="BF220" i="3"/>
  <c r="AN223" i="3"/>
  <c r="BD220" i="3" l="1"/>
  <c r="BC221" i="3"/>
  <c r="AU223" i="3"/>
  <c r="AV222" i="3"/>
  <c r="AG224" i="3"/>
  <c r="BM224" i="3"/>
  <c r="BN224" i="3"/>
  <c r="AY222" i="3"/>
  <c r="AW223" i="3"/>
  <c r="AN224" i="3"/>
  <c r="AT223" i="3"/>
  <c r="BJ219" i="3"/>
  <c r="BK219" i="3" s="1"/>
  <c r="BD221" i="3"/>
  <c r="BG221" i="3"/>
  <c r="BH221" i="3" s="1"/>
  <c r="BI221" i="3" s="1"/>
  <c r="Y224" i="3"/>
  <c r="Z224" i="3" s="1"/>
  <c r="AO224" i="3"/>
  <c r="AX223" i="3"/>
  <c r="BA222" i="3"/>
  <c r="AR225" i="3"/>
  <c r="B225" i="3"/>
  <c r="AQ225" i="3"/>
  <c r="A226" i="3"/>
  <c r="D225" i="3"/>
  <c r="AK225" i="3"/>
  <c r="AM225" i="3"/>
  <c r="Q225" i="3"/>
  <c r="R225" i="3"/>
  <c r="AD225" i="3"/>
  <c r="T225" i="3"/>
  <c r="P225" i="3"/>
  <c r="O225" i="3"/>
  <c r="V225" i="3"/>
  <c r="M225" i="3"/>
  <c r="AF225" i="3"/>
  <c r="AE225" i="3"/>
  <c r="U225" i="3"/>
  <c r="F225" i="3"/>
  <c r="G225" i="3"/>
  <c r="H225" i="3" s="1"/>
  <c r="C225" i="3"/>
  <c r="S225" i="3"/>
  <c r="BB221" i="3"/>
  <c r="BQ221" i="3"/>
  <c r="BF221" i="3"/>
  <c r="BJ220" i="3" s="1"/>
  <c r="BK220" i="3" s="1"/>
  <c r="AH224" i="3"/>
  <c r="X224" i="3"/>
  <c r="AV223" i="3" l="1"/>
  <c r="BC222" i="3"/>
  <c r="BD222" i="3" s="1"/>
  <c r="AX224" i="3"/>
  <c r="BN225" i="3"/>
  <c r="BM225" i="3"/>
  <c r="AN225" i="3"/>
  <c r="AY223" i="3"/>
  <c r="BG222" i="3"/>
  <c r="BH222" i="3" s="1"/>
  <c r="BI222" i="3" s="1"/>
  <c r="AG225" i="3"/>
  <c r="BA223" i="3"/>
  <c r="BQ223" i="3" s="1"/>
  <c r="AR226" i="3"/>
  <c r="B226" i="3"/>
  <c r="AQ226" i="3"/>
  <c r="A227" i="3"/>
  <c r="S226" i="3"/>
  <c r="R226" i="3"/>
  <c r="AK226" i="3"/>
  <c r="AM226" i="3"/>
  <c r="Q226" i="3"/>
  <c r="AD226" i="3"/>
  <c r="P226" i="3"/>
  <c r="O226" i="3"/>
  <c r="M226" i="3"/>
  <c r="AF226" i="3"/>
  <c r="V226" i="3"/>
  <c r="U226" i="3"/>
  <c r="AE226" i="3"/>
  <c r="C226" i="3"/>
  <c r="D226" i="3"/>
  <c r="F226" i="3"/>
  <c r="G226" i="3"/>
  <c r="H226" i="3" s="1"/>
  <c r="BN226" i="3" s="1"/>
  <c r="T226" i="3"/>
  <c r="BF222" i="3"/>
  <c r="BJ221" i="3" s="1"/>
  <c r="BK221" i="3" s="1"/>
  <c r="BB222" i="3"/>
  <c r="BQ222" i="3"/>
  <c r="AT224" i="3"/>
  <c r="AW224" i="3"/>
  <c r="X225" i="3"/>
  <c r="AH225" i="3"/>
  <c r="AO225" i="3"/>
  <c r="AU224" i="3"/>
  <c r="Y225" i="3"/>
  <c r="Z225" i="3" s="1"/>
  <c r="BC223" i="3" l="1"/>
  <c r="BD223" i="3" s="1"/>
  <c r="AY224" i="3"/>
  <c r="BM226" i="3"/>
  <c r="AO226" i="3"/>
  <c r="BB223" i="3"/>
  <c r="BF223" i="3"/>
  <c r="BJ222" i="3" s="1"/>
  <c r="BK222" i="3" s="1"/>
  <c r="AX225" i="3"/>
  <c r="AU225" i="3"/>
  <c r="AV224" i="3"/>
  <c r="AG226" i="3"/>
  <c r="AQ227" i="3"/>
  <c r="B227" i="3"/>
  <c r="A228" i="3"/>
  <c r="AR227" i="3"/>
  <c r="D227" i="3"/>
  <c r="C227" i="3"/>
  <c r="AM227" i="3"/>
  <c r="AK227" i="3"/>
  <c r="T227" i="3"/>
  <c r="S227" i="3"/>
  <c r="R227" i="3"/>
  <c r="Q227" i="3"/>
  <c r="AD227" i="3"/>
  <c r="P227" i="3"/>
  <c r="O227" i="3"/>
  <c r="AE227" i="3"/>
  <c r="M227" i="3"/>
  <c r="V227" i="3"/>
  <c r="U227" i="3"/>
  <c r="AF227" i="3"/>
  <c r="G227" i="3"/>
  <c r="H227" i="3" s="1"/>
  <c r="F227" i="3"/>
  <c r="BM227" i="3" s="1"/>
  <c r="AT225" i="3"/>
  <c r="AW225" i="3"/>
  <c r="BA224" i="3"/>
  <c r="Y226" i="3"/>
  <c r="Z226" i="3" s="1"/>
  <c r="X226" i="3"/>
  <c r="AH226" i="3"/>
  <c r="AN226" i="3"/>
  <c r="BG223" i="3" l="1"/>
  <c r="BH223" i="3" s="1"/>
  <c r="BI223" i="3" s="1"/>
  <c r="BN227" i="3"/>
  <c r="BC224" i="3"/>
  <c r="BD224" i="3" s="1"/>
  <c r="AX226" i="3"/>
  <c r="AO227" i="3"/>
  <c r="AY225" i="3"/>
  <c r="AV225" i="3"/>
  <c r="AG227" i="3"/>
  <c r="AT226" i="3"/>
  <c r="BQ224" i="3"/>
  <c r="BF224" i="3"/>
  <c r="BJ223" i="3" s="1"/>
  <c r="BK223" i="3" s="1"/>
  <c r="BB224" i="3"/>
  <c r="Y227" i="3"/>
  <c r="Z227" i="3" s="1"/>
  <c r="A229" i="3"/>
  <c r="B228" i="3"/>
  <c r="AR228" i="3"/>
  <c r="AQ228" i="3"/>
  <c r="AK228" i="3"/>
  <c r="T228" i="3"/>
  <c r="AM228" i="3"/>
  <c r="R228" i="3"/>
  <c r="Q228" i="3"/>
  <c r="AD228" i="3"/>
  <c r="P228" i="3"/>
  <c r="O228" i="3"/>
  <c r="M228" i="3"/>
  <c r="AF228" i="3"/>
  <c r="V228" i="3"/>
  <c r="AE228" i="3"/>
  <c r="U228" i="3"/>
  <c r="D228" i="3"/>
  <c r="C228" i="3"/>
  <c r="G228" i="3"/>
  <c r="H228" i="3" s="1"/>
  <c r="F228" i="3"/>
  <c r="S228" i="3"/>
  <c r="AW226" i="3"/>
  <c r="BA225" i="3"/>
  <c r="AH227" i="3"/>
  <c r="AN227" i="3"/>
  <c r="AU226" i="3"/>
  <c r="X227" i="3"/>
  <c r="BN228" i="3" l="1"/>
  <c r="BM228" i="3"/>
  <c r="AN228" i="3"/>
  <c r="AY226" i="3"/>
  <c r="BG224" i="3"/>
  <c r="BH224" i="3" s="1"/>
  <c r="BI224" i="3" s="1"/>
  <c r="AG228" i="3"/>
  <c r="BC225" i="3"/>
  <c r="BD225" i="3" s="1"/>
  <c r="AV226" i="3"/>
  <c r="AX227" i="3"/>
  <c r="AT227" i="3"/>
  <c r="AW227" i="3"/>
  <c r="BB225" i="3"/>
  <c r="BF225" i="3"/>
  <c r="BJ224" i="3" s="1"/>
  <c r="BK224" i="3" s="1"/>
  <c r="BQ225" i="3"/>
  <c r="Y228" i="3"/>
  <c r="Z228" i="3" s="1"/>
  <c r="AU227" i="3"/>
  <c r="AO228" i="3"/>
  <c r="X228" i="3"/>
  <c r="AH228" i="3"/>
  <c r="BA226" i="3"/>
  <c r="AR229" i="3"/>
  <c r="B229" i="3"/>
  <c r="AQ229" i="3"/>
  <c r="A230" i="3"/>
  <c r="C229" i="3"/>
  <c r="AM229" i="3"/>
  <c r="AK229" i="3"/>
  <c r="S229" i="3"/>
  <c r="R229" i="3"/>
  <c r="Q229" i="3"/>
  <c r="AD229" i="3"/>
  <c r="P229" i="3"/>
  <c r="O229" i="3"/>
  <c r="AE229" i="3"/>
  <c r="AF229" i="3"/>
  <c r="M229" i="3"/>
  <c r="V229" i="3"/>
  <c r="U229" i="3"/>
  <c r="D229" i="3"/>
  <c r="F229" i="3"/>
  <c r="G229" i="3"/>
  <c r="H229" i="3" s="1"/>
  <c r="T229" i="3"/>
  <c r="BN229" i="3" l="1"/>
  <c r="BC226" i="3"/>
  <c r="BG226" i="3" s="1"/>
  <c r="BH226" i="3" s="1"/>
  <c r="BI226" i="3" s="1"/>
  <c r="AY227" i="3"/>
  <c r="AT228" i="3"/>
  <c r="AU228" i="3"/>
  <c r="AO229" i="3"/>
  <c r="BG225" i="3"/>
  <c r="BH225" i="3" s="1"/>
  <c r="BI225" i="3" s="1"/>
  <c r="AV227" i="3"/>
  <c r="BA227" i="3"/>
  <c r="BB227" i="3" s="1"/>
  <c r="AW228" i="3"/>
  <c r="AR230" i="3"/>
  <c r="B230" i="3"/>
  <c r="AQ230" i="3"/>
  <c r="A231" i="3"/>
  <c r="AK230" i="3"/>
  <c r="S230" i="3"/>
  <c r="C230" i="3"/>
  <c r="AM230" i="3"/>
  <c r="T230" i="3"/>
  <c r="Q230" i="3"/>
  <c r="AD230" i="3"/>
  <c r="O230" i="3"/>
  <c r="R230" i="3"/>
  <c r="P230" i="3"/>
  <c r="AF230" i="3"/>
  <c r="M230" i="3"/>
  <c r="V230" i="3"/>
  <c r="AE230" i="3"/>
  <c r="U230" i="3"/>
  <c r="F230" i="3"/>
  <c r="D230" i="3"/>
  <c r="G230" i="3"/>
  <c r="H230" i="3" s="1"/>
  <c r="BF226" i="3"/>
  <c r="BJ225" i="3" s="1"/>
  <c r="BK225" i="3" s="1"/>
  <c r="BQ226" i="3"/>
  <c r="BB226" i="3"/>
  <c r="Y229" i="3"/>
  <c r="Z229" i="3" s="1"/>
  <c r="BM229" i="3"/>
  <c r="AG229" i="3"/>
  <c r="AN229" i="3"/>
  <c r="AX228" i="3"/>
  <c r="AH229" i="3"/>
  <c r="X229" i="3"/>
  <c r="BD226" i="3" l="1"/>
  <c r="BC227" i="3"/>
  <c r="BD227" i="3" s="1"/>
  <c r="BQ227" i="3"/>
  <c r="AV228" i="3"/>
  <c r="BA228" i="3"/>
  <c r="BF228" i="3" s="1"/>
  <c r="BF227" i="3"/>
  <c r="BJ226" i="3" s="1"/>
  <c r="BK226" i="3" s="1"/>
  <c r="AO230" i="3"/>
  <c r="AX229" i="3"/>
  <c r="AW229" i="3"/>
  <c r="AH230" i="3"/>
  <c r="X230" i="3"/>
  <c r="AY228" i="3"/>
  <c r="Y230" i="3"/>
  <c r="Z230" i="3" s="1"/>
  <c r="AQ231" i="3"/>
  <c r="B231" i="3"/>
  <c r="A232" i="3"/>
  <c r="AR231" i="3"/>
  <c r="C231" i="3"/>
  <c r="AK231" i="3"/>
  <c r="S231" i="3"/>
  <c r="AM231" i="3"/>
  <c r="R231" i="3"/>
  <c r="Q231" i="3"/>
  <c r="P231" i="3"/>
  <c r="AD231" i="3"/>
  <c r="AE231" i="3"/>
  <c r="M231" i="3"/>
  <c r="O231" i="3"/>
  <c r="AF231" i="3"/>
  <c r="U231" i="3"/>
  <c r="V231" i="3"/>
  <c r="G231" i="3"/>
  <c r="H231" i="3" s="1"/>
  <c r="F231" i="3"/>
  <c r="D231" i="3"/>
  <c r="T231" i="3"/>
  <c r="AT229" i="3"/>
  <c r="AU229" i="3"/>
  <c r="BN230" i="3"/>
  <c r="BM230" i="3"/>
  <c r="AG230" i="3"/>
  <c r="AN230" i="3"/>
  <c r="BG227" i="3" l="1"/>
  <c r="BH227" i="3" s="1"/>
  <c r="BI227" i="3" s="1"/>
  <c r="BC228" i="3"/>
  <c r="BG228" i="3" s="1"/>
  <c r="BH228" i="3" s="1"/>
  <c r="BI228" i="3" s="1"/>
  <c r="AN231" i="3"/>
  <c r="AY229" i="3"/>
  <c r="BB228" i="3"/>
  <c r="BQ228" i="3"/>
  <c r="BM231" i="3"/>
  <c r="AO231" i="3"/>
  <c r="AH231" i="3"/>
  <c r="AT230" i="3"/>
  <c r="Y231" i="3"/>
  <c r="Z231" i="3" s="1"/>
  <c r="AV229" i="3"/>
  <c r="BA229" i="3"/>
  <c r="A233" i="3"/>
  <c r="B232" i="3"/>
  <c r="AR232" i="3"/>
  <c r="AQ232" i="3"/>
  <c r="C232" i="3"/>
  <c r="AK232" i="3"/>
  <c r="AM232" i="3"/>
  <c r="R232" i="3"/>
  <c r="D232" i="3"/>
  <c r="S232" i="3"/>
  <c r="P232" i="3"/>
  <c r="AD232" i="3"/>
  <c r="AE232" i="3"/>
  <c r="M232" i="3"/>
  <c r="O232" i="3"/>
  <c r="AF232" i="3"/>
  <c r="V232" i="3"/>
  <c r="U232" i="3"/>
  <c r="G232" i="3"/>
  <c r="H232" i="3" s="1"/>
  <c r="BN232" i="3" s="1"/>
  <c r="Q232" i="3"/>
  <c r="F232" i="3"/>
  <c r="T232" i="3"/>
  <c r="BJ227" i="3"/>
  <c r="BK227" i="3" s="1"/>
  <c r="AW230" i="3"/>
  <c r="BN231" i="3"/>
  <c r="AG231" i="3"/>
  <c r="X231" i="3"/>
  <c r="AU230" i="3"/>
  <c r="AX230" i="3"/>
  <c r="BM232" i="3" l="1"/>
  <c r="BD228" i="3"/>
  <c r="BC229" i="3"/>
  <c r="BG229" i="3" s="1"/>
  <c r="BH229" i="3" s="1"/>
  <c r="BI229" i="3" s="1"/>
  <c r="AW231" i="3"/>
  <c r="AV230" i="3"/>
  <c r="AO232" i="3"/>
  <c r="AT231" i="3"/>
  <c r="AU231" i="3"/>
  <c r="AH232" i="3"/>
  <c r="AY230" i="3"/>
  <c r="Y232" i="3"/>
  <c r="Z232" i="3" s="1"/>
  <c r="AR233" i="3"/>
  <c r="B233" i="3"/>
  <c r="AQ233" i="3"/>
  <c r="A234" i="3"/>
  <c r="D233" i="3"/>
  <c r="R233" i="3"/>
  <c r="AM233" i="3"/>
  <c r="AK233" i="3"/>
  <c r="AD233" i="3"/>
  <c r="P233" i="3"/>
  <c r="V233" i="3"/>
  <c r="O233" i="3"/>
  <c r="AE233" i="3"/>
  <c r="M233" i="3"/>
  <c r="AF233" i="3"/>
  <c r="U233" i="3"/>
  <c r="F233" i="3"/>
  <c r="Q233" i="3"/>
  <c r="C233" i="3"/>
  <c r="G233" i="3"/>
  <c r="H233" i="3" s="1"/>
  <c r="S233" i="3"/>
  <c r="T233" i="3"/>
  <c r="AX231" i="3"/>
  <c r="AG232" i="3"/>
  <c r="AN232" i="3"/>
  <c r="X232" i="3"/>
  <c r="BA230" i="3"/>
  <c r="BD229" i="3"/>
  <c r="BF229" i="3"/>
  <c r="BJ228" i="3" s="1"/>
  <c r="BK228" i="3" s="1"/>
  <c r="BQ229" i="3"/>
  <c r="BB229" i="3"/>
  <c r="AT232" i="3" l="1"/>
  <c r="BC230" i="3"/>
  <c r="BD230" i="3" s="1"/>
  <c r="AV231" i="3"/>
  <c r="BN233" i="3"/>
  <c r="BA231" i="3"/>
  <c r="BF231" i="3" s="1"/>
  <c r="AU232" i="3"/>
  <c r="AV232" i="3" s="1"/>
  <c r="AN233" i="3"/>
  <c r="AX232" i="3"/>
  <c r="X233" i="3"/>
  <c r="Y233" i="3"/>
  <c r="Z233" i="3" s="1"/>
  <c r="AY231" i="3"/>
  <c r="AW232" i="3"/>
  <c r="BM233" i="3"/>
  <c r="AG233" i="3"/>
  <c r="AH233" i="3"/>
  <c r="BF230" i="3"/>
  <c r="BJ229" i="3" s="1"/>
  <c r="BK229" i="3" s="1"/>
  <c r="BB230" i="3"/>
  <c r="BQ230" i="3"/>
  <c r="AR234" i="3"/>
  <c r="B234" i="3"/>
  <c r="AQ234" i="3"/>
  <c r="A235" i="3"/>
  <c r="AM234" i="3"/>
  <c r="R234" i="3"/>
  <c r="AK234" i="3"/>
  <c r="AD234" i="3"/>
  <c r="P234" i="3"/>
  <c r="AE234" i="3"/>
  <c r="AF234" i="3"/>
  <c r="V234" i="3"/>
  <c r="O234" i="3"/>
  <c r="M234" i="3"/>
  <c r="U234" i="3"/>
  <c r="D234" i="3"/>
  <c r="F234" i="3"/>
  <c r="Q234" i="3"/>
  <c r="C234" i="3"/>
  <c r="G234" i="3"/>
  <c r="H234" i="3" s="1"/>
  <c r="BN234" i="3" s="1"/>
  <c r="T234" i="3"/>
  <c r="S234" i="3"/>
  <c r="AO233" i="3"/>
  <c r="AO234" i="3" l="1"/>
  <c r="BG230" i="3"/>
  <c r="BH230" i="3" s="1"/>
  <c r="BI230" i="3" s="1"/>
  <c r="BC231" i="3"/>
  <c r="BD231" i="3" s="1"/>
  <c r="BM234" i="3"/>
  <c r="BB231" i="3"/>
  <c r="BQ231" i="3"/>
  <c r="AU233" i="3"/>
  <c r="AY232" i="3"/>
  <c r="BC232" i="3" s="1"/>
  <c r="BA232" i="3"/>
  <c r="BQ232" i="3" s="1"/>
  <c r="AT233" i="3"/>
  <c r="Y234" i="3"/>
  <c r="Z234" i="3" s="1"/>
  <c r="AQ235" i="3"/>
  <c r="B235" i="3"/>
  <c r="A236" i="3"/>
  <c r="AR235" i="3"/>
  <c r="D235" i="3"/>
  <c r="AM235" i="3"/>
  <c r="R235" i="3"/>
  <c r="C235" i="3"/>
  <c r="AK235" i="3"/>
  <c r="Q235" i="3"/>
  <c r="AD235" i="3"/>
  <c r="AE235" i="3"/>
  <c r="U235" i="3"/>
  <c r="O235" i="3"/>
  <c r="M235" i="3"/>
  <c r="AF235" i="3"/>
  <c r="V235" i="3"/>
  <c r="F235" i="3"/>
  <c r="BM235" i="3" s="1"/>
  <c r="G235" i="3"/>
  <c r="H235" i="3" s="1"/>
  <c r="T235" i="3"/>
  <c r="S235" i="3"/>
  <c r="P235" i="3"/>
  <c r="X234" i="3"/>
  <c r="AG234" i="3"/>
  <c r="AH234" i="3"/>
  <c r="AX233" i="3"/>
  <c r="BJ230" i="3"/>
  <c r="BK230" i="3" s="1"/>
  <c r="AN234" i="3"/>
  <c r="AW233" i="3"/>
  <c r="BN235" i="3" l="1"/>
  <c r="BB232" i="3"/>
  <c r="BG231" i="3"/>
  <c r="BH231" i="3" s="1"/>
  <c r="BI231" i="3" s="1"/>
  <c r="AN235" i="3"/>
  <c r="AV233" i="3"/>
  <c r="BF232" i="3"/>
  <c r="BJ231" i="3" s="1"/>
  <c r="AY233" i="3"/>
  <c r="AT234" i="3"/>
  <c r="AU234" i="3"/>
  <c r="Y235" i="3"/>
  <c r="Z235" i="3" s="1"/>
  <c r="BD232" i="3"/>
  <c r="BG232" i="3"/>
  <c r="BH232" i="3" s="1"/>
  <c r="BI232" i="3" s="1"/>
  <c r="A237" i="3"/>
  <c r="B236" i="3"/>
  <c r="AR236" i="3"/>
  <c r="AQ236" i="3"/>
  <c r="AM236" i="3"/>
  <c r="R236" i="3"/>
  <c r="AK236" i="3"/>
  <c r="Q236" i="3"/>
  <c r="AD236" i="3"/>
  <c r="O236" i="3"/>
  <c r="U236" i="3"/>
  <c r="P236" i="3"/>
  <c r="M236" i="3"/>
  <c r="AE236" i="3"/>
  <c r="AF236" i="3"/>
  <c r="V236" i="3"/>
  <c r="C236" i="3"/>
  <c r="G236" i="3"/>
  <c r="H236" i="3" s="1"/>
  <c r="D236" i="3"/>
  <c r="F236" i="3"/>
  <c r="S236" i="3"/>
  <c r="T236" i="3"/>
  <c r="BA233" i="3"/>
  <c r="AW234" i="3"/>
  <c r="X235" i="3"/>
  <c r="AH235" i="3"/>
  <c r="AO235" i="3"/>
  <c r="AX234" i="3"/>
  <c r="AG235" i="3"/>
  <c r="BK231" i="3" l="1"/>
  <c r="AO236" i="3"/>
  <c r="BC233" i="3"/>
  <c r="BG233" i="3" s="1"/>
  <c r="BH233" i="3" s="1"/>
  <c r="BI233" i="3" s="1"/>
  <c r="Y236" i="3"/>
  <c r="Z236" i="3" s="1"/>
  <c r="BM236" i="3"/>
  <c r="BN236" i="3"/>
  <c r="AV234" i="3"/>
  <c r="AW235" i="3"/>
  <c r="AU235" i="3"/>
  <c r="AT235" i="3"/>
  <c r="BA234" i="3"/>
  <c r="BB234" i="3" s="1"/>
  <c r="BF233" i="3"/>
  <c r="BJ232" i="3" s="1"/>
  <c r="BK232" i="3" s="1"/>
  <c r="BB233" i="3"/>
  <c r="BQ233" i="3"/>
  <c r="AR237" i="3"/>
  <c r="B237" i="3"/>
  <c r="AQ237" i="3"/>
  <c r="A238" i="3"/>
  <c r="C237" i="3"/>
  <c r="AK237" i="3"/>
  <c r="S237" i="3"/>
  <c r="T237" i="3"/>
  <c r="AM237" i="3"/>
  <c r="Q237" i="3"/>
  <c r="AD237" i="3"/>
  <c r="P237" i="3"/>
  <c r="R237" i="3"/>
  <c r="AE237" i="3"/>
  <c r="AF237" i="3"/>
  <c r="U237" i="3"/>
  <c r="O237" i="3"/>
  <c r="M237" i="3"/>
  <c r="V237" i="3"/>
  <c r="D237" i="3"/>
  <c r="G237" i="3"/>
  <c r="H237" i="3" s="1"/>
  <c r="F237" i="3"/>
  <c r="X236" i="3"/>
  <c r="AH236" i="3"/>
  <c r="AN236" i="3"/>
  <c r="AX235" i="3"/>
  <c r="AY234" i="3"/>
  <c r="AG236" i="3"/>
  <c r="BC234" i="3" l="1"/>
  <c r="BG234" i="3" s="1"/>
  <c r="BH234" i="3" s="1"/>
  <c r="BI234" i="3" s="1"/>
  <c r="BD233" i="3"/>
  <c r="BM237" i="3"/>
  <c r="AV235" i="3"/>
  <c r="AG237" i="3"/>
  <c r="AO237" i="3"/>
  <c r="BA235" i="3"/>
  <c r="BQ235" i="3" s="1"/>
  <c r="AU236" i="3"/>
  <c r="BQ234" i="3"/>
  <c r="BF234" i="3"/>
  <c r="BJ233" i="3" s="1"/>
  <c r="BK233" i="3" s="1"/>
  <c r="Y237" i="3"/>
  <c r="Z237" i="3" s="1"/>
  <c r="AX236" i="3"/>
  <c r="BN237" i="3"/>
  <c r="AH237" i="3"/>
  <c r="AN237" i="3"/>
  <c r="X237" i="3"/>
  <c r="AY235" i="3"/>
  <c r="AT236" i="3"/>
  <c r="AW236" i="3"/>
  <c r="AR238" i="3"/>
  <c r="B238" i="3"/>
  <c r="AQ238" i="3"/>
  <c r="A239" i="3"/>
  <c r="C238" i="3"/>
  <c r="D238" i="3"/>
  <c r="T238" i="3"/>
  <c r="AK238" i="3"/>
  <c r="AM238" i="3"/>
  <c r="R238" i="3"/>
  <c r="S238" i="3"/>
  <c r="AD238" i="3"/>
  <c r="P238" i="3"/>
  <c r="O238" i="3"/>
  <c r="M238" i="3"/>
  <c r="V238" i="3"/>
  <c r="AE238" i="3"/>
  <c r="AF238" i="3"/>
  <c r="U238" i="3"/>
  <c r="Q238" i="3"/>
  <c r="G238" i="3"/>
  <c r="H238" i="3" s="1"/>
  <c r="F238" i="3"/>
  <c r="BD234" i="3" l="1"/>
  <c r="BB235" i="3"/>
  <c r="AU237" i="3"/>
  <c r="BC235" i="3"/>
  <c r="BD235" i="3" s="1"/>
  <c r="BN238" i="3"/>
  <c r="AT237" i="3"/>
  <c r="AN238" i="3"/>
  <c r="BF235" i="3"/>
  <c r="BJ234" i="3" s="1"/>
  <c r="BK234" i="3" s="1"/>
  <c r="AY236" i="3"/>
  <c r="AG238" i="3"/>
  <c r="AW237" i="3"/>
  <c r="Y238" i="3"/>
  <c r="Z238" i="3" s="1"/>
  <c r="AQ239" i="3"/>
  <c r="B239" i="3"/>
  <c r="A240" i="3"/>
  <c r="AR239" i="3"/>
  <c r="AM239" i="3"/>
  <c r="AK239" i="3"/>
  <c r="R239" i="3"/>
  <c r="T239" i="3"/>
  <c r="Q239" i="3"/>
  <c r="AD239" i="3"/>
  <c r="P239" i="3"/>
  <c r="M239" i="3"/>
  <c r="O239" i="3"/>
  <c r="AE239" i="3"/>
  <c r="AF239" i="3"/>
  <c r="U239" i="3"/>
  <c r="V239" i="3"/>
  <c r="G239" i="3"/>
  <c r="H239" i="3" s="1"/>
  <c r="D239" i="3"/>
  <c r="C239" i="3"/>
  <c r="F239" i="3"/>
  <c r="S239" i="3"/>
  <c r="X238" i="3"/>
  <c r="BM238" i="3"/>
  <c r="AH238" i="3"/>
  <c r="AO238" i="3"/>
  <c r="AX237" i="3"/>
  <c r="BA236" i="3"/>
  <c r="AV236" i="3"/>
  <c r="BG235" i="3" l="1"/>
  <c r="BH235" i="3" s="1"/>
  <c r="BI235" i="3" s="1"/>
  <c r="BC236" i="3"/>
  <c r="BG236" i="3" s="1"/>
  <c r="BH236" i="3" s="1"/>
  <c r="BI236" i="3" s="1"/>
  <c r="AY237" i="3"/>
  <c r="AV237" i="3"/>
  <c r="BM239" i="3"/>
  <c r="AN239" i="3"/>
  <c r="AX238" i="3"/>
  <c r="Y239" i="3"/>
  <c r="Z239" i="3" s="1"/>
  <c r="BB236" i="3"/>
  <c r="BF236" i="3"/>
  <c r="BJ235" i="3" s="1"/>
  <c r="BQ236" i="3"/>
  <c r="AU238" i="3"/>
  <c r="AW238" i="3"/>
  <c r="BA237" i="3"/>
  <c r="AT238" i="3"/>
  <c r="X239" i="3"/>
  <c r="BN239" i="3"/>
  <c r="AG239" i="3"/>
  <c r="AH239" i="3"/>
  <c r="AO239" i="3"/>
  <c r="A241" i="3"/>
  <c r="B240" i="3"/>
  <c r="AR240" i="3"/>
  <c r="AQ240" i="3"/>
  <c r="D240" i="3"/>
  <c r="AM240" i="3"/>
  <c r="AK240" i="3"/>
  <c r="S240" i="3"/>
  <c r="Q240" i="3"/>
  <c r="T240" i="3"/>
  <c r="O240" i="3"/>
  <c r="P240" i="3"/>
  <c r="R240" i="3"/>
  <c r="AD240" i="3"/>
  <c r="M240" i="3"/>
  <c r="AE240" i="3"/>
  <c r="AF240" i="3"/>
  <c r="V240" i="3"/>
  <c r="U240" i="3"/>
  <c r="C240" i="3"/>
  <c r="F240" i="3"/>
  <c r="G240" i="3"/>
  <c r="H240" i="3" s="1"/>
  <c r="BK235" i="3" l="1"/>
  <c r="BD236" i="3"/>
  <c r="AY238" i="3"/>
  <c r="BC237" i="3"/>
  <c r="BD237" i="3" s="1"/>
  <c r="BN240" i="3"/>
  <c r="AG240" i="3"/>
  <c r="AN240" i="3"/>
  <c r="AX239" i="3"/>
  <c r="X240" i="3"/>
  <c r="Y240" i="3"/>
  <c r="Z240" i="3" s="1"/>
  <c r="AR241" i="3"/>
  <c r="B241" i="3"/>
  <c r="AQ241" i="3"/>
  <c r="A242" i="3"/>
  <c r="AK241" i="3"/>
  <c r="R241" i="3"/>
  <c r="C241" i="3"/>
  <c r="AM241" i="3"/>
  <c r="Q241" i="3"/>
  <c r="AD241" i="3"/>
  <c r="O241" i="3"/>
  <c r="M241" i="3"/>
  <c r="U241" i="3"/>
  <c r="P241" i="3"/>
  <c r="AF241" i="3"/>
  <c r="AE241" i="3"/>
  <c r="V241" i="3"/>
  <c r="D241" i="3"/>
  <c r="G241" i="3"/>
  <c r="H241" i="3" s="1"/>
  <c r="F241" i="3"/>
  <c r="S241" i="3"/>
  <c r="T241" i="3"/>
  <c r="AU239" i="3"/>
  <c r="AW239" i="3"/>
  <c r="BA238" i="3"/>
  <c r="AV238" i="3"/>
  <c r="AH240" i="3"/>
  <c r="AT239" i="3"/>
  <c r="BM240" i="3"/>
  <c r="AO240" i="3"/>
  <c r="BB237" i="3"/>
  <c r="BQ237" i="3"/>
  <c r="BF237" i="3"/>
  <c r="BJ236" i="3" s="1"/>
  <c r="BK236" i="3" s="1"/>
  <c r="AY239" i="3" l="1"/>
  <c r="BG237" i="3"/>
  <c r="BH237" i="3" s="1"/>
  <c r="BI237" i="3" s="1"/>
  <c r="BC238" i="3"/>
  <c r="BD238" i="3" s="1"/>
  <c r="AN241" i="3"/>
  <c r="BM241" i="3"/>
  <c r="AU240" i="3"/>
  <c r="AG241" i="3"/>
  <c r="AW240" i="3"/>
  <c r="AT240" i="3"/>
  <c r="Y241" i="3"/>
  <c r="Z241" i="3" s="1"/>
  <c r="BA239" i="3"/>
  <c r="AV239" i="3"/>
  <c r="BB238" i="3"/>
  <c r="BQ238" i="3"/>
  <c r="BF238" i="3"/>
  <c r="BJ237" i="3" s="1"/>
  <c r="AX240" i="3"/>
  <c r="X241" i="3"/>
  <c r="BN241" i="3"/>
  <c r="AO241" i="3"/>
  <c r="AR242" i="3"/>
  <c r="B242" i="3"/>
  <c r="AQ242" i="3"/>
  <c r="A243" i="3"/>
  <c r="C242" i="3"/>
  <c r="D242" i="3"/>
  <c r="AM242" i="3"/>
  <c r="T242" i="3"/>
  <c r="S242" i="3"/>
  <c r="Q242" i="3"/>
  <c r="AK242" i="3"/>
  <c r="AD242" i="3"/>
  <c r="P242" i="3"/>
  <c r="AE242" i="3"/>
  <c r="O242" i="3"/>
  <c r="M242" i="3"/>
  <c r="AF242" i="3"/>
  <c r="U242" i="3"/>
  <c r="V242" i="3"/>
  <c r="G242" i="3"/>
  <c r="H242" i="3" s="1"/>
  <c r="BN242" i="3" s="1"/>
  <c r="F242" i="3"/>
  <c r="R242" i="3"/>
  <c r="AH241" i="3"/>
  <c r="BM242" i="3" l="1"/>
  <c r="AY240" i="3"/>
  <c r="BC239" i="3"/>
  <c r="BG239" i="3" s="1"/>
  <c r="BH239" i="3" s="1"/>
  <c r="BI239" i="3" s="1"/>
  <c r="BK237" i="3"/>
  <c r="AO242" i="3"/>
  <c r="BG238" i="3"/>
  <c r="BH238" i="3" s="1"/>
  <c r="BI238" i="3" s="1"/>
  <c r="AX241" i="3"/>
  <c r="AV240" i="3"/>
  <c r="AG242" i="3"/>
  <c r="AW241" i="3"/>
  <c r="BA240" i="3"/>
  <c r="BQ240" i="3" s="1"/>
  <c r="BB239" i="3"/>
  <c r="BF239" i="3"/>
  <c r="BJ238" i="3" s="1"/>
  <c r="BQ239" i="3"/>
  <c r="AN242" i="3"/>
  <c r="X242" i="3"/>
  <c r="AU241" i="3"/>
  <c r="Y242" i="3"/>
  <c r="Z242" i="3" s="1"/>
  <c r="AQ243" i="3"/>
  <c r="B243" i="3"/>
  <c r="A244" i="3"/>
  <c r="AR243" i="3"/>
  <c r="D243" i="3"/>
  <c r="AM243" i="3"/>
  <c r="AK243" i="3"/>
  <c r="S243" i="3"/>
  <c r="Q243" i="3"/>
  <c r="R243" i="3"/>
  <c r="AD243" i="3"/>
  <c r="P243" i="3"/>
  <c r="O243" i="3"/>
  <c r="U243" i="3"/>
  <c r="M243" i="3"/>
  <c r="AE243" i="3"/>
  <c r="AF243" i="3"/>
  <c r="V243" i="3"/>
  <c r="C243" i="3"/>
  <c r="G243" i="3"/>
  <c r="H243" i="3" s="1"/>
  <c r="F243" i="3"/>
  <c r="T243" i="3"/>
  <c r="AH242" i="3"/>
  <c r="AT241" i="3"/>
  <c r="BC240" i="3" l="1"/>
  <c r="BG240" i="3" s="1"/>
  <c r="BH240" i="3" s="1"/>
  <c r="BI240" i="3" s="1"/>
  <c r="BM243" i="3"/>
  <c r="BD239" i="3"/>
  <c r="BK238" i="3"/>
  <c r="AY241" i="3"/>
  <c r="AV241" i="3"/>
  <c r="BB240" i="3"/>
  <c r="BD240" i="3"/>
  <c r="BN243" i="3"/>
  <c r="Y243" i="3"/>
  <c r="Z243" i="3" s="1"/>
  <c r="BF240" i="3"/>
  <c r="BJ239" i="3" s="1"/>
  <c r="BK239" i="3" s="1"/>
  <c r="AO243" i="3"/>
  <c r="AX242" i="3"/>
  <c r="AH243" i="3"/>
  <c r="AG243" i="3"/>
  <c r="AN243" i="3"/>
  <c r="BA241" i="3"/>
  <c r="AU242" i="3"/>
  <c r="A245" i="3"/>
  <c r="B244" i="3"/>
  <c r="AR244" i="3"/>
  <c r="AQ244" i="3"/>
  <c r="D244" i="3"/>
  <c r="R244" i="3"/>
  <c r="AM244" i="3"/>
  <c r="AK244" i="3"/>
  <c r="Q244" i="3"/>
  <c r="S244" i="3"/>
  <c r="P244" i="3"/>
  <c r="AD244" i="3"/>
  <c r="AE244" i="3"/>
  <c r="M244" i="3"/>
  <c r="O244" i="3"/>
  <c r="AF244" i="3"/>
  <c r="V244" i="3"/>
  <c r="U244" i="3"/>
  <c r="C244" i="3"/>
  <c r="F244" i="3"/>
  <c r="G244" i="3"/>
  <c r="H244" i="3" s="1"/>
  <c r="BN244" i="3" s="1"/>
  <c r="T244" i="3"/>
  <c r="X243" i="3"/>
  <c r="AT242" i="3"/>
  <c r="AW242" i="3"/>
  <c r="AY242" i="3" l="1"/>
  <c r="BC241" i="3"/>
  <c r="BD241" i="3" s="1"/>
  <c r="AG244" i="3"/>
  <c r="AN244" i="3"/>
  <c r="AX243" i="3"/>
  <c r="AT243" i="3"/>
  <c r="X244" i="3"/>
  <c r="AU243" i="3"/>
  <c r="AW243" i="3"/>
  <c r="BA242" i="3"/>
  <c r="Y244" i="3"/>
  <c r="Z244" i="3" s="1"/>
  <c r="BM244" i="3"/>
  <c r="AH244" i="3"/>
  <c r="AO244" i="3"/>
  <c r="AV242" i="3"/>
  <c r="AR245" i="3"/>
  <c r="B245" i="3"/>
  <c r="AQ245" i="3"/>
  <c r="A246" i="3"/>
  <c r="C245" i="3"/>
  <c r="AK245" i="3"/>
  <c r="D245" i="3"/>
  <c r="AM245" i="3"/>
  <c r="T245" i="3"/>
  <c r="Q245" i="3"/>
  <c r="R245" i="3"/>
  <c r="AD245" i="3"/>
  <c r="P245" i="3"/>
  <c r="O245" i="3"/>
  <c r="AE245" i="3"/>
  <c r="M245" i="3"/>
  <c r="U245" i="3"/>
  <c r="AF245" i="3"/>
  <c r="V245" i="3"/>
  <c r="G245" i="3"/>
  <c r="H245" i="3" s="1"/>
  <c r="F245" i="3"/>
  <c r="S245" i="3"/>
  <c r="BF241" i="3"/>
  <c r="BJ240" i="3" s="1"/>
  <c r="BK240" i="3" s="1"/>
  <c r="BB241" i="3"/>
  <c r="BQ241" i="3"/>
  <c r="BC242" i="3" l="1"/>
  <c r="BD242" i="3" s="1"/>
  <c r="BM245" i="3"/>
  <c r="AN245" i="3"/>
  <c r="BG241" i="3"/>
  <c r="BH241" i="3" s="1"/>
  <c r="BI241" i="3" s="1"/>
  <c r="AY243" i="3"/>
  <c r="AV243" i="3"/>
  <c r="BN245" i="3"/>
  <c r="AX244" i="3"/>
  <c r="AG245" i="3"/>
  <c r="AU244" i="3"/>
  <c r="AT244" i="3"/>
  <c r="AR246" i="3"/>
  <c r="B246" i="3"/>
  <c r="AQ246" i="3"/>
  <c r="A247" i="3"/>
  <c r="C246" i="3"/>
  <c r="AK246" i="3"/>
  <c r="AM246" i="3"/>
  <c r="S246" i="3"/>
  <c r="R246" i="3"/>
  <c r="AD246" i="3"/>
  <c r="Q246" i="3"/>
  <c r="O246" i="3"/>
  <c r="AE246" i="3"/>
  <c r="M246" i="3"/>
  <c r="AF246" i="3"/>
  <c r="P246" i="3"/>
  <c r="V246" i="3"/>
  <c r="U246" i="3"/>
  <c r="D246" i="3"/>
  <c r="F246" i="3"/>
  <c r="G246" i="3"/>
  <c r="H246" i="3" s="1"/>
  <c r="T246" i="3"/>
  <c r="BQ242" i="3"/>
  <c r="BB242" i="3"/>
  <c r="BF242" i="3"/>
  <c r="BJ241" i="3" s="1"/>
  <c r="BK241" i="3" s="1"/>
  <c r="X245" i="3"/>
  <c r="AH245" i="3"/>
  <c r="AO245" i="3"/>
  <c r="AW244" i="3"/>
  <c r="Y245" i="3"/>
  <c r="Z245" i="3" s="1"/>
  <c r="BA243" i="3"/>
  <c r="BG242" i="3" l="1"/>
  <c r="BH242" i="3" s="1"/>
  <c r="BI242" i="3" s="1"/>
  <c r="BN246" i="3"/>
  <c r="AU245" i="3"/>
  <c r="BC243" i="3"/>
  <c r="BD243" i="3" s="1"/>
  <c r="BM246" i="3"/>
  <c r="AY244" i="3"/>
  <c r="AV244" i="3"/>
  <c r="AW245" i="3"/>
  <c r="AT245" i="3"/>
  <c r="AO246" i="3"/>
  <c r="Y246" i="3"/>
  <c r="Z246" i="3" s="1"/>
  <c r="BF243" i="3"/>
  <c r="BQ243" i="3"/>
  <c r="BB243" i="3"/>
  <c r="AX245" i="3"/>
  <c r="AH246" i="3"/>
  <c r="AG246" i="3"/>
  <c r="AN246" i="3"/>
  <c r="X246" i="3"/>
  <c r="BA244" i="3"/>
  <c r="AQ247" i="3"/>
  <c r="B247" i="3"/>
  <c r="A248" i="3"/>
  <c r="AR247" i="3"/>
  <c r="AK247" i="3"/>
  <c r="AM247" i="3"/>
  <c r="T247" i="3"/>
  <c r="S247" i="3"/>
  <c r="R247" i="3"/>
  <c r="AD247" i="3"/>
  <c r="P247" i="3"/>
  <c r="O247" i="3"/>
  <c r="M247" i="3"/>
  <c r="AF247" i="3"/>
  <c r="AE247" i="3"/>
  <c r="V247" i="3"/>
  <c r="U247" i="3"/>
  <c r="Q247" i="3"/>
  <c r="G247" i="3"/>
  <c r="H247" i="3" s="1"/>
  <c r="D247" i="3"/>
  <c r="C247" i="3"/>
  <c r="F247" i="3"/>
  <c r="AV245" i="3" l="1"/>
  <c r="BG243" i="3"/>
  <c r="BH243" i="3" s="1"/>
  <c r="BI243" i="3" s="1"/>
  <c r="BC244" i="3"/>
  <c r="BG244" i="3" s="1"/>
  <c r="BH244" i="3" s="1"/>
  <c r="BI244" i="3" s="1"/>
  <c r="BM247" i="3"/>
  <c r="BA245" i="3"/>
  <c r="BQ245" i="3" s="1"/>
  <c r="AU246" i="3"/>
  <c r="AT246" i="3"/>
  <c r="AN247" i="3"/>
  <c r="AY245" i="3"/>
  <c r="BC245" i="3" s="1"/>
  <c r="BG245" i="3" s="1"/>
  <c r="BH245" i="3" s="1"/>
  <c r="BI245" i="3" s="1"/>
  <c r="BF244" i="3"/>
  <c r="BJ243" i="3" s="1"/>
  <c r="BK243" i="3" s="1"/>
  <c r="BQ244" i="3"/>
  <c r="BB244" i="3"/>
  <c r="A249" i="3"/>
  <c r="B248" i="3"/>
  <c r="AR248" i="3"/>
  <c r="AQ248" i="3"/>
  <c r="D248" i="3"/>
  <c r="AK248" i="3"/>
  <c r="T248" i="3"/>
  <c r="Q248" i="3"/>
  <c r="AM248" i="3"/>
  <c r="S248" i="3"/>
  <c r="R248" i="3"/>
  <c r="AD248" i="3"/>
  <c r="P248" i="3"/>
  <c r="O248" i="3"/>
  <c r="AF248" i="3"/>
  <c r="AE248" i="3"/>
  <c r="U248" i="3"/>
  <c r="V248" i="3"/>
  <c r="M248" i="3"/>
  <c r="C248" i="3"/>
  <c r="G248" i="3"/>
  <c r="H248" i="3" s="1"/>
  <c r="BN248" i="3" s="1"/>
  <c r="F248" i="3"/>
  <c r="BJ242" i="3"/>
  <c r="BK242" i="3" s="1"/>
  <c r="X247" i="3"/>
  <c r="BN247" i="3"/>
  <c r="AG247" i="3"/>
  <c r="AO247" i="3"/>
  <c r="AW246" i="3"/>
  <c r="Y247" i="3"/>
  <c r="Z247" i="3" s="1"/>
  <c r="AH247" i="3"/>
  <c r="AX246" i="3"/>
  <c r="BM248" i="3" l="1"/>
  <c r="BD244" i="3"/>
  <c r="AT247" i="3"/>
  <c r="BF245" i="3"/>
  <c r="BJ244" i="3" s="1"/>
  <c r="BK244" i="3" s="1"/>
  <c r="AV246" i="3"/>
  <c r="AO248" i="3"/>
  <c r="BD245" i="3"/>
  <c r="BB245" i="3"/>
  <c r="AY246" i="3"/>
  <c r="AH248" i="3"/>
  <c r="AG248" i="3"/>
  <c r="Y248" i="3"/>
  <c r="Z248" i="3" s="1"/>
  <c r="AR249" i="3"/>
  <c r="B249" i="3"/>
  <c r="AQ249" i="3"/>
  <c r="A250" i="3"/>
  <c r="C249" i="3"/>
  <c r="AK249" i="3"/>
  <c r="AM249" i="3"/>
  <c r="T249" i="3"/>
  <c r="Q249" i="3"/>
  <c r="P249" i="3"/>
  <c r="AD249" i="3"/>
  <c r="O249" i="3"/>
  <c r="U249" i="3"/>
  <c r="AE249" i="3"/>
  <c r="AF249" i="3"/>
  <c r="M249" i="3"/>
  <c r="V249" i="3"/>
  <c r="D249" i="3"/>
  <c r="R249" i="3"/>
  <c r="F249" i="3"/>
  <c r="G249" i="3"/>
  <c r="H249" i="3" s="1"/>
  <c r="S249" i="3"/>
  <c r="AX247" i="3"/>
  <c r="AU247" i="3"/>
  <c r="AW247" i="3"/>
  <c r="AN248" i="3"/>
  <c r="X248" i="3"/>
  <c r="BA246" i="3"/>
  <c r="BC246" i="3" l="1"/>
  <c r="BD246" i="3" s="1"/>
  <c r="AV247" i="3"/>
  <c r="AY247" i="3"/>
  <c r="BM249" i="3"/>
  <c r="AG249" i="3"/>
  <c r="AT248" i="3"/>
  <c r="AO249" i="3"/>
  <c r="AU248" i="3"/>
  <c r="BA247" i="3"/>
  <c r="BB247" i="3" s="1"/>
  <c r="Y249" i="3"/>
  <c r="Z249" i="3" s="1"/>
  <c r="BF246" i="3"/>
  <c r="BJ245" i="3" s="1"/>
  <c r="BK245" i="3" s="1"/>
  <c r="BB246" i="3"/>
  <c r="BQ246" i="3"/>
  <c r="BN249" i="3"/>
  <c r="AH249" i="3"/>
  <c r="AN249" i="3"/>
  <c r="AX248" i="3"/>
  <c r="AR250" i="3"/>
  <c r="B250" i="3"/>
  <c r="AQ250" i="3"/>
  <c r="A251" i="3"/>
  <c r="AM250" i="3"/>
  <c r="Q250" i="3"/>
  <c r="AK250" i="3"/>
  <c r="AD250" i="3"/>
  <c r="P250" i="3"/>
  <c r="T250" i="3"/>
  <c r="S250" i="3"/>
  <c r="R250" i="3"/>
  <c r="M250" i="3"/>
  <c r="AE250" i="3"/>
  <c r="U250" i="3"/>
  <c r="O250" i="3"/>
  <c r="AF250" i="3"/>
  <c r="V250" i="3"/>
  <c r="D250" i="3"/>
  <c r="C250" i="3"/>
  <c r="G250" i="3"/>
  <c r="H250" i="3" s="1"/>
  <c r="BN250" i="3" s="1"/>
  <c r="F250" i="3"/>
  <c r="BM250" i="3" s="1"/>
  <c r="X249" i="3"/>
  <c r="AW248" i="3"/>
  <c r="BG246" i="3" l="1"/>
  <c r="BH246" i="3" s="1"/>
  <c r="BI246" i="3" s="1"/>
  <c r="AV248" i="3"/>
  <c r="AO250" i="3"/>
  <c r="BC247" i="3"/>
  <c r="BD247" i="3" s="1"/>
  <c r="AU249" i="3"/>
  <c r="AG250" i="3"/>
  <c r="AX249" i="3"/>
  <c r="BQ247" i="3"/>
  <c r="AW249" i="3"/>
  <c r="BF247" i="3"/>
  <c r="BJ246" i="3" s="1"/>
  <c r="BK246" i="3" s="1"/>
  <c r="AQ251" i="3"/>
  <c r="B251" i="3"/>
  <c r="A252" i="3"/>
  <c r="AR251" i="3"/>
  <c r="D251" i="3"/>
  <c r="AK251" i="3"/>
  <c r="S251" i="3"/>
  <c r="AM251" i="3"/>
  <c r="R251" i="3"/>
  <c r="Q251" i="3"/>
  <c r="AD251" i="3"/>
  <c r="P251" i="3"/>
  <c r="O251" i="3"/>
  <c r="AF251" i="3"/>
  <c r="V251" i="3"/>
  <c r="U251" i="3"/>
  <c r="M251" i="3"/>
  <c r="AE251" i="3"/>
  <c r="F251" i="3"/>
  <c r="C251" i="3"/>
  <c r="G251" i="3"/>
  <c r="H251" i="3" s="1"/>
  <c r="T251" i="3"/>
  <c r="Y250" i="3"/>
  <c r="Z250" i="3" s="1"/>
  <c r="X250" i="3"/>
  <c r="AH250" i="3"/>
  <c r="AY248" i="3"/>
  <c r="AN250" i="3"/>
  <c r="AT249" i="3"/>
  <c r="BA248" i="3"/>
  <c r="BC248" i="3" l="1"/>
  <c r="BN251" i="3"/>
  <c r="AN251" i="3"/>
  <c r="AY249" i="3"/>
  <c r="BG247" i="3"/>
  <c r="BH247" i="3" s="1"/>
  <c r="BI247" i="3" s="1"/>
  <c r="AU250" i="3"/>
  <c r="AW250" i="3"/>
  <c r="AT250" i="3"/>
  <c r="AV250" i="3" s="1"/>
  <c r="AG251" i="3"/>
  <c r="Y251" i="3"/>
  <c r="Z251" i="3" s="1"/>
  <c r="X251" i="3"/>
  <c r="BQ248" i="3"/>
  <c r="BF248" i="3"/>
  <c r="BJ247" i="3" s="1"/>
  <c r="BK247" i="3" s="1"/>
  <c r="BB248" i="3"/>
  <c r="BD248" i="3"/>
  <c r="BG248" i="3"/>
  <c r="BH248" i="3" s="1"/>
  <c r="BI248" i="3" s="1"/>
  <c r="AV249" i="3"/>
  <c r="BA249" i="3"/>
  <c r="A253" i="3"/>
  <c r="B252" i="3"/>
  <c r="AR252" i="3"/>
  <c r="AQ252" i="3"/>
  <c r="AK252" i="3"/>
  <c r="T252" i="3"/>
  <c r="C252" i="3"/>
  <c r="AM252" i="3"/>
  <c r="AD252" i="3"/>
  <c r="Q252" i="3"/>
  <c r="P252" i="3"/>
  <c r="M252" i="3"/>
  <c r="AE252" i="3"/>
  <c r="V252" i="3"/>
  <c r="U252" i="3"/>
  <c r="O252" i="3"/>
  <c r="AF252" i="3"/>
  <c r="D252" i="3"/>
  <c r="R252" i="3"/>
  <c r="G252" i="3"/>
  <c r="H252" i="3" s="1"/>
  <c r="BN252" i="3" s="1"/>
  <c r="F252" i="3"/>
  <c r="S252" i="3"/>
  <c r="AX250" i="3"/>
  <c r="BM251" i="3"/>
  <c r="AH251" i="3"/>
  <c r="AO251" i="3"/>
  <c r="BM252" i="3" l="1"/>
  <c r="AY250" i="3"/>
  <c r="BC250" i="3" s="1"/>
  <c r="BC249" i="3"/>
  <c r="BD249" i="3" s="1"/>
  <c r="AX251" i="3"/>
  <c r="AO252" i="3"/>
  <c r="AT251" i="3"/>
  <c r="AU251" i="3"/>
  <c r="Y252" i="3"/>
  <c r="Z252" i="3" s="1"/>
  <c r="BF249" i="3"/>
  <c r="BJ248" i="3" s="1"/>
  <c r="BK248" i="3" s="1"/>
  <c r="BQ249" i="3"/>
  <c r="BB249" i="3"/>
  <c r="AW251" i="3"/>
  <c r="BA250" i="3"/>
  <c r="X252" i="3"/>
  <c r="AN252" i="3"/>
  <c r="AR253" i="3"/>
  <c r="B253" i="3"/>
  <c r="AQ253" i="3"/>
  <c r="A254" i="3"/>
  <c r="C253" i="3"/>
  <c r="AM253" i="3"/>
  <c r="S253" i="3"/>
  <c r="AK253" i="3"/>
  <c r="R253" i="3"/>
  <c r="AD253" i="3"/>
  <c r="Q253" i="3"/>
  <c r="P253" i="3"/>
  <c r="O253" i="3"/>
  <c r="V253" i="3"/>
  <c r="AF253" i="3"/>
  <c r="M253" i="3"/>
  <c r="AE253" i="3"/>
  <c r="U253" i="3"/>
  <c r="D253" i="3"/>
  <c r="G253" i="3"/>
  <c r="H253" i="3" s="1"/>
  <c r="F253" i="3"/>
  <c r="T253" i="3"/>
  <c r="AG252" i="3"/>
  <c r="AH252" i="3"/>
  <c r="BM253" i="3" l="1"/>
  <c r="AY251" i="3"/>
  <c r="BG249" i="3"/>
  <c r="BH249" i="3" s="1"/>
  <c r="BI249" i="3" s="1"/>
  <c r="AV251" i="3"/>
  <c r="AO253" i="3"/>
  <c r="AG253" i="3"/>
  <c r="AW252" i="3"/>
  <c r="BA251" i="3"/>
  <c r="BB251" i="3" s="1"/>
  <c r="AR254" i="3"/>
  <c r="B254" i="3"/>
  <c r="AQ254" i="3"/>
  <c r="A255" i="3"/>
  <c r="C254" i="3"/>
  <c r="AM254" i="3"/>
  <c r="R254" i="3"/>
  <c r="D254" i="3"/>
  <c r="AK254" i="3"/>
  <c r="Q254" i="3"/>
  <c r="P254" i="3"/>
  <c r="AD254" i="3"/>
  <c r="M254" i="3"/>
  <c r="U254" i="3"/>
  <c r="O254" i="3"/>
  <c r="AE254" i="3"/>
  <c r="AF254" i="3"/>
  <c r="V254" i="3"/>
  <c r="G254" i="3"/>
  <c r="H254" i="3" s="1"/>
  <c r="F254" i="3"/>
  <c r="T254" i="3"/>
  <c r="S254" i="3"/>
  <c r="AT252" i="3"/>
  <c r="X253" i="3"/>
  <c r="AX252" i="3"/>
  <c r="Y253" i="3"/>
  <c r="Z253" i="3" s="1"/>
  <c r="BN253" i="3"/>
  <c r="AH253" i="3"/>
  <c r="AN253" i="3"/>
  <c r="AU252" i="3"/>
  <c r="BD250" i="3"/>
  <c r="BG250" i="3"/>
  <c r="BH250" i="3" s="1"/>
  <c r="BI250" i="3" s="1"/>
  <c r="BF250" i="3"/>
  <c r="BJ249" i="3" s="1"/>
  <c r="BB250" i="3"/>
  <c r="BQ250" i="3"/>
  <c r="BK249" i="3" l="1"/>
  <c r="BC251" i="3"/>
  <c r="BG251" i="3" s="1"/>
  <c r="BH251" i="3" s="1"/>
  <c r="BI251" i="3" s="1"/>
  <c r="AU253" i="3"/>
  <c r="BM254" i="3"/>
  <c r="AT253" i="3"/>
  <c r="BQ251" i="3"/>
  <c r="AW253" i="3"/>
  <c r="AG254" i="3"/>
  <c r="AN254" i="3"/>
  <c r="BF251" i="3"/>
  <c r="BJ250" i="3" s="1"/>
  <c r="BK250" i="3" s="1"/>
  <c r="BA252" i="3"/>
  <c r="BQ252" i="3" s="1"/>
  <c r="AY252" i="3"/>
  <c r="AX253" i="3"/>
  <c r="AV252" i="3"/>
  <c r="Y254" i="3"/>
  <c r="Z254" i="3" s="1"/>
  <c r="BN254" i="3"/>
  <c r="AO254" i="3"/>
  <c r="AQ255" i="3"/>
  <c r="B255" i="3"/>
  <c r="A256" i="3"/>
  <c r="AR255" i="3"/>
  <c r="AM255" i="3"/>
  <c r="Q255" i="3"/>
  <c r="AK255" i="3"/>
  <c r="S255" i="3"/>
  <c r="AD255" i="3"/>
  <c r="O255" i="3"/>
  <c r="AE255" i="3"/>
  <c r="M255" i="3"/>
  <c r="P255" i="3"/>
  <c r="AF255" i="3"/>
  <c r="V255" i="3"/>
  <c r="U255" i="3"/>
  <c r="G255" i="3"/>
  <c r="H255" i="3" s="1"/>
  <c r="R255" i="3"/>
  <c r="D255" i="3"/>
  <c r="C255" i="3"/>
  <c r="F255" i="3"/>
  <c r="T255" i="3"/>
  <c r="X254" i="3"/>
  <c r="AH254" i="3"/>
  <c r="BD251" i="3" l="1"/>
  <c r="AV253" i="3"/>
  <c r="AO255" i="3"/>
  <c r="BA253" i="3"/>
  <c r="BF253" i="3" s="1"/>
  <c r="BM255" i="3"/>
  <c r="BN255" i="3"/>
  <c r="BF252" i="3"/>
  <c r="BJ251" i="3" s="1"/>
  <c r="BK251" i="3" s="1"/>
  <c r="AG255" i="3"/>
  <c r="AW254" i="3"/>
  <c r="BB252" i="3"/>
  <c r="AX254" i="3"/>
  <c r="AY253" i="3"/>
  <c r="Y255" i="3"/>
  <c r="Z255" i="3" s="1"/>
  <c r="X255" i="3"/>
  <c r="AT254" i="3"/>
  <c r="A257" i="3"/>
  <c r="B256" i="3"/>
  <c r="AR256" i="3"/>
  <c r="AQ256" i="3"/>
  <c r="C256" i="3"/>
  <c r="AK256" i="3"/>
  <c r="S256" i="3"/>
  <c r="AM256" i="3"/>
  <c r="R256" i="3"/>
  <c r="AD256" i="3"/>
  <c r="Q256" i="3"/>
  <c r="P256" i="3"/>
  <c r="O256" i="3"/>
  <c r="M256" i="3"/>
  <c r="AF256" i="3"/>
  <c r="V256" i="3"/>
  <c r="AE256" i="3"/>
  <c r="U256" i="3"/>
  <c r="G256" i="3"/>
  <c r="H256" i="3" s="1"/>
  <c r="D256" i="3"/>
  <c r="F256" i="3"/>
  <c r="BM256" i="3" s="1"/>
  <c r="T256" i="3"/>
  <c r="AH255" i="3"/>
  <c r="AN255" i="3"/>
  <c r="AU254" i="3"/>
  <c r="BC252" i="3"/>
  <c r="BC253" i="3" l="1"/>
  <c r="BG253" i="3" s="1"/>
  <c r="BH253" i="3" s="1"/>
  <c r="BI253" i="3" s="1"/>
  <c r="AN256" i="3"/>
  <c r="AU255" i="3"/>
  <c r="BN256" i="3"/>
  <c r="BB253" i="3"/>
  <c r="BQ253" i="3"/>
  <c r="AY254" i="3"/>
  <c r="BJ252" i="3"/>
  <c r="BK252" i="3" s="1"/>
  <c r="AW255" i="3"/>
  <c r="AG256" i="3"/>
  <c r="BD252" i="3"/>
  <c r="BG252" i="3"/>
  <c r="BH252" i="3" s="1"/>
  <c r="BI252" i="3" s="1"/>
  <c r="AX255" i="3"/>
  <c r="Y256" i="3"/>
  <c r="Z256" i="3" s="1"/>
  <c r="AH256" i="3"/>
  <c r="AO256" i="3"/>
  <c r="AT255" i="3"/>
  <c r="AR257" i="3"/>
  <c r="B257" i="3"/>
  <c r="AQ257" i="3"/>
  <c r="A258" i="3"/>
  <c r="AM257" i="3"/>
  <c r="AK257" i="3"/>
  <c r="T257" i="3"/>
  <c r="S257" i="3"/>
  <c r="Q257" i="3"/>
  <c r="R257" i="3"/>
  <c r="AD257" i="3"/>
  <c r="P257" i="3"/>
  <c r="AE257" i="3"/>
  <c r="M257" i="3"/>
  <c r="AF257" i="3"/>
  <c r="V257" i="3"/>
  <c r="U257" i="3"/>
  <c r="O257" i="3"/>
  <c r="D257" i="3"/>
  <c r="F257" i="3"/>
  <c r="C257" i="3"/>
  <c r="G257" i="3"/>
  <c r="H257" i="3" s="1"/>
  <c r="BA254" i="3"/>
  <c r="AV254" i="3"/>
  <c r="X256" i="3"/>
  <c r="BD253" i="3" l="1"/>
  <c r="AV255" i="3"/>
  <c r="BC254" i="3"/>
  <c r="AY255" i="3"/>
  <c r="AU256" i="3"/>
  <c r="AG257" i="3"/>
  <c r="AT256" i="3"/>
  <c r="AV256" i="3" s="1"/>
  <c r="AW256" i="3"/>
  <c r="AN257" i="3"/>
  <c r="AX256" i="3"/>
  <c r="BA255" i="3"/>
  <c r="BQ255" i="3" s="1"/>
  <c r="Y257" i="3"/>
  <c r="Z257" i="3" s="1"/>
  <c r="BD254" i="3"/>
  <c r="BG254" i="3"/>
  <c r="BH254" i="3" s="1"/>
  <c r="BI254" i="3" s="1"/>
  <c r="X257" i="3"/>
  <c r="BM257" i="3"/>
  <c r="AR258" i="3"/>
  <c r="B258" i="3"/>
  <c r="AQ258" i="3"/>
  <c r="A259" i="3"/>
  <c r="D258" i="3"/>
  <c r="C258" i="3"/>
  <c r="AK258" i="3"/>
  <c r="AM258" i="3"/>
  <c r="R258" i="3"/>
  <c r="Q258" i="3"/>
  <c r="AD258" i="3"/>
  <c r="P258" i="3"/>
  <c r="O258" i="3"/>
  <c r="AF258" i="3"/>
  <c r="AE258" i="3"/>
  <c r="M258" i="3"/>
  <c r="V258" i="3"/>
  <c r="U258" i="3"/>
  <c r="F258" i="3"/>
  <c r="G258" i="3"/>
  <c r="H258" i="3" s="1"/>
  <c r="S258" i="3"/>
  <c r="T258" i="3"/>
  <c r="AH257" i="3"/>
  <c r="BN257" i="3"/>
  <c r="AO257" i="3"/>
  <c r="BQ254" i="3"/>
  <c r="BB254" i="3"/>
  <c r="BF254" i="3"/>
  <c r="BJ253" i="3" s="1"/>
  <c r="BK253" i="3" s="1"/>
  <c r="BC255" i="3" l="1"/>
  <c r="BG255" i="3" s="1"/>
  <c r="BH255" i="3" s="1"/>
  <c r="BI255" i="3" s="1"/>
  <c r="AN258" i="3"/>
  <c r="BN258" i="3"/>
  <c r="AY256" i="3"/>
  <c r="BC256" i="3" s="1"/>
  <c r="AT257" i="3"/>
  <c r="AU257" i="3"/>
  <c r="BA256" i="3"/>
  <c r="BF256" i="3" s="1"/>
  <c r="AW257" i="3"/>
  <c r="BF255" i="3"/>
  <c r="BJ254" i="3" s="1"/>
  <c r="BK254" i="3" s="1"/>
  <c r="BB255" i="3"/>
  <c r="Y258" i="3"/>
  <c r="Z258" i="3" s="1"/>
  <c r="AX257" i="3"/>
  <c r="X258" i="3"/>
  <c r="BM258" i="3"/>
  <c r="AG258" i="3"/>
  <c r="AH258" i="3"/>
  <c r="AO258" i="3"/>
  <c r="AQ259" i="3"/>
  <c r="B259" i="3"/>
  <c r="A260" i="3"/>
  <c r="AR259" i="3"/>
  <c r="C259" i="3"/>
  <c r="D259" i="3"/>
  <c r="AM259" i="3"/>
  <c r="AK259" i="3"/>
  <c r="T259" i="3"/>
  <c r="Q259" i="3"/>
  <c r="R259" i="3"/>
  <c r="AD259" i="3"/>
  <c r="P259" i="3"/>
  <c r="O259" i="3"/>
  <c r="M259" i="3"/>
  <c r="AE259" i="3"/>
  <c r="V259" i="3"/>
  <c r="AF259" i="3"/>
  <c r="U259" i="3"/>
  <c r="G259" i="3"/>
  <c r="H259" i="3" s="1"/>
  <c r="F259" i="3"/>
  <c r="S259" i="3"/>
  <c r="BD255" i="3" l="1"/>
  <c r="BM259" i="3"/>
  <c r="BN259" i="3"/>
  <c r="AV257" i="3"/>
  <c r="BG256" i="3"/>
  <c r="BH256" i="3" s="1"/>
  <c r="BI256" i="3" s="1"/>
  <c r="BD256" i="3"/>
  <c r="AG259" i="3"/>
  <c r="AT258" i="3"/>
  <c r="BQ256" i="3"/>
  <c r="BB256" i="3"/>
  <c r="BA257" i="3"/>
  <c r="BF257" i="3" s="1"/>
  <c r="BJ256" i="3" s="1"/>
  <c r="BK256" i="3" s="1"/>
  <c r="AX258" i="3"/>
  <c r="BJ255" i="3"/>
  <c r="BK255" i="3" s="1"/>
  <c r="X259" i="3"/>
  <c r="AN259" i="3"/>
  <c r="AO259" i="3"/>
  <c r="Y259" i="3"/>
  <c r="Z259" i="3" s="1"/>
  <c r="A261" i="3"/>
  <c r="B260" i="3"/>
  <c r="AR260" i="3"/>
  <c r="AQ260" i="3"/>
  <c r="C260" i="3"/>
  <c r="AM260" i="3"/>
  <c r="Q260" i="3"/>
  <c r="AK260" i="3"/>
  <c r="T260" i="3"/>
  <c r="R260" i="3"/>
  <c r="AD260" i="3"/>
  <c r="P260" i="3"/>
  <c r="O260" i="3"/>
  <c r="M260" i="3"/>
  <c r="V260" i="3"/>
  <c r="AE260" i="3"/>
  <c r="AF260" i="3"/>
  <c r="U260" i="3"/>
  <c r="G260" i="3"/>
  <c r="H260" i="3" s="1"/>
  <c r="D260" i="3"/>
  <c r="F260" i="3"/>
  <c r="BM260" i="3" s="1"/>
  <c r="S260" i="3"/>
  <c r="AH259" i="3"/>
  <c r="AY257" i="3"/>
  <c r="AU258" i="3"/>
  <c r="AW258" i="3"/>
  <c r="BC257" i="3" l="1"/>
  <c r="BD257" i="3" s="1"/>
  <c r="AU259" i="3"/>
  <c r="BB257" i="3"/>
  <c r="BN260" i="3"/>
  <c r="BQ257" i="3"/>
  <c r="AV258" i="3"/>
  <c r="AY258" i="3"/>
  <c r="AW259" i="3"/>
  <c r="AT259" i="3"/>
  <c r="BA258" i="3"/>
  <c r="BQ258" i="3" s="1"/>
  <c r="Y260" i="3"/>
  <c r="Z260" i="3" s="1"/>
  <c r="AN260" i="3"/>
  <c r="AO260" i="3"/>
  <c r="AH260" i="3"/>
  <c r="AX259" i="3"/>
  <c r="X260" i="3"/>
  <c r="AG260" i="3"/>
  <c r="AR261" i="3"/>
  <c r="B261" i="3"/>
  <c r="AQ261" i="3"/>
  <c r="A262" i="3"/>
  <c r="AK261" i="3"/>
  <c r="AM261" i="3"/>
  <c r="R261" i="3"/>
  <c r="S261" i="3"/>
  <c r="AD261" i="3"/>
  <c r="P261" i="3"/>
  <c r="O261" i="3"/>
  <c r="AE261" i="3"/>
  <c r="AF261" i="3"/>
  <c r="U261" i="3"/>
  <c r="V261" i="3"/>
  <c r="M261" i="3"/>
  <c r="Q261" i="3"/>
  <c r="C261" i="3"/>
  <c r="F261" i="3"/>
  <c r="D261" i="3"/>
  <c r="G261" i="3"/>
  <c r="H261" i="3" s="1"/>
  <c r="T261" i="3"/>
  <c r="BG257" i="3" l="1"/>
  <c r="BH257" i="3" s="1"/>
  <c r="BI257" i="3" s="1"/>
  <c r="AV259" i="3"/>
  <c r="BN261" i="3"/>
  <c r="BM261" i="3"/>
  <c r="BC258" i="3"/>
  <c r="BG258" i="3" s="1"/>
  <c r="BH258" i="3" s="1"/>
  <c r="BI258" i="3" s="1"/>
  <c r="BA259" i="3"/>
  <c r="BF259" i="3" s="1"/>
  <c r="BB258" i="3"/>
  <c r="AO261" i="3"/>
  <c r="BF258" i="3"/>
  <c r="BJ257" i="3" s="1"/>
  <c r="BK257" i="3" s="1"/>
  <c r="AU260" i="3"/>
  <c r="AY259" i="3"/>
  <c r="AX260" i="3"/>
  <c r="AW260" i="3"/>
  <c r="AR262" i="3"/>
  <c r="B262" i="3"/>
  <c r="AQ262" i="3"/>
  <c r="A263" i="3"/>
  <c r="C262" i="3"/>
  <c r="D262" i="3"/>
  <c r="AM262" i="3"/>
  <c r="T262" i="3"/>
  <c r="Q262" i="3"/>
  <c r="AK262" i="3"/>
  <c r="R262" i="3"/>
  <c r="AD262" i="3"/>
  <c r="P262" i="3"/>
  <c r="AE262" i="3"/>
  <c r="V262" i="3"/>
  <c r="U262" i="3"/>
  <c r="O262" i="3"/>
  <c r="AF262" i="3"/>
  <c r="M262" i="3"/>
  <c r="G262" i="3"/>
  <c r="H262" i="3" s="1"/>
  <c r="F262" i="3"/>
  <c r="BM262" i="3" s="1"/>
  <c r="S262" i="3"/>
  <c r="AH261" i="3"/>
  <c r="AT260" i="3"/>
  <c r="Y261" i="3"/>
  <c r="Z261" i="3" s="1"/>
  <c r="X261" i="3"/>
  <c r="AG261" i="3"/>
  <c r="AN261" i="3"/>
  <c r="BN262" i="3" l="1"/>
  <c r="BD258" i="3"/>
  <c r="BB259" i="3"/>
  <c r="BC259" i="3"/>
  <c r="BD259" i="3" s="1"/>
  <c r="AN262" i="3"/>
  <c r="BJ258" i="3"/>
  <c r="BK258" i="3" s="1"/>
  <c r="BQ259" i="3"/>
  <c r="AW261" i="3"/>
  <c r="Y262" i="3"/>
  <c r="Z262" i="3" s="1"/>
  <c r="AQ263" i="3"/>
  <c r="B263" i="3"/>
  <c r="A264" i="3"/>
  <c r="AR263" i="3"/>
  <c r="C263" i="3"/>
  <c r="AK263" i="3"/>
  <c r="AM263" i="3"/>
  <c r="Q263" i="3"/>
  <c r="R263" i="3"/>
  <c r="AD263" i="3"/>
  <c r="P263" i="3"/>
  <c r="O263" i="3"/>
  <c r="AE263" i="3"/>
  <c r="AF263" i="3"/>
  <c r="U263" i="3"/>
  <c r="M263" i="3"/>
  <c r="V263" i="3"/>
  <c r="F263" i="3"/>
  <c r="D263" i="3"/>
  <c r="G263" i="3"/>
  <c r="H263" i="3" s="1"/>
  <c r="T263" i="3"/>
  <c r="S263" i="3"/>
  <c r="AX261" i="3"/>
  <c r="AU261" i="3"/>
  <c r="AT261" i="3"/>
  <c r="X262" i="3"/>
  <c r="AG262" i="3"/>
  <c r="AH262" i="3"/>
  <c r="AO262" i="3"/>
  <c r="AY260" i="3"/>
  <c r="AV260" i="3"/>
  <c r="BA260" i="3"/>
  <c r="AY261" i="3" l="1"/>
  <c r="BG259" i="3"/>
  <c r="BH259" i="3" s="1"/>
  <c r="BI259" i="3" s="1"/>
  <c r="BN263" i="3"/>
  <c r="BM263" i="3"/>
  <c r="AT262" i="3"/>
  <c r="AO263" i="3"/>
  <c r="X263" i="3"/>
  <c r="BC260" i="3"/>
  <c r="BD260" i="3" s="1"/>
  <c r="BB260" i="3"/>
  <c r="BF260" i="3"/>
  <c r="BJ259" i="3" s="1"/>
  <c r="BK259" i="3" s="1"/>
  <c r="BQ260" i="3"/>
  <c r="A265" i="3"/>
  <c r="B264" i="3"/>
  <c r="AR264" i="3"/>
  <c r="AQ264" i="3"/>
  <c r="D264" i="3"/>
  <c r="AK264" i="3"/>
  <c r="AM264" i="3"/>
  <c r="R264" i="3"/>
  <c r="P264" i="3"/>
  <c r="S264" i="3"/>
  <c r="AD264" i="3"/>
  <c r="O264" i="3"/>
  <c r="M264" i="3"/>
  <c r="AE264" i="3"/>
  <c r="AF264" i="3"/>
  <c r="V264" i="3"/>
  <c r="U264" i="3"/>
  <c r="Q264" i="3"/>
  <c r="C264" i="3"/>
  <c r="F264" i="3"/>
  <c r="G264" i="3"/>
  <c r="H264" i="3" s="1"/>
  <c r="T264" i="3"/>
  <c r="AX262" i="3"/>
  <c r="Y263" i="3"/>
  <c r="Z263" i="3" s="1"/>
  <c r="AG263" i="3"/>
  <c r="AN263" i="3"/>
  <c r="AV261" i="3"/>
  <c r="BA261" i="3"/>
  <c r="AW262" i="3"/>
  <c r="AU262" i="3"/>
  <c r="AH263" i="3"/>
  <c r="BN264" i="3" l="1"/>
  <c r="AV262" i="3"/>
  <c r="AT263" i="3"/>
  <c r="BC261" i="3"/>
  <c r="BD261" i="3" s="1"/>
  <c r="AN264" i="3"/>
  <c r="AY262" i="3"/>
  <c r="BG260" i="3"/>
  <c r="BH260" i="3" s="1"/>
  <c r="BI260" i="3" s="1"/>
  <c r="AW263" i="3"/>
  <c r="X264" i="3"/>
  <c r="BF261" i="3"/>
  <c r="BB261" i="3"/>
  <c r="BQ261" i="3"/>
  <c r="AH264" i="3"/>
  <c r="AX263" i="3"/>
  <c r="Y264" i="3"/>
  <c r="Z264" i="3" s="1"/>
  <c r="BM264" i="3"/>
  <c r="AG264" i="3"/>
  <c r="AO264" i="3"/>
  <c r="BA262" i="3"/>
  <c r="AR265" i="3"/>
  <c r="B265" i="3"/>
  <c r="AQ265" i="3"/>
  <c r="A266" i="3"/>
  <c r="AK265" i="3"/>
  <c r="S265" i="3"/>
  <c r="AM265" i="3"/>
  <c r="R265" i="3"/>
  <c r="Q265" i="3"/>
  <c r="AD265" i="3"/>
  <c r="P265" i="3"/>
  <c r="M265" i="3"/>
  <c r="AE265" i="3"/>
  <c r="V265" i="3"/>
  <c r="O265" i="3"/>
  <c r="AF265" i="3"/>
  <c r="U265" i="3"/>
  <c r="C265" i="3"/>
  <c r="D265" i="3"/>
  <c r="G265" i="3"/>
  <c r="H265" i="3" s="1"/>
  <c r="F265" i="3"/>
  <c r="T265" i="3"/>
  <c r="AU263" i="3"/>
  <c r="BC262" i="3" l="1"/>
  <c r="BG262" i="3" s="1"/>
  <c r="BH262" i="3" s="1"/>
  <c r="BI262" i="3" s="1"/>
  <c r="AV263" i="3"/>
  <c r="AU264" i="3"/>
  <c r="BG261" i="3"/>
  <c r="BH261" i="3" s="1"/>
  <c r="BI261" i="3" s="1"/>
  <c r="AY263" i="3"/>
  <c r="AN265" i="3"/>
  <c r="BN265" i="3"/>
  <c r="AT264" i="3"/>
  <c r="X265" i="3"/>
  <c r="BJ260" i="3"/>
  <c r="BK260" i="3" s="1"/>
  <c r="BM265" i="3"/>
  <c r="AG265" i="3"/>
  <c r="AO265" i="3"/>
  <c r="BA263" i="3"/>
  <c r="AW264" i="3"/>
  <c r="AX264" i="3"/>
  <c r="AR266" i="3"/>
  <c r="B266" i="3"/>
  <c r="AQ266" i="3"/>
  <c r="A267" i="3"/>
  <c r="C266" i="3"/>
  <c r="D266" i="3"/>
  <c r="S266" i="3"/>
  <c r="Q266" i="3"/>
  <c r="R266" i="3"/>
  <c r="AM266" i="3"/>
  <c r="AK266" i="3"/>
  <c r="AD266" i="3"/>
  <c r="P266" i="3"/>
  <c r="O266" i="3"/>
  <c r="M266" i="3"/>
  <c r="AF266" i="3"/>
  <c r="U266" i="3"/>
  <c r="V266" i="3"/>
  <c r="AE266" i="3"/>
  <c r="G266" i="3"/>
  <c r="H266" i="3" s="1"/>
  <c r="F266" i="3"/>
  <c r="BM266" i="3" s="1"/>
  <c r="T266" i="3"/>
  <c r="BF262" i="3"/>
  <c r="BJ261" i="3" s="1"/>
  <c r="BK261" i="3" s="1"/>
  <c r="BB262" i="3"/>
  <c r="BQ262" i="3"/>
  <c r="Y265" i="3"/>
  <c r="Z265" i="3" s="1"/>
  <c r="AH265" i="3"/>
  <c r="BD262" i="3" l="1"/>
  <c r="BN266" i="3"/>
  <c r="BC263" i="3"/>
  <c r="BD263" i="3" s="1"/>
  <c r="AV264" i="3"/>
  <c r="AO266" i="3"/>
  <c r="AN266" i="3"/>
  <c r="Y266" i="3"/>
  <c r="Z266" i="3" s="1"/>
  <c r="AX265" i="3"/>
  <c r="AG266" i="3"/>
  <c r="AT265" i="3"/>
  <c r="AW265" i="3"/>
  <c r="X266" i="3"/>
  <c r="AY264" i="3"/>
  <c r="AU265" i="3"/>
  <c r="AQ267" i="3"/>
  <c r="B267" i="3"/>
  <c r="A268" i="3"/>
  <c r="AR267" i="3"/>
  <c r="AK267" i="3"/>
  <c r="Q267" i="3"/>
  <c r="R267" i="3"/>
  <c r="D267" i="3"/>
  <c r="AM267" i="3"/>
  <c r="C267" i="3"/>
  <c r="T267" i="3"/>
  <c r="AD267" i="3"/>
  <c r="O267" i="3"/>
  <c r="M267" i="3"/>
  <c r="AE267" i="3"/>
  <c r="AF267" i="3"/>
  <c r="U267" i="3"/>
  <c r="V267" i="3"/>
  <c r="G267" i="3"/>
  <c r="H267" i="3" s="1"/>
  <c r="F267" i="3"/>
  <c r="P267" i="3"/>
  <c r="S267" i="3"/>
  <c r="BF263" i="3"/>
  <c r="BJ262" i="3" s="1"/>
  <c r="BK262" i="3" s="1"/>
  <c r="BQ263" i="3"/>
  <c r="BB263" i="3"/>
  <c r="AH266" i="3"/>
  <c r="BA264" i="3"/>
  <c r="BG263" i="3" l="1"/>
  <c r="BH263" i="3" s="1"/>
  <c r="BI263" i="3" s="1"/>
  <c r="BM267" i="3"/>
  <c r="AN267" i="3"/>
  <c r="BC264" i="3"/>
  <c r="BD264" i="3" s="1"/>
  <c r="BN267" i="3"/>
  <c r="Y267" i="3"/>
  <c r="Z267" i="3" s="1"/>
  <c r="AY265" i="3"/>
  <c r="AX266" i="3"/>
  <c r="X267" i="3"/>
  <c r="BQ264" i="3"/>
  <c r="BB264" i="3"/>
  <c r="BF264" i="3"/>
  <c r="BJ263" i="3" s="1"/>
  <c r="BK263" i="3" s="1"/>
  <c r="A269" i="3"/>
  <c r="B268" i="3"/>
  <c r="AR268" i="3"/>
  <c r="AQ268" i="3"/>
  <c r="D268" i="3"/>
  <c r="AK268" i="3"/>
  <c r="AM268" i="3"/>
  <c r="R268" i="3"/>
  <c r="S268" i="3"/>
  <c r="Q268" i="3"/>
  <c r="AD268" i="3"/>
  <c r="O268" i="3"/>
  <c r="P268" i="3"/>
  <c r="AF268" i="3"/>
  <c r="AE268" i="3"/>
  <c r="U268" i="3"/>
  <c r="M268" i="3"/>
  <c r="V268" i="3"/>
  <c r="G268" i="3"/>
  <c r="H268" i="3" s="1"/>
  <c r="C268" i="3"/>
  <c r="F268" i="3"/>
  <c r="T268" i="3"/>
  <c r="AV265" i="3"/>
  <c r="BA265" i="3"/>
  <c r="AG267" i="3"/>
  <c r="AO267" i="3"/>
  <c r="AU266" i="3"/>
  <c r="AW266" i="3"/>
  <c r="AH267" i="3"/>
  <c r="AT266" i="3"/>
  <c r="AY266" i="3" l="1"/>
  <c r="BN268" i="3"/>
  <c r="AT267" i="3"/>
  <c r="BG264" i="3"/>
  <c r="BH264" i="3" s="1"/>
  <c r="BI264" i="3" s="1"/>
  <c r="BC265" i="3"/>
  <c r="BG265" i="3" s="1"/>
  <c r="BH265" i="3" s="1"/>
  <c r="BI265" i="3" s="1"/>
  <c r="AG268" i="3"/>
  <c r="BM268" i="3"/>
  <c r="AN268" i="3"/>
  <c r="AW267" i="3"/>
  <c r="AV266" i="3"/>
  <c r="BA266" i="3"/>
  <c r="BF265" i="3"/>
  <c r="BJ264" i="3" s="1"/>
  <c r="BK264" i="3" s="1"/>
  <c r="BQ265" i="3"/>
  <c r="BB265" i="3"/>
  <c r="AX267" i="3"/>
  <c r="Y268" i="3"/>
  <c r="Z268" i="3" s="1"/>
  <c r="X268" i="3"/>
  <c r="AO268" i="3"/>
  <c r="AR269" i="3"/>
  <c r="B269" i="3"/>
  <c r="AQ269" i="3"/>
  <c r="A270" i="3"/>
  <c r="D269" i="3"/>
  <c r="AM269" i="3"/>
  <c r="S269" i="3"/>
  <c r="AK269" i="3"/>
  <c r="Q269" i="3"/>
  <c r="R269" i="3"/>
  <c r="AD269" i="3"/>
  <c r="P269" i="3"/>
  <c r="T269" i="3"/>
  <c r="AE269" i="3"/>
  <c r="O269" i="3"/>
  <c r="M269" i="3"/>
  <c r="U269" i="3"/>
  <c r="AF269" i="3"/>
  <c r="V269" i="3"/>
  <c r="C269" i="3"/>
  <c r="F269" i="3"/>
  <c r="G269" i="3"/>
  <c r="H269" i="3" s="1"/>
  <c r="AU267" i="3"/>
  <c r="AH268" i="3"/>
  <c r="BC266" i="3" l="1"/>
  <c r="BG266" i="3" s="1"/>
  <c r="BH266" i="3" s="1"/>
  <c r="BI266" i="3" s="1"/>
  <c r="BD265" i="3"/>
  <c r="AY267" i="3"/>
  <c r="AX268" i="3"/>
  <c r="BM269" i="3"/>
  <c r="BN269" i="3"/>
  <c r="AT268" i="3"/>
  <c r="BA267" i="3"/>
  <c r="BF267" i="3" s="1"/>
  <c r="Y269" i="3"/>
  <c r="Z269" i="3" s="1"/>
  <c r="AW268" i="3"/>
  <c r="AH269" i="3"/>
  <c r="AN269" i="3"/>
  <c r="AO269" i="3"/>
  <c r="AR270" i="3"/>
  <c r="B270" i="3"/>
  <c r="AQ270" i="3"/>
  <c r="A271" i="3"/>
  <c r="AK270" i="3"/>
  <c r="AM270" i="3"/>
  <c r="C270" i="3"/>
  <c r="T270" i="3"/>
  <c r="R270" i="3"/>
  <c r="S270" i="3"/>
  <c r="Q270" i="3"/>
  <c r="AD270" i="3"/>
  <c r="P270" i="3"/>
  <c r="O270" i="3"/>
  <c r="V270" i="3"/>
  <c r="M270" i="3"/>
  <c r="AF270" i="3"/>
  <c r="AE270" i="3"/>
  <c r="U270" i="3"/>
  <c r="D270" i="3"/>
  <c r="G270" i="3"/>
  <c r="H270" i="3" s="1"/>
  <c r="F270" i="3"/>
  <c r="BB266" i="3"/>
  <c r="BQ266" i="3"/>
  <c r="BF266" i="3"/>
  <c r="BJ265" i="3" s="1"/>
  <c r="BK265" i="3" s="1"/>
  <c r="X269" i="3"/>
  <c r="AG269" i="3"/>
  <c r="AU268" i="3"/>
  <c r="AV267" i="3"/>
  <c r="BD266" i="3" l="1"/>
  <c r="AY268" i="3"/>
  <c r="BC267" i="3"/>
  <c r="BG267" i="3" s="1"/>
  <c r="BH267" i="3" s="1"/>
  <c r="BI267" i="3" s="1"/>
  <c r="BB267" i="3"/>
  <c r="BN270" i="3"/>
  <c r="AV268" i="3"/>
  <c r="AO270" i="3"/>
  <c r="BQ267" i="3"/>
  <c r="AW269" i="3"/>
  <c r="BJ266" i="3"/>
  <c r="BK266" i="3" s="1"/>
  <c r="BA268" i="3"/>
  <c r="AU269" i="3"/>
  <c r="Y270" i="3"/>
  <c r="Z270" i="3" s="1"/>
  <c r="AQ271" i="3"/>
  <c r="B271" i="3"/>
  <c r="A272" i="3"/>
  <c r="AR271" i="3"/>
  <c r="AK271" i="3"/>
  <c r="AM271" i="3"/>
  <c r="T271" i="3"/>
  <c r="R271" i="3"/>
  <c r="Q271" i="3"/>
  <c r="O271" i="3"/>
  <c r="AD271" i="3"/>
  <c r="P271" i="3"/>
  <c r="AE271" i="3"/>
  <c r="AF271" i="3"/>
  <c r="M271" i="3"/>
  <c r="U271" i="3"/>
  <c r="V271" i="3"/>
  <c r="G271" i="3"/>
  <c r="H271" i="3" s="1"/>
  <c r="C271" i="3"/>
  <c r="D271" i="3"/>
  <c r="F271" i="3"/>
  <c r="S271" i="3"/>
  <c r="AT269" i="3"/>
  <c r="AX269" i="3"/>
  <c r="X270" i="3"/>
  <c r="BM270" i="3"/>
  <c r="AG270" i="3"/>
  <c r="AH270" i="3"/>
  <c r="AN270" i="3"/>
  <c r="BC268" i="3" l="1"/>
  <c r="BD268" i="3" s="1"/>
  <c r="BM271" i="3"/>
  <c r="BD267" i="3"/>
  <c r="AG271" i="3"/>
  <c r="AY269" i="3"/>
  <c r="AN271" i="3"/>
  <c r="AW270" i="3"/>
  <c r="AO271" i="3"/>
  <c r="AU270" i="3"/>
  <c r="BA269" i="3"/>
  <c r="AV269" i="3"/>
  <c r="A273" i="3"/>
  <c r="B272" i="3"/>
  <c r="AR272" i="3"/>
  <c r="AQ272" i="3"/>
  <c r="C272" i="3"/>
  <c r="AM272" i="3"/>
  <c r="T272" i="3"/>
  <c r="AK272" i="3"/>
  <c r="Q272" i="3"/>
  <c r="R272" i="3"/>
  <c r="P272" i="3"/>
  <c r="AD272" i="3"/>
  <c r="M272" i="3"/>
  <c r="AE272" i="3"/>
  <c r="O272" i="3"/>
  <c r="AF272" i="3"/>
  <c r="U272" i="3"/>
  <c r="V272" i="3"/>
  <c r="G272" i="3"/>
  <c r="H272" i="3" s="1"/>
  <c r="F272" i="3"/>
  <c r="D272" i="3"/>
  <c r="S272" i="3"/>
  <c r="BF268" i="3"/>
  <c r="BJ267" i="3" s="1"/>
  <c r="BK267" i="3" s="1"/>
  <c r="BQ268" i="3"/>
  <c r="BB268" i="3"/>
  <c r="AH271" i="3"/>
  <c r="Y271" i="3"/>
  <c r="Z271" i="3" s="1"/>
  <c r="AT270" i="3"/>
  <c r="AX270" i="3"/>
  <c r="X271" i="3"/>
  <c r="BN271" i="3"/>
  <c r="BG268" i="3" l="1"/>
  <c r="BH268" i="3" s="1"/>
  <c r="BI268" i="3" s="1"/>
  <c r="AO272" i="3"/>
  <c r="BM272" i="3"/>
  <c r="BC269" i="3"/>
  <c r="BG269" i="3" s="1"/>
  <c r="BH269" i="3" s="1"/>
  <c r="BI269" i="3" s="1"/>
  <c r="AY270" i="3"/>
  <c r="AX271" i="3"/>
  <c r="AT271" i="3"/>
  <c r="AU271" i="3"/>
  <c r="AW271" i="3"/>
  <c r="X272" i="3"/>
  <c r="AV270" i="3"/>
  <c r="BA270" i="3"/>
  <c r="Y272" i="3"/>
  <c r="Z272" i="3" s="1"/>
  <c r="AR273" i="3"/>
  <c r="B273" i="3"/>
  <c r="AQ273" i="3"/>
  <c r="A274" i="3"/>
  <c r="R273" i="3"/>
  <c r="AM273" i="3"/>
  <c r="AK273" i="3"/>
  <c r="S273" i="3"/>
  <c r="Q273" i="3"/>
  <c r="AD273" i="3"/>
  <c r="P273" i="3"/>
  <c r="AF273" i="3"/>
  <c r="U273" i="3"/>
  <c r="O273" i="3"/>
  <c r="AE273" i="3"/>
  <c r="M273" i="3"/>
  <c r="V273" i="3"/>
  <c r="D273" i="3"/>
  <c r="F273" i="3"/>
  <c r="C273" i="3"/>
  <c r="G273" i="3"/>
  <c r="H273" i="3" s="1"/>
  <c r="T273" i="3"/>
  <c r="BF269" i="3"/>
  <c r="BJ268" i="3" s="1"/>
  <c r="BK268" i="3" s="1"/>
  <c r="BB269" i="3"/>
  <c r="BQ269" i="3"/>
  <c r="BN272" i="3"/>
  <c r="AG272" i="3"/>
  <c r="AH272" i="3"/>
  <c r="AN272" i="3"/>
  <c r="BD269" i="3" l="1"/>
  <c r="BC270" i="3"/>
  <c r="BD270" i="3" s="1"/>
  <c r="BN273" i="3"/>
  <c r="BM273" i="3"/>
  <c r="AU272" i="3"/>
  <c r="AV271" i="3"/>
  <c r="AY271" i="3"/>
  <c r="AO273" i="3"/>
  <c r="BA271" i="3"/>
  <c r="BB271" i="3" s="1"/>
  <c r="AG273" i="3"/>
  <c r="AR274" i="3"/>
  <c r="B274" i="3"/>
  <c r="AQ274" i="3"/>
  <c r="A275" i="3"/>
  <c r="C274" i="3"/>
  <c r="AK274" i="3"/>
  <c r="S274" i="3"/>
  <c r="AM274" i="3"/>
  <c r="T274" i="3"/>
  <c r="Q274" i="3"/>
  <c r="AD274" i="3"/>
  <c r="P274" i="3"/>
  <c r="O274" i="3"/>
  <c r="M274" i="3"/>
  <c r="AF274" i="3"/>
  <c r="AE274" i="3"/>
  <c r="V274" i="3"/>
  <c r="U274" i="3"/>
  <c r="R274" i="3"/>
  <c r="D274" i="3"/>
  <c r="G274" i="3"/>
  <c r="H274" i="3" s="1"/>
  <c r="F274" i="3"/>
  <c r="BQ270" i="3"/>
  <c r="BF270" i="3"/>
  <c r="BJ269" i="3" s="1"/>
  <c r="BK269" i="3" s="1"/>
  <c r="BB270" i="3"/>
  <c r="AT272" i="3"/>
  <c r="AX272" i="3"/>
  <c r="Y273" i="3"/>
  <c r="Z273" i="3" s="1"/>
  <c r="X273" i="3"/>
  <c r="AH273" i="3"/>
  <c r="AN273" i="3"/>
  <c r="AW272" i="3"/>
  <c r="BG270" i="3" l="1"/>
  <c r="BH270" i="3" s="1"/>
  <c r="BI270" i="3" s="1"/>
  <c r="AN274" i="3"/>
  <c r="BM274" i="3"/>
  <c r="BC271" i="3"/>
  <c r="BG271" i="3" s="1"/>
  <c r="BH271" i="3" s="1"/>
  <c r="BI271" i="3" s="1"/>
  <c r="AW273" i="3"/>
  <c r="BQ271" i="3"/>
  <c r="BF271" i="3"/>
  <c r="BJ270" i="3" s="1"/>
  <c r="BK270" i="3" s="1"/>
  <c r="AX273" i="3"/>
  <c r="AG274" i="3"/>
  <c r="BA272" i="3"/>
  <c r="AV272" i="3"/>
  <c r="Y274" i="3"/>
  <c r="Z274" i="3" s="1"/>
  <c r="AU273" i="3"/>
  <c r="AY272" i="3"/>
  <c r="AT273" i="3"/>
  <c r="BN274" i="3"/>
  <c r="AH274" i="3"/>
  <c r="X274" i="3"/>
  <c r="AQ275" i="3"/>
  <c r="B275" i="3"/>
  <c r="A276" i="3"/>
  <c r="AR275" i="3"/>
  <c r="AM275" i="3"/>
  <c r="AK275" i="3"/>
  <c r="R275" i="3"/>
  <c r="AD275" i="3"/>
  <c r="P275" i="3"/>
  <c r="O275" i="3"/>
  <c r="M275" i="3"/>
  <c r="AE275" i="3"/>
  <c r="AF275" i="3"/>
  <c r="V275" i="3"/>
  <c r="U275" i="3"/>
  <c r="D275" i="3"/>
  <c r="G275" i="3"/>
  <c r="H275" i="3" s="1"/>
  <c r="F275" i="3"/>
  <c r="Q275" i="3"/>
  <c r="C275" i="3"/>
  <c r="S275" i="3"/>
  <c r="T275" i="3"/>
  <c r="AO274" i="3"/>
  <c r="AT274" i="3" l="1"/>
  <c r="AU274" i="3"/>
  <c r="AW274" i="3"/>
  <c r="BN275" i="3"/>
  <c r="AN275" i="3"/>
  <c r="BD271" i="3"/>
  <c r="AY273" i="3"/>
  <c r="X275" i="3"/>
  <c r="Y275" i="3"/>
  <c r="Z275" i="3" s="1"/>
  <c r="BF272" i="3"/>
  <c r="BJ271" i="3" s="1"/>
  <c r="BK271" i="3" s="1"/>
  <c r="BQ272" i="3"/>
  <c r="BB272" i="3"/>
  <c r="BM275" i="3"/>
  <c r="AG275" i="3"/>
  <c r="AH275" i="3"/>
  <c r="AO275" i="3"/>
  <c r="A277" i="3"/>
  <c r="B276" i="3"/>
  <c r="AR276" i="3"/>
  <c r="AQ276" i="3"/>
  <c r="AK276" i="3"/>
  <c r="S276" i="3"/>
  <c r="R276" i="3"/>
  <c r="C276" i="3"/>
  <c r="AM276" i="3"/>
  <c r="P276" i="3"/>
  <c r="Q276" i="3"/>
  <c r="AD276" i="3"/>
  <c r="M276" i="3"/>
  <c r="O276" i="3"/>
  <c r="AE276" i="3"/>
  <c r="U276" i="3"/>
  <c r="AF276" i="3"/>
  <c r="V276" i="3"/>
  <c r="D276" i="3"/>
  <c r="G276" i="3"/>
  <c r="H276" i="3" s="1"/>
  <c r="F276" i="3"/>
  <c r="T276" i="3"/>
  <c r="AV273" i="3"/>
  <c r="BA273" i="3"/>
  <c r="AX274" i="3"/>
  <c r="BC272" i="3"/>
  <c r="AN276" i="3" l="1"/>
  <c r="AV274" i="3"/>
  <c r="BA274" i="3"/>
  <c r="BF274" i="3" s="1"/>
  <c r="BC273" i="3"/>
  <c r="BG273" i="3" s="1"/>
  <c r="BH273" i="3" s="1"/>
  <c r="BI273" i="3" s="1"/>
  <c r="BN276" i="3"/>
  <c r="AT275" i="3"/>
  <c r="AH276" i="3"/>
  <c r="AX275" i="3"/>
  <c r="AU275" i="3"/>
  <c r="BB273" i="3"/>
  <c r="BF273" i="3"/>
  <c r="BJ272" i="3" s="1"/>
  <c r="BK272" i="3" s="1"/>
  <c r="BQ273" i="3"/>
  <c r="BD272" i="3"/>
  <c r="BG272" i="3"/>
  <c r="BH272" i="3" s="1"/>
  <c r="BI272" i="3" s="1"/>
  <c r="AR277" i="3"/>
  <c r="B277" i="3"/>
  <c r="AQ277" i="3"/>
  <c r="A278" i="3"/>
  <c r="D277" i="3"/>
  <c r="T277" i="3"/>
  <c r="AM277" i="3"/>
  <c r="AK277" i="3"/>
  <c r="S277" i="3"/>
  <c r="R277" i="3"/>
  <c r="Q277" i="3"/>
  <c r="P277" i="3"/>
  <c r="AD277" i="3"/>
  <c r="O277" i="3"/>
  <c r="M277" i="3"/>
  <c r="AF277" i="3"/>
  <c r="U277" i="3"/>
  <c r="AE277" i="3"/>
  <c r="V277" i="3"/>
  <c r="G277" i="3"/>
  <c r="H277" i="3" s="1"/>
  <c r="F277" i="3"/>
  <c r="C277" i="3"/>
  <c r="Y276" i="3"/>
  <c r="Z276" i="3" s="1"/>
  <c r="X276" i="3"/>
  <c r="BM276" i="3"/>
  <c r="AG276" i="3"/>
  <c r="AO276" i="3"/>
  <c r="AW275" i="3"/>
  <c r="AY274" i="3"/>
  <c r="BC274" i="3" l="1"/>
  <c r="BD274" i="3" s="1"/>
  <c r="BD273" i="3"/>
  <c r="BQ274" i="3"/>
  <c r="BB274" i="3"/>
  <c r="BN277" i="3"/>
  <c r="AU276" i="3"/>
  <c r="AV275" i="3"/>
  <c r="AY275" i="3"/>
  <c r="AW276" i="3"/>
  <c r="AO277" i="3"/>
  <c r="X277" i="3"/>
  <c r="AG277" i="3"/>
  <c r="BA275" i="3"/>
  <c r="BB275" i="3" s="1"/>
  <c r="Y277" i="3"/>
  <c r="Z277" i="3" s="1"/>
  <c r="BJ273" i="3"/>
  <c r="BK273" i="3" s="1"/>
  <c r="AT276" i="3"/>
  <c r="AX276" i="3"/>
  <c r="BM277" i="3"/>
  <c r="AH277" i="3"/>
  <c r="AN277" i="3"/>
  <c r="AR278" i="3"/>
  <c r="B278" i="3"/>
  <c r="AQ278" i="3"/>
  <c r="A279" i="3"/>
  <c r="D278" i="3"/>
  <c r="C278" i="3"/>
  <c r="AK278" i="3"/>
  <c r="S278" i="3"/>
  <c r="Q278" i="3"/>
  <c r="AM278" i="3"/>
  <c r="R278" i="3"/>
  <c r="AD278" i="3"/>
  <c r="AE278" i="3"/>
  <c r="P278" i="3"/>
  <c r="M278" i="3"/>
  <c r="AF278" i="3"/>
  <c r="O278" i="3"/>
  <c r="V278" i="3"/>
  <c r="U278" i="3"/>
  <c r="G278" i="3"/>
  <c r="H278" i="3" s="1"/>
  <c r="F278" i="3"/>
  <c r="T278" i="3"/>
  <c r="BG274" i="3" l="1"/>
  <c r="BH274" i="3" s="1"/>
  <c r="BI274" i="3" s="1"/>
  <c r="AU277" i="3"/>
  <c r="BM278" i="3"/>
  <c r="BC275" i="3"/>
  <c r="BG275" i="3" s="1"/>
  <c r="BH275" i="3" s="1"/>
  <c r="BI275" i="3" s="1"/>
  <c r="AY276" i="3"/>
  <c r="AO278" i="3"/>
  <c r="AT277" i="3"/>
  <c r="AW277" i="3"/>
  <c r="AG278" i="3"/>
  <c r="BF275" i="3"/>
  <c r="BJ274" i="3" s="1"/>
  <c r="BK274" i="3" s="1"/>
  <c r="BQ275" i="3"/>
  <c r="AV276" i="3"/>
  <c r="BA276" i="3"/>
  <c r="AQ279" i="3"/>
  <c r="B279" i="3"/>
  <c r="A280" i="3"/>
  <c r="AR279" i="3"/>
  <c r="AK279" i="3"/>
  <c r="Q279" i="3"/>
  <c r="AM279" i="3"/>
  <c r="T279" i="3"/>
  <c r="AD279" i="3"/>
  <c r="R279" i="3"/>
  <c r="P279" i="3"/>
  <c r="O279" i="3"/>
  <c r="M279" i="3"/>
  <c r="AE279" i="3"/>
  <c r="AF279" i="3"/>
  <c r="V279" i="3"/>
  <c r="U279" i="3"/>
  <c r="D279" i="3"/>
  <c r="F279" i="3"/>
  <c r="C279" i="3"/>
  <c r="G279" i="3"/>
  <c r="H279" i="3" s="1"/>
  <c r="S279" i="3"/>
  <c r="Y278" i="3"/>
  <c r="Z278" i="3" s="1"/>
  <c r="BN278" i="3"/>
  <c r="AH278" i="3"/>
  <c r="AN278" i="3"/>
  <c r="X278" i="3"/>
  <c r="AX277" i="3"/>
  <c r="AN279" i="3" l="1"/>
  <c r="AU278" i="3"/>
  <c r="AV277" i="3"/>
  <c r="BM279" i="3"/>
  <c r="AY277" i="3"/>
  <c r="BD275" i="3"/>
  <c r="BC276" i="3"/>
  <c r="BD276" i="3" s="1"/>
  <c r="AH279" i="3"/>
  <c r="AT278" i="3"/>
  <c r="AW278" i="3"/>
  <c r="Y279" i="3"/>
  <c r="Z279" i="3" s="1"/>
  <c r="BN279" i="3"/>
  <c r="A281" i="3"/>
  <c r="B280" i="3"/>
  <c r="AR280" i="3"/>
  <c r="AQ280" i="3"/>
  <c r="D280" i="3"/>
  <c r="AM280" i="3"/>
  <c r="AK280" i="3"/>
  <c r="S280" i="3"/>
  <c r="Q280" i="3"/>
  <c r="C280" i="3"/>
  <c r="T280" i="3"/>
  <c r="AD280" i="3"/>
  <c r="R280" i="3"/>
  <c r="P280" i="3"/>
  <c r="AE280" i="3"/>
  <c r="M280" i="3"/>
  <c r="V280" i="3"/>
  <c r="O280" i="3"/>
  <c r="AF280" i="3"/>
  <c r="U280" i="3"/>
  <c r="G280" i="3"/>
  <c r="H280" i="3" s="1"/>
  <c r="BN280" i="3" s="1"/>
  <c r="F280" i="3"/>
  <c r="BF276" i="3"/>
  <c r="BJ275" i="3" s="1"/>
  <c r="BK275" i="3" s="1"/>
  <c r="BB276" i="3"/>
  <c r="BQ276" i="3"/>
  <c r="AO279" i="3"/>
  <c r="AX278" i="3"/>
  <c r="BA277" i="3"/>
  <c r="X279" i="3"/>
  <c r="AG279" i="3"/>
  <c r="BM280" i="3" l="1"/>
  <c r="AW279" i="3"/>
  <c r="BC277" i="3"/>
  <c r="BG277" i="3" s="1"/>
  <c r="BH277" i="3" s="1"/>
  <c r="BI277" i="3" s="1"/>
  <c r="AV278" i="3"/>
  <c r="BG276" i="3"/>
  <c r="BH276" i="3" s="1"/>
  <c r="BI276" i="3" s="1"/>
  <c r="AY278" i="3"/>
  <c r="AO280" i="3"/>
  <c r="BB277" i="3"/>
  <c r="BQ277" i="3"/>
  <c r="BF277" i="3"/>
  <c r="BJ276" i="3" s="1"/>
  <c r="BK276" i="3" s="1"/>
  <c r="AG280" i="3"/>
  <c r="AT279" i="3"/>
  <c r="AH280" i="3"/>
  <c r="X280" i="3"/>
  <c r="AN280" i="3"/>
  <c r="BA278" i="3"/>
  <c r="AU279" i="3"/>
  <c r="Y280" i="3"/>
  <c r="Z280" i="3" s="1"/>
  <c r="AR281" i="3"/>
  <c r="B281" i="3"/>
  <c r="AQ281" i="3"/>
  <c r="A282" i="3"/>
  <c r="S281" i="3"/>
  <c r="T281" i="3"/>
  <c r="AK281" i="3"/>
  <c r="AM281" i="3"/>
  <c r="Q281" i="3"/>
  <c r="P281" i="3"/>
  <c r="AD281" i="3"/>
  <c r="AE281" i="3"/>
  <c r="U281" i="3"/>
  <c r="O281" i="3"/>
  <c r="AF281" i="3"/>
  <c r="M281" i="3"/>
  <c r="V281" i="3"/>
  <c r="R281" i="3"/>
  <c r="D281" i="3"/>
  <c r="F281" i="3"/>
  <c r="C281" i="3"/>
  <c r="G281" i="3"/>
  <c r="H281" i="3" s="1"/>
  <c r="AX279" i="3"/>
  <c r="AT280" i="3" l="1"/>
  <c r="AY279" i="3"/>
  <c r="BD277" i="3"/>
  <c r="BC278" i="3"/>
  <c r="BD278" i="3" s="1"/>
  <c r="AU280" i="3"/>
  <c r="BM281" i="3"/>
  <c r="AG281" i="3"/>
  <c r="AN281" i="3"/>
  <c r="Y281" i="3"/>
  <c r="Z281" i="3" s="1"/>
  <c r="BN281" i="3"/>
  <c r="BB278" i="3"/>
  <c r="BF278" i="3"/>
  <c r="BJ277" i="3" s="1"/>
  <c r="BK277" i="3" s="1"/>
  <c r="BQ278" i="3"/>
  <c r="X281" i="3"/>
  <c r="AH281" i="3"/>
  <c r="AO281" i="3"/>
  <c r="AX280" i="3"/>
  <c r="AW280" i="3"/>
  <c r="AR282" i="3"/>
  <c r="B282" i="3"/>
  <c r="AQ282" i="3"/>
  <c r="A283" i="3"/>
  <c r="C282" i="3"/>
  <c r="T282" i="3"/>
  <c r="AM282" i="3"/>
  <c r="AK282" i="3"/>
  <c r="S282" i="3"/>
  <c r="R282" i="3"/>
  <c r="Q282" i="3"/>
  <c r="P282" i="3"/>
  <c r="AD282" i="3"/>
  <c r="O282" i="3"/>
  <c r="AF282" i="3"/>
  <c r="M282" i="3"/>
  <c r="AE282" i="3"/>
  <c r="U282" i="3"/>
  <c r="V282" i="3"/>
  <c r="F282" i="3"/>
  <c r="D282" i="3"/>
  <c r="G282" i="3"/>
  <c r="H282" i="3" s="1"/>
  <c r="BA279" i="3"/>
  <c r="AV279" i="3"/>
  <c r="AV280" i="3" l="1"/>
  <c r="BC279" i="3"/>
  <c r="BD279" i="3" s="1"/>
  <c r="BG278" i="3"/>
  <c r="BH278" i="3" s="1"/>
  <c r="BI278" i="3" s="1"/>
  <c r="AU281" i="3"/>
  <c r="AN282" i="3"/>
  <c r="AG282" i="3"/>
  <c r="AX281" i="3"/>
  <c r="AY280" i="3"/>
  <c r="BC280" i="3" s="1"/>
  <c r="AQ283" i="3"/>
  <c r="B283" i="3"/>
  <c r="A284" i="3"/>
  <c r="AR283" i="3"/>
  <c r="C283" i="3"/>
  <c r="AK283" i="3"/>
  <c r="AM283" i="3"/>
  <c r="AD283" i="3"/>
  <c r="P283" i="3"/>
  <c r="R283" i="3"/>
  <c r="Q283" i="3"/>
  <c r="O283" i="3"/>
  <c r="AE283" i="3"/>
  <c r="AF283" i="3"/>
  <c r="M283" i="3"/>
  <c r="V283" i="3"/>
  <c r="U283" i="3"/>
  <c r="D283" i="3"/>
  <c r="G283" i="3"/>
  <c r="H283" i="3" s="1"/>
  <c r="F283" i="3"/>
  <c r="T283" i="3"/>
  <c r="S283" i="3"/>
  <c r="AH282" i="3"/>
  <c r="BN282" i="3"/>
  <c r="BM282" i="3"/>
  <c r="AO282" i="3"/>
  <c r="AT281" i="3"/>
  <c r="AW281" i="3"/>
  <c r="BQ279" i="3"/>
  <c r="BB279" i="3"/>
  <c r="BF279" i="3"/>
  <c r="BJ278" i="3" s="1"/>
  <c r="BK278" i="3" s="1"/>
  <c r="Y282" i="3"/>
  <c r="Z282" i="3" s="1"/>
  <c r="X282" i="3"/>
  <c r="BA280" i="3"/>
  <c r="BG279" i="3" l="1"/>
  <c r="BH279" i="3" s="1"/>
  <c r="BI279" i="3" s="1"/>
  <c r="BN283" i="3"/>
  <c r="AO283" i="3"/>
  <c r="BM283" i="3"/>
  <c r="AT282" i="3"/>
  <c r="AY281" i="3"/>
  <c r="AW282" i="3"/>
  <c r="Y283" i="3"/>
  <c r="Z283" i="3" s="1"/>
  <c r="AN283" i="3"/>
  <c r="X283" i="3"/>
  <c r="AH283" i="3"/>
  <c r="BQ280" i="3"/>
  <c r="BF280" i="3"/>
  <c r="BJ279" i="3" s="1"/>
  <c r="BK279" i="3" s="1"/>
  <c r="BB280" i="3"/>
  <c r="BD280" i="3"/>
  <c r="BG280" i="3"/>
  <c r="BH280" i="3" s="1"/>
  <c r="BI280" i="3" s="1"/>
  <c r="AV281" i="3"/>
  <c r="BA281" i="3"/>
  <c r="A285" i="3"/>
  <c r="B284" i="3"/>
  <c r="AR284" i="3"/>
  <c r="AQ284" i="3"/>
  <c r="C284" i="3"/>
  <c r="AM284" i="3"/>
  <c r="AK284" i="3"/>
  <c r="S284" i="3"/>
  <c r="AD284" i="3"/>
  <c r="T284" i="3"/>
  <c r="Q284" i="3"/>
  <c r="P284" i="3"/>
  <c r="M284" i="3"/>
  <c r="O284" i="3"/>
  <c r="AE284" i="3"/>
  <c r="V284" i="3"/>
  <c r="AF284" i="3"/>
  <c r="U284" i="3"/>
  <c r="R284" i="3"/>
  <c r="F284" i="3"/>
  <c r="G284" i="3"/>
  <c r="H284" i="3" s="1"/>
  <c r="D284" i="3"/>
  <c r="AU282" i="3"/>
  <c r="AG283" i="3"/>
  <c r="AX282" i="3"/>
  <c r="BM284" i="3" l="1"/>
  <c r="BC281" i="3"/>
  <c r="BD281" i="3" s="1"/>
  <c r="AY282" i="3"/>
  <c r="AN284" i="3"/>
  <c r="AU283" i="3"/>
  <c r="AV283" i="3" s="1"/>
  <c r="AX283" i="3"/>
  <c r="BA282" i="3"/>
  <c r="BF282" i="3" s="1"/>
  <c r="Y284" i="3"/>
  <c r="Z284" i="3" s="1"/>
  <c r="AT283" i="3"/>
  <c r="AW283" i="3"/>
  <c r="AR285" i="3"/>
  <c r="B285" i="3"/>
  <c r="AQ285" i="3"/>
  <c r="A286" i="3"/>
  <c r="C285" i="3"/>
  <c r="AK285" i="3"/>
  <c r="AM285" i="3"/>
  <c r="R285" i="3"/>
  <c r="AD285" i="3"/>
  <c r="P285" i="3"/>
  <c r="O285" i="3"/>
  <c r="AE285" i="3"/>
  <c r="M285" i="3"/>
  <c r="AF285" i="3"/>
  <c r="U285" i="3"/>
  <c r="V285" i="3"/>
  <c r="Q285" i="3"/>
  <c r="D285" i="3"/>
  <c r="G285" i="3"/>
  <c r="H285" i="3" s="1"/>
  <c r="F285" i="3"/>
  <c r="T285" i="3"/>
  <c r="S285" i="3"/>
  <c r="BN284" i="3"/>
  <c r="AG284" i="3"/>
  <c r="AH284" i="3"/>
  <c r="AO284" i="3"/>
  <c r="X284" i="3"/>
  <c r="AV282" i="3"/>
  <c r="BQ281" i="3"/>
  <c r="BF281" i="3"/>
  <c r="BJ280" i="3" s="1"/>
  <c r="BK280" i="3" s="1"/>
  <c r="BB281" i="3"/>
  <c r="BC282" i="3" l="1"/>
  <c r="BD282" i="3" s="1"/>
  <c r="AY283" i="3"/>
  <c r="BC283" i="3" s="1"/>
  <c r="BD283" i="3" s="1"/>
  <c r="BN285" i="3"/>
  <c r="BG281" i="3"/>
  <c r="BH281" i="3" s="1"/>
  <c r="BI281" i="3" s="1"/>
  <c r="AT284" i="3"/>
  <c r="AH285" i="3"/>
  <c r="BB282" i="3"/>
  <c r="BA283" i="3"/>
  <c r="BB283" i="3" s="1"/>
  <c r="BQ282" i="3"/>
  <c r="AN285" i="3"/>
  <c r="AO285" i="3"/>
  <c r="AR286" i="3"/>
  <c r="B286" i="3"/>
  <c r="AQ286" i="3"/>
  <c r="A287" i="3"/>
  <c r="AM286" i="3"/>
  <c r="AK286" i="3"/>
  <c r="R286" i="3"/>
  <c r="S286" i="3"/>
  <c r="Q286" i="3"/>
  <c r="P286" i="3"/>
  <c r="AD286" i="3"/>
  <c r="O286" i="3"/>
  <c r="AE286" i="3"/>
  <c r="U286" i="3"/>
  <c r="M286" i="3"/>
  <c r="AF286" i="3"/>
  <c r="V286" i="3"/>
  <c r="C286" i="3"/>
  <c r="F286" i="3"/>
  <c r="D286" i="3"/>
  <c r="G286" i="3"/>
  <c r="H286" i="3" s="1"/>
  <c r="T286" i="3"/>
  <c r="AW284" i="3"/>
  <c r="Y285" i="3"/>
  <c r="Z285" i="3" s="1"/>
  <c r="AU284" i="3"/>
  <c r="AX284" i="3"/>
  <c r="X285" i="3"/>
  <c r="BM285" i="3"/>
  <c r="AG285" i="3"/>
  <c r="BJ281" i="3"/>
  <c r="BK281" i="3" s="1"/>
  <c r="BG282" i="3" l="1"/>
  <c r="BH282" i="3" s="1"/>
  <c r="BI282" i="3" s="1"/>
  <c r="BF283" i="3"/>
  <c r="BJ282" i="3" s="1"/>
  <c r="BK282" i="3" s="1"/>
  <c r="AW285" i="3"/>
  <c r="AO286" i="3"/>
  <c r="AT285" i="3"/>
  <c r="AU285" i="3"/>
  <c r="BG283" i="3"/>
  <c r="BH283" i="3" s="1"/>
  <c r="BI283" i="3" s="1"/>
  <c r="BA284" i="3"/>
  <c r="BQ284" i="3" s="1"/>
  <c r="BQ283" i="3"/>
  <c r="Y286" i="3"/>
  <c r="Z286" i="3" s="1"/>
  <c r="X286" i="3"/>
  <c r="AX285" i="3"/>
  <c r="AY284" i="3"/>
  <c r="BN286" i="3"/>
  <c r="BM286" i="3"/>
  <c r="AG286" i="3"/>
  <c r="AH286" i="3"/>
  <c r="AN286" i="3"/>
  <c r="AV284" i="3"/>
  <c r="AQ287" i="3"/>
  <c r="B287" i="3"/>
  <c r="A288" i="3"/>
  <c r="AR287" i="3"/>
  <c r="D287" i="3"/>
  <c r="AK287" i="3"/>
  <c r="AM287" i="3"/>
  <c r="S287" i="3"/>
  <c r="Q287" i="3"/>
  <c r="AD287" i="3"/>
  <c r="O287" i="3"/>
  <c r="M287" i="3"/>
  <c r="AE287" i="3"/>
  <c r="V287" i="3"/>
  <c r="U287" i="3"/>
  <c r="P287" i="3"/>
  <c r="AF287" i="3"/>
  <c r="R287" i="3"/>
  <c r="G287" i="3"/>
  <c r="H287" i="3" s="1"/>
  <c r="C287" i="3"/>
  <c r="F287" i="3"/>
  <c r="T287" i="3"/>
  <c r="BN287" i="3" l="1"/>
  <c r="BB284" i="3"/>
  <c r="BM287" i="3"/>
  <c r="AU286" i="3"/>
  <c r="AV285" i="3"/>
  <c r="BF284" i="3"/>
  <c r="BJ283" i="3" s="1"/>
  <c r="BK283" i="3" s="1"/>
  <c r="AY285" i="3"/>
  <c r="AN287" i="3"/>
  <c r="A289" i="3"/>
  <c r="B288" i="3"/>
  <c r="AR288" i="3"/>
  <c r="AQ288" i="3"/>
  <c r="AM288" i="3"/>
  <c r="AK288" i="3"/>
  <c r="R288" i="3"/>
  <c r="AD288" i="3"/>
  <c r="Q288" i="3"/>
  <c r="P288" i="3"/>
  <c r="O288" i="3"/>
  <c r="AF288" i="3"/>
  <c r="V288" i="3"/>
  <c r="U288" i="3"/>
  <c r="AE288" i="3"/>
  <c r="M288" i="3"/>
  <c r="D288" i="3"/>
  <c r="C288" i="3"/>
  <c r="G288" i="3"/>
  <c r="H288" i="3" s="1"/>
  <c r="F288" i="3"/>
  <c r="BM288" i="3" s="1"/>
  <c r="T288" i="3"/>
  <c r="S288" i="3"/>
  <c r="AT286" i="3"/>
  <c r="AX286" i="3"/>
  <c r="AG287" i="3"/>
  <c r="BC284" i="3"/>
  <c r="Y287" i="3"/>
  <c r="Z287" i="3" s="1"/>
  <c r="X287" i="3"/>
  <c r="AH287" i="3"/>
  <c r="AO287" i="3"/>
  <c r="AW286" i="3"/>
  <c r="BA285" i="3"/>
  <c r="BN288" i="3" l="1"/>
  <c r="AV286" i="3"/>
  <c r="BC285" i="3"/>
  <c r="BD285" i="3" s="1"/>
  <c r="AT287" i="3"/>
  <c r="AO288" i="3"/>
  <c r="AX287" i="3"/>
  <c r="BA286" i="3"/>
  <c r="BB286" i="3" s="1"/>
  <c r="X288" i="3"/>
  <c r="AH288" i="3"/>
  <c r="BF285" i="3"/>
  <c r="BJ284" i="3" s="1"/>
  <c r="BK284" i="3" s="1"/>
  <c r="BB285" i="3"/>
  <c r="BQ285" i="3"/>
  <c r="BD284" i="3"/>
  <c r="BG284" i="3"/>
  <c r="BH284" i="3" s="1"/>
  <c r="BI284" i="3" s="1"/>
  <c r="AR289" i="3"/>
  <c r="B289" i="3"/>
  <c r="AQ289" i="3"/>
  <c r="A290" i="3"/>
  <c r="D289" i="3"/>
  <c r="AM289" i="3"/>
  <c r="AK289" i="3"/>
  <c r="T289" i="3"/>
  <c r="R289" i="3"/>
  <c r="Q289" i="3"/>
  <c r="AD289" i="3"/>
  <c r="P289" i="3"/>
  <c r="O289" i="3"/>
  <c r="M289" i="3"/>
  <c r="AF289" i="3"/>
  <c r="V289" i="3"/>
  <c r="U289" i="3"/>
  <c r="AE289" i="3"/>
  <c r="C289" i="3"/>
  <c r="G289" i="3"/>
  <c r="H289" i="3" s="1"/>
  <c r="F289" i="3"/>
  <c r="S289" i="3"/>
  <c r="AY286" i="3"/>
  <c r="AU287" i="3"/>
  <c r="AW287" i="3"/>
  <c r="Y288" i="3"/>
  <c r="Z288" i="3" s="1"/>
  <c r="AG288" i="3"/>
  <c r="AN288" i="3"/>
  <c r="BM289" i="3" l="1"/>
  <c r="AY287" i="3"/>
  <c r="BQ286" i="3"/>
  <c r="AV287" i="3"/>
  <c r="BG285" i="3"/>
  <c r="BH285" i="3" s="1"/>
  <c r="BI285" i="3" s="1"/>
  <c r="BN289" i="3"/>
  <c r="BC286" i="3"/>
  <c r="BD286" i="3" s="1"/>
  <c r="AO289" i="3"/>
  <c r="BF286" i="3"/>
  <c r="BJ285" i="3" s="1"/>
  <c r="BK285" i="3" s="1"/>
  <c r="AW288" i="3"/>
  <c r="Y289" i="3"/>
  <c r="Z289" i="3" s="1"/>
  <c r="AT288" i="3"/>
  <c r="AX288" i="3"/>
  <c r="AH289" i="3"/>
  <c r="BA287" i="3"/>
  <c r="AR290" i="3"/>
  <c r="B290" i="3"/>
  <c r="AQ290" i="3"/>
  <c r="A291" i="3"/>
  <c r="C290" i="3"/>
  <c r="AK290" i="3"/>
  <c r="AM290" i="3"/>
  <c r="S290" i="3"/>
  <c r="R290" i="3"/>
  <c r="D290" i="3"/>
  <c r="AD290" i="3"/>
  <c r="Q290" i="3"/>
  <c r="P290" i="3"/>
  <c r="O290" i="3"/>
  <c r="AE290" i="3"/>
  <c r="V290" i="3"/>
  <c r="AF290" i="3"/>
  <c r="M290" i="3"/>
  <c r="U290" i="3"/>
  <c r="F290" i="3"/>
  <c r="G290" i="3"/>
  <c r="H290" i="3" s="1"/>
  <c r="T290" i="3"/>
  <c r="AU288" i="3"/>
  <c r="X289" i="3"/>
  <c r="AG289" i="3"/>
  <c r="AN289" i="3"/>
  <c r="AT289" i="3" l="1"/>
  <c r="BC287" i="3"/>
  <c r="BD287" i="3" s="1"/>
  <c r="BM290" i="3"/>
  <c r="BG286" i="3"/>
  <c r="BH286" i="3" s="1"/>
  <c r="BI286" i="3" s="1"/>
  <c r="AN290" i="3"/>
  <c r="BN290" i="3"/>
  <c r="AY288" i="3"/>
  <c r="BG287" i="3"/>
  <c r="BH287" i="3" s="1"/>
  <c r="BI287" i="3" s="1"/>
  <c r="AV288" i="3"/>
  <c r="BA288" i="3"/>
  <c r="AG290" i="3"/>
  <c r="AH290" i="3"/>
  <c r="X290" i="3"/>
  <c r="AX289" i="3"/>
  <c r="AQ291" i="3"/>
  <c r="B291" i="3"/>
  <c r="A292" i="3"/>
  <c r="AR291" i="3"/>
  <c r="AK291" i="3"/>
  <c r="AM291" i="3"/>
  <c r="T291" i="3"/>
  <c r="R291" i="3"/>
  <c r="AD291" i="3"/>
  <c r="P291" i="3"/>
  <c r="O291" i="3"/>
  <c r="AE291" i="3"/>
  <c r="V291" i="3"/>
  <c r="M291" i="3"/>
  <c r="AF291" i="3"/>
  <c r="U291" i="3"/>
  <c r="D291" i="3"/>
  <c r="G291" i="3"/>
  <c r="H291" i="3" s="1"/>
  <c r="Q291" i="3"/>
  <c r="C291" i="3"/>
  <c r="F291" i="3"/>
  <c r="S291" i="3"/>
  <c r="BQ287" i="3"/>
  <c r="BF287" i="3"/>
  <c r="BJ286" i="3" s="1"/>
  <c r="BK286" i="3" s="1"/>
  <c r="BB287" i="3"/>
  <c r="AW289" i="3"/>
  <c r="Y290" i="3"/>
  <c r="Z290" i="3" s="1"/>
  <c r="AO290" i="3"/>
  <c r="AU289" i="3"/>
  <c r="AV289" i="3" l="1"/>
  <c r="AY289" i="3"/>
  <c r="BC288" i="3"/>
  <c r="BG288" i="3" s="1"/>
  <c r="BH288" i="3" s="1"/>
  <c r="BI288" i="3" s="1"/>
  <c r="AU290" i="3"/>
  <c r="BN291" i="3"/>
  <c r="AN291" i="3"/>
  <c r="AT290" i="3"/>
  <c r="AG291" i="3"/>
  <c r="X291" i="3"/>
  <c r="Y291" i="3"/>
  <c r="Z291" i="3" s="1"/>
  <c r="A293" i="3"/>
  <c r="B292" i="3"/>
  <c r="AR292" i="3"/>
  <c r="AQ292" i="3"/>
  <c r="AK292" i="3"/>
  <c r="T292" i="3"/>
  <c r="AM292" i="3"/>
  <c r="C292" i="3"/>
  <c r="S292" i="3"/>
  <c r="R292" i="3"/>
  <c r="Q292" i="3"/>
  <c r="AD292" i="3"/>
  <c r="P292" i="3"/>
  <c r="AE292" i="3"/>
  <c r="AF292" i="3"/>
  <c r="V292" i="3"/>
  <c r="O292" i="3"/>
  <c r="M292" i="3"/>
  <c r="U292" i="3"/>
  <c r="D292" i="3"/>
  <c r="F292" i="3"/>
  <c r="G292" i="3"/>
  <c r="H292" i="3" s="1"/>
  <c r="BF288" i="3"/>
  <c r="BJ287" i="3" s="1"/>
  <c r="BK287" i="3" s="1"/>
  <c r="BQ288" i="3"/>
  <c r="BB288" i="3"/>
  <c r="BM291" i="3"/>
  <c r="AH291" i="3"/>
  <c r="AO291" i="3"/>
  <c r="AW290" i="3"/>
  <c r="BD288" i="3"/>
  <c r="BA289" i="3"/>
  <c r="AX290" i="3"/>
  <c r="BC289" i="3" l="1"/>
  <c r="BN292" i="3"/>
  <c r="AN292" i="3"/>
  <c r="AV290" i="3"/>
  <c r="BM292" i="3"/>
  <c r="AU291" i="3"/>
  <c r="AT291" i="3"/>
  <c r="AW291" i="3"/>
  <c r="AH292" i="3"/>
  <c r="AR293" i="3"/>
  <c r="B293" i="3"/>
  <c r="AQ293" i="3"/>
  <c r="A294" i="3"/>
  <c r="R293" i="3"/>
  <c r="AM293" i="3"/>
  <c r="AK293" i="3"/>
  <c r="S293" i="3"/>
  <c r="Q293" i="3"/>
  <c r="AD293" i="3"/>
  <c r="P293" i="3"/>
  <c r="O293" i="3"/>
  <c r="AE293" i="3"/>
  <c r="AF293" i="3"/>
  <c r="U293" i="3"/>
  <c r="V293" i="3"/>
  <c r="M293" i="3"/>
  <c r="C293" i="3"/>
  <c r="G293" i="3"/>
  <c r="H293" i="3" s="1"/>
  <c r="D293" i="3"/>
  <c r="F293" i="3"/>
  <c r="T293" i="3"/>
  <c r="AY290" i="3"/>
  <c r="BC290" i="3" s="1"/>
  <c r="AO292" i="3"/>
  <c r="BF289" i="3"/>
  <c r="BJ288" i="3" s="1"/>
  <c r="BK288" i="3" s="1"/>
  <c r="BQ289" i="3"/>
  <c r="BB289" i="3"/>
  <c r="BD289" i="3"/>
  <c r="BG289" i="3"/>
  <c r="BH289" i="3" s="1"/>
  <c r="BI289" i="3" s="1"/>
  <c r="Y292" i="3"/>
  <c r="Z292" i="3" s="1"/>
  <c r="AX291" i="3"/>
  <c r="BA290" i="3"/>
  <c r="AG292" i="3"/>
  <c r="X292" i="3"/>
  <c r="BM293" i="3" l="1"/>
  <c r="BN293" i="3"/>
  <c r="AU292" i="3"/>
  <c r="AV291" i="3"/>
  <c r="BA291" i="3"/>
  <c r="BB291" i="3" s="1"/>
  <c r="AG293" i="3"/>
  <c r="BQ290" i="3"/>
  <c r="BF290" i="3"/>
  <c r="BJ289" i="3" s="1"/>
  <c r="BK289" i="3" s="1"/>
  <c r="BB290" i="3"/>
  <c r="BD290" i="3"/>
  <c r="BG290" i="3"/>
  <c r="BH290" i="3" s="1"/>
  <c r="BI290" i="3" s="1"/>
  <c r="AR294" i="3"/>
  <c r="B294" i="3"/>
  <c r="AQ294" i="3"/>
  <c r="A295" i="3"/>
  <c r="AM294" i="3"/>
  <c r="AK294" i="3"/>
  <c r="Q294" i="3"/>
  <c r="T294" i="3"/>
  <c r="AD294" i="3"/>
  <c r="R294" i="3"/>
  <c r="P294" i="3"/>
  <c r="AE294" i="3"/>
  <c r="O294" i="3"/>
  <c r="AF294" i="3"/>
  <c r="V294" i="3"/>
  <c r="U294" i="3"/>
  <c r="M294" i="3"/>
  <c r="F294" i="3"/>
  <c r="D294" i="3"/>
  <c r="C294" i="3"/>
  <c r="G294" i="3"/>
  <c r="H294" i="3" s="1"/>
  <c r="S294" i="3"/>
  <c r="AW292" i="3"/>
  <c r="AT292" i="3"/>
  <c r="AX292" i="3"/>
  <c r="Y293" i="3"/>
  <c r="Z293" i="3" s="1"/>
  <c r="X293" i="3"/>
  <c r="AH293" i="3"/>
  <c r="AY291" i="3"/>
  <c r="AN293" i="3"/>
  <c r="AO293" i="3"/>
  <c r="BN294" i="3" l="1"/>
  <c r="AU293" i="3"/>
  <c r="BQ291" i="3"/>
  <c r="BC291" i="3"/>
  <c r="BG291" i="3" s="1"/>
  <c r="BH291" i="3" s="1"/>
  <c r="BI291" i="3" s="1"/>
  <c r="BF291" i="3"/>
  <c r="BJ290" i="3" s="1"/>
  <c r="BK290" i="3" s="1"/>
  <c r="AW293" i="3"/>
  <c r="AN294" i="3"/>
  <c r="BD291" i="3"/>
  <c r="AV292" i="3"/>
  <c r="BA292" i="3"/>
  <c r="AQ295" i="3"/>
  <c r="B295" i="3"/>
  <c r="A296" i="3"/>
  <c r="AR295" i="3"/>
  <c r="S295" i="3"/>
  <c r="Q295" i="3"/>
  <c r="AK295" i="3"/>
  <c r="AM295" i="3"/>
  <c r="R295" i="3"/>
  <c r="P295" i="3"/>
  <c r="AD295" i="3"/>
  <c r="O295" i="3"/>
  <c r="M295" i="3"/>
  <c r="AE295" i="3"/>
  <c r="AF295" i="3"/>
  <c r="V295" i="3"/>
  <c r="U295" i="3"/>
  <c r="D295" i="3"/>
  <c r="C295" i="3"/>
  <c r="G295" i="3"/>
  <c r="H295" i="3" s="1"/>
  <c r="BN295" i="3" s="1"/>
  <c r="F295" i="3"/>
  <c r="BM295" i="3" s="1"/>
  <c r="T295" i="3"/>
  <c r="AX293" i="3"/>
  <c r="AY292" i="3"/>
  <c r="Y294" i="3"/>
  <c r="Z294" i="3" s="1"/>
  <c r="AT293" i="3"/>
  <c r="X294" i="3"/>
  <c r="BM294" i="3"/>
  <c r="AH294" i="3"/>
  <c r="AG294" i="3"/>
  <c r="AO294" i="3"/>
  <c r="AV293" i="3" l="1"/>
  <c r="AY293" i="3"/>
  <c r="BC292" i="3"/>
  <c r="BD292" i="3" s="1"/>
  <c r="AO295" i="3"/>
  <c r="A297" i="3"/>
  <c r="B296" i="3"/>
  <c r="AR296" i="3"/>
  <c r="AQ296" i="3"/>
  <c r="D296" i="3"/>
  <c r="AM296" i="3"/>
  <c r="R296" i="3"/>
  <c r="Q296" i="3"/>
  <c r="C296" i="3"/>
  <c r="AK296" i="3"/>
  <c r="S296" i="3"/>
  <c r="P296" i="3"/>
  <c r="AD296" i="3"/>
  <c r="AE296" i="3"/>
  <c r="M296" i="3"/>
  <c r="O296" i="3"/>
  <c r="AF296" i="3"/>
  <c r="V296" i="3"/>
  <c r="U296" i="3"/>
  <c r="G296" i="3"/>
  <c r="H296" i="3" s="1"/>
  <c r="F296" i="3"/>
  <c r="T296" i="3"/>
  <c r="AH295" i="3"/>
  <c r="AG295" i="3"/>
  <c r="BB292" i="3"/>
  <c r="BQ292" i="3"/>
  <c r="BF292" i="3"/>
  <c r="BJ291" i="3" s="1"/>
  <c r="BK291" i="3" s="1"/>
  <c r="AX294" i="3"/>
  <c r="AU294" i="3"/>
  <c r="X295" i="3"/>
  <c r="AW294" i="3"/>
  <c r="AT294" i="3"/>
  <c r="BA293" i="3"/>
  <c r="Y295" i="3"/>
  <c r="Z295" i="3" s="1"/>
  <c r="AN295" i="3"/>
  <c r="BC293" i="3" l="1"/>
  <c r="BD293" i="3" s="1"/>
  <c r="BM296" i="3"/>
  <c r="AO296" i="3"/>
  <c r="BN296" i="3"/>
  <c r="AU295" i="3"/>
  <c r="BG292" i="3"/>
  <c r="BH292" i="3" s="1"/>
  <c r="BI292" i="3" s="1"/>
  <c r="AY294" i="3"/>
  <c r="AT295" i="3"/>
  <c r="BG293" i="3"/>
  <c r="BH293" i="3" s="1"/>
  <c r="BI293" i="3" s="1"/>
  <c r="Y296" i="3"/>
  <c r="Z296" i="3" s="1"/>
  <c r="BB293" i="3"/>
  <c r="BQ293" i="3"/>
  <c r="BF293" i="3"/>
  <c r="BJ292" i="3" s="1"/>
  <c r="BK292" i="3" s="1"/>
  <c r="AV294" i="3"/>
  <c r="BA294" i="3"/>
  <c r="AR297" i="3"/>
  <c r="B297" i="3"/>
  <c r="AQ297" i="3"/>
  <c r="A298" i="3"/>
  <c r="AM297" i="3"/>
  <c r="AK297" i="3"/>
  <c r="S297" i="3"/>
  <c r="R297" i="3"/>
  <c r="AD297" i="3"/>
  <c r="P297" i="3"/>
  <c r="O297" i="3"/>
  <c r="M297" i="3"/>
  <c r="V297" i="3"/>
  <c r="AE297" i="3"/>
  <c r="AF297" i="3"/>
  <c r="U297" i="3"/>
  <c r="C297" i="3"/>
  <c r="G297" i="3"/>
  <c r="H297" i="3" s="1"/>
  <c r="Q297" i="3"/>
  <c r="D297" i="3"/>
  <c r="F297" i="3"/>
  <c r="T297" i="3"/>
  <c r="AX295" i="3"/>
  <c r="AH296" i="3"/>
  <c r="X296" i="3"/>
  <c r="AW295" i="3"/>
  <c r="AG296" i="3"/>
  <c r="AN296" i="3"/>
  <c r="BM297" i="3" l="1"/>
  <c r="BC294" i="3"/>
  <c r="BD294" i="3" s="1"/>
  <c r="AV295" i="3"/>
  <c r="AU296" i="3"/>
  <c r="AW296" i="3"/>
  <c r="AO297" i="3"/>
  <c r="AY295" i="3"/>
  <c r="Y297" i="3"/>
  <c r="Z297" i="3" s="1"/>
  <c r="AG297" i="3"/>
  <c r="AR298" i="3"/>
  <c r="B298" i="3"/>
  <c r="AQ298" i="3"/>
  <c r="A299" i="3"/>
  <c r="C298" i="3"/>
  <c r="R298" i="3"/>
  <c r="D298" i="3"/>
  <c r="AK298" i="3"/>
  <c r="AM298" i="3"/>
  <c r="Q298" i="3"/>
  <c r="AD298" i="3"/>
  <c r="P298" i="3"/>
  <c r="O298" i="3"/>
  <c r="M298" i="3"/>
  <c r="AE298" i="3"/>
  <c r="AF298" i="3"/>
  <c r="V298" i="3"/>
  <c r="U298" i="3"/>
  <c r="G298" i="3"/>
  <c r="H298" i="3" s="1"/>
  <c r="F298" i="3"/>
  <c r="S298" i="3"/>
  <c r="T298" i="3"/>
  <c r="BB294" i="3"/>
  <c r="BF294" i="3"/>
  <c r="BJ293" i="3" s="1"/>
  <c r="BK293" i="3" s="1"/>
  <c r="BQ294" i="3"/>
  <c r="AX296" i="3"/>
  <c r="BN297" i="3"/>
  <c r="AT296" i="3"/>
  <c r="X297" i="3"/>
  <c r="AH297" i="3"/>
  <c r="AN297" i="3"/>
  <c r="BA295" i="3"/>
  <c r="BN298" i="3" l="1"/>
  <c r="BG294" i="3"/>
  <c r="BH294" i="3" s="1"/>
  <c r="BI294" i="3" s="1"/>
  <c r="AV296" i="3"/>
  <c r="BC295" i="3"/>
  <c r="BD295" i="3" s="1"/>
  <c r="BM298" i="3"/>
  <c r="AO298" i="3"/>
  <c r="AT297" i="3"/>
  <c r="BA296" i="3"/>
  <c r="BF296" i="3" s="1"/>
  <c r="AU297" i="3"/>
  <c r="Y298" i="3"/>
  <c r="Z298" i="3" s="1"/>
  <c r="BF295" i="3"/>
  <c r="BJ294" i="3" s="1"/>
  <c r="BK294" i="3" s="1"/>
  <c r="BQ295" i="3"/>
  <c r="BB295" i="3"/>
  <c r="AX297" i="3"/>
  <c r="AW297" i="3"/>
  <c r="AY296" i="3"/>
  <c r="X298" i="3"/>
  <c r="AG298" i="3"/>
  <c r="AH298" i="3"/>
  <c r="AN298" i="3"/>
  <c r="AQ299" i="3"/>
  <c r="B299" i="3"/>
  <c r="A300" i="3"/>
  <c r="AR299" i="3"/>
  <c r="AM299" i="3"/>
  <c r="S299" i="3"/>
  <c r="R299" i="3"/>
  <c r="AK299" i="3"/>
  <c r="AD299" i="3"/>
  <c r="Q299" i="3"/>
  <c r="O299" i="3"/>
  <c r="M299" i="3"/>
  <c r="AE299" i="3"/>
  <c r="U299" i="3"/>
  <c r="AF299" i="3"/>
  <c r="V299" i="3"/>
  <c r="C299" i="3"/>
  <c r="D299" i="3"/>
  <c r="G299" i="3"/>
  <c r="H299" i="3" s="1"/>
  <c r="F299" i="3"/>
  <c r="T299" i="3"/>
  <c r="P299" i="3"/>
  <c r="BC296" i="3" l="1"/>
  <c r="BD296" i="3" s="1"/>
  <c r="AV297" i="3"/>
  <c r="BG295" i="3"/>
  <c r="BH295" i="3" s="1"/>
  <c r="BI295" i="3" s="1"/>
  <c r="BM299" i="3"/>
  <c r="AT298" i="3"/>
  <c r="BB296" i="3"/>
  <c r="BQ296" i="3"/>
  <c r="AO299" i="3"/>
  <c r="AX298" i="3"/>
  <c r="AY297" i="3"/>
  <c r="Y299" i="3"/>
  <c r="Z299" i="3" s="1"/>
  <c r="A301" i="3"/>
  <c r="B300" i="3"/>
  <c r="AR300" i="3"/>
  <c r="AQ300" i="3"/>
  <c r="C300" i="3"/>
  <c r="AK300" i="3"/>
  <c r="AM300" i="3"/>
  <c r="S300" i="3"/>
  <c r="R300" i="3"/>
  <c r="Q300" i="3"/>
  <c r="AD300" i="3"/>
  <c r="M300" i="3"/>
  <c r="AE300" i="3"/>
  <c r="AF300" i="3"/>
  <c r="P300" i="3"/>
  <c r="O300" i="3"/>
  <c r="V300" i="3"/>
  <c r="U300" i="3"/>
  <c r="F300" i="3"/>
  <c r="G300" i="3"/>
  <c r="H300" i="3" s="1"/>
  <c r="D300" i="3"/>
  <c r="T300" i="3"/>
  <c r="BN299" i="3"/>
  <c r="X299" i="3"/>
  <c r="AG299" i="3"/>
  <c r="AH299" i="3"/>
  <c r="AN299" i="3"/>
  <c r="AU298" i="3"/>
  <c r="AV298" i="3" s="1"/>
  <c r="AW298" i="3"/>
  <c r="BA297" i="3"/>
  <c r="BJ295" i="3"/>
  <c r="BK295" i="3" s="1"/>
  <c r="BM300" i="3" l="1"/>
  <c r="BG296" i="3"/>
  <c r="BH296" i="3" s="1"/>
  <c r="BI296" i="3" s="1"/>
  <c r="BC297" i="3"/>
  <c r="BG297" i="3" s="1"/>
  <c r="BH297" i="3" s="1"/>
  <c r="BI297" i="3" s="1"/>
  <c r="BN300" i="3"/>
  <c r="AX299" i="3"/>
  <c r="BB297" i="3"/>
  <c r="BQ297" i="3"/>
  <c r="BF297" i="3"/>
  <c r="BJ296" i="3" s="1"/>
  <c r="BK296" i="3" s="1"/>
  <c r="AT299" i="3"/>
  <c r="AW299" i="3"/>
  <c r="AR301" i="3"/>
  <c r="B301" i="3"/>
  <c r="AQ301" i="3"/>
  <c r="A302" i="3"/>
  <c r="C301" i="3"/>
  <c r="T301" i="3"/>
  <c r="AK301" i="3"/>
  <c r="AM301" i="3"/>
  <c r="S301" i="3"/>
  <c r="Q301" i="3"/>
  <c r="AD301" i="3"/>
  <c r="P301" i="3"/>
  <c r="R301" i="3"/>
  <c r="M301" i="3"/>
  <c r="O301" i="3"/>
  <c r="AF301" i="3"/>
  <c r="AE301" i="3"/>
  <c r="V301" i="3"/>
  <c r="U301" i="3"/>
  <c r="F301" i="3"/>
  <c r="D301" i="3"/>
  <c r="G301" i="3"/>
  <c r="H301" i="3" s="1"/>
  <c r="AG300" i="3"/>
  <c r="AH300" i="3"/>
  <c r="X300" i="3"/>
  <c r="BA298" i="3"/>
  <c r="AY298" i="3"/>
  <c r="BC298" i="3" s="1"/>
  <c r="AN300" i="3"/>
  <c r="AO300" i="3"/>
  <c r="AU299" i="3"/>
  <c r="Y300" i="3"/>
  <c r="Z300" i="3" s="1"/>
  <c r="BD297" i="3" l="1"/>
  <c r="BM301" i="3"/>
  <c r="AT300" i="3"/>
  <c r="AG301" i="3"/>
  <c r="AY299" i="3"/>
  <c r="AO301" i="3"/>
  <c r="BD298" i="3"/>
  <c r="BG298" i="3"/>
  <c r="BH298" i="3" s="1"/>
  <c r="BI298" i="3" s="1"/>
  <c r="AU300" i="3"/>
  <c r="AX300" i="3"/>
  <c r="AR302" i="3"/>
  <c r="B302" i="3"/>
  <c r="AQ302" i="3"/>
  <c r="A303" i="3"/>
  <c r="D302" i="3"/>
  <c r="AK302" i="3"/>
  <c r="T302" i="3"/>
  <c r="S302" i="3"/>
  <c r="Q302" i="3"/>
  <c r="AM302" i="3"/>
  <c r="R302" i="3"/>
  <c r="AD302" i="3"/>
  <c r="P302" i="3"/>
  <c r="O302" i="3"/>
  <c r="AE302" i="3"/>
  <c r="V302" i="3"/>
  <c r="U302" i="3"/>
  <c r="M302" i="3"/>
  <c r="AF302" i="3"/>
  <c r="G302" i="3"/>
  <c r="H302" i="3" s="1"/>
  <c r="F302" i="3"/>
  <c r="C302" i="3"/>
  <c r="BN301" i="3"/>
  <c r="AN301" i="3"/>
  <c r="BB298" i="3"/>
  <c r="BQ298" i="3"/>
  <c r="BF298" i="3"/>
  <c r="Y301" i="3"/>
  <c r="Z301" i="3" s="1"/>
  <c r="AV299" i="3"/>
  <c r="BA299" i="3"/>
  <c r="AW300" i="3"/>
  <c r="AH301" i="3"/>
  <c r="X301" i="3"/>
  <c r="AV300" i="3" l="1"/>
  <c r="AN302" i="3"/>
  <c r="AX301" i="3"/>
  <c r="BC299" i="3"/>
  <c r="BG299" i="3" s="1"/>
  <c r="BH299" i="3" s="1"/>
  <c r="BI299" i="3" s="1"/>
  <c r="BN302" i="3"/>
  <c r="AT301" i="3"/>
  <c r="AY300" i="3"/>
  <c r="BA300" i="3"/>
  <c r="BF300" i="3" s="1"/>
  <c r="X302" i="3"/>
  <c r="Y302" i="3"/>
  <c r="Z302" i="3" s="1"/>
  <c r="AU301" i="3"/>
  <c r="BM302" i="3"/>
  <c r="AG302" i="3"/>
  <c r="BF299" i="3"/>
  <c r="BJ298" i="3" s="1"/>
  <c r="BK298" i="3" s="1"/>
  <c r="BB299" i="3"/>
  <c r="BQ299" i="3"/>
  <c r="BJ297" i="3"/>
  <c r="BK297" i="3" s="1"/>
  <c r="AQ303" i="3"/>
  <c r="B303" i="3"/>
  <c r="A304" i="3"/>
  <c r="AR303" i="3"/>
  <c r="D303" i="3"/>
  <c r="AM303" i="3"/>
  <c r="S303" i="3"/>
  <c r="R303" i="3"/>
  <c r="AK303" i="3"/>
  <c r="T303" i="3"/>
  <c r="Q303" i="3"/>
  <c r="AD303" i="3"/>
  <c r="P303" i="3"/>
  <c r="O303" i="3"/>
  <c r="AF303" i="3"/>
  <c r="AE303" i="3"/>
  <c r="M303" i="3"/>
  <c r="U303" i="3"/>
  <c r="V303" i="3"/>
  <c r="C303" i="3"/>
  <c r="G303" i="3"/>
  <c r="H303" i="3" s="1"/>
  <c r="F303" i="3"/>
  <c r="BM303" i="3" s="1"/>
  <c r="AW301" i="3"/>
  <c r="AH302" i="3"/>
  <c r="AO302" i="3"/>
  <c r="BC300" i="3" l="1"/>
  <c r="BG300" i="3" s="1"/>
  <c r="BH300" i="3" s="1"/>
  <c r="BI300" i="3" s="1"/>
  <c r="BN303" i="3"/>
  <c r="BD299" i="3"/>
  <c r="AY301" i="3"/>
  <c r="AV301" i="3"/>
  <c r="BB300" i="3"/>
  <c r="AO303" i="3"/>
  <c r="BQ300" i="3"/>
  <c r="BJ299" i="3"/>
  <c r="BK299" i="3" s="1"/>
  <c r="Y303" i="3"/>
  <c r="Z303" i="3" s="1"/>
  <c r="A305" i="3"/>
  <c r="B304" i="3"/>
  <c r="AR304" i="3"/>
  <c r="AQ304" i="3"/>
  <c r="AK304" i="3"/>
  <c r="S304" i="3"/>
  <c r="AM304" i="3"/>
  <c r="T304" i="3"/>
  <c r="AD304" i="3"/>
  <c r="P304" i="3"/>
  <c r="R304" i="3"/>
  <c r="Q304" i="3"/>
  <c r="M304" i="3"/>
  <c r="O304" i="3"/>
  <c r="AF304" i="3"/>
  <c r="AE304" i="3"/>
  <c r="U304" i="3"/>
  <c r="V304" i="3"/>
  <c r="C304" i="3"/>
  <c r="F304" i="3"/>
  <c r="G304" i="3"/>
  <c r="H304" i="3" s="1"/>
  <c r="D304" i="3"/>
  <c r="AX302" i="3"/>
  <c r="X303" i="3"/>
  <c r="AG303" i="3"/>
  <c r="AH303" i="3"/>
  <c r="AN303" i="3"/>
  <c r="AU302" i="3"/>
  <c r="BA301" i="3"/>
  <c r="AT302" i="3"/>
  <c r="AW302" i="3"/>
  <c r="BD300" i="3" l="1"/>
  <c r="BC301" i="3"/>
  <c r="BD301" i="3" s="1"/>
  <c r="AN304" i="3"/>
  <c r="BM304" i="3"/>
  <c r="BG301" i="3"/>
  <c r="BH301" i="3" s="1"/>
  <c r="BI301" i="3" s="1"/>
  <c r="AX303" i="3"/>
  <c r="AG304" i="3"/>
  <c r="AU303" i="3"/>
  <c r="AT303" i="3"/>
  <c r="AV302" i="3"/>
  <c r="BA302" i="3"/>
  <c r="BF301" i="3"/>
  <c r="BJ300" i="3" s="1"/>
  <c r="BK300" i="3" s="1"/>
  <c r="BQ301" i="3"/>
  <c r="BB301" i="3"/>
  <c r="AR305" i="3"/>
  <c r="B305" i="3"/>
  <c r="AQ305" i="3"/>
  <c r="A306" i="3"/>
  <c r="AK305" i="3"/>
  <c r="R305" i="3"/>
  <c r="AM305" i="3"/>
  <c r="AN305" i="3" s="1"/>
  <c r="Q305" i="3"/>
  <c r="AD305" i="3"/>
  <c r="O305" i="3"/>
  <c r="M305" i="3"/>
  <c r="AF305" i="3"/>
  <c r="U305" i="3"/>
  <c r="P305" i="3"/>
  <c r="AE305" i="3"/>
  <c r="V305" i="3"/>
  <c r="D305" i="3"/>
  <c r="G305" i="3"/>
  <c r="H305" i="3" s="1"/>
  <c r="F305" i="3"/>
  <c r="C305" i="3"/>
  <c r="S305" i="3"/>
  <c r="T305" i="3"/>
  <c r="AW303" i="3"/>
  <c r="AY302" i="3"/>
  <c r="BN304" i="3"/>
  <c r="X304" i="3"/>
  <c r="AH304" i="3"/>
  <c r="AO304" i="3"/>
  <c r="Y304" i="3"/>
  <c r="Z304" i="3" s="1"/>
  <c r="AU304" i="3" l="1"/>
  <c r="BM305" i="3"/>
  <c r="AG305" i="3"/>
  <c r="AV303" i="3"/>
  <c r="AY303" i="3"/>
  <c r="AW304" i="3"/>
  <c r="AR306" i="3"/>
  <c r="B306" i="3"/>
  <c r="AQ306" i="3"/>
  <c r="A307" i="3"/>
  <c r="D306" i="3"/>
  <c r="AM306" i="3"/>
  <c r="S306" i="3"/>
  <c r="T306" i="3"/>
  <c r="AK306" i="3"/>
  <c r="Q306" i="3"/>
  <c r="P306" i="3"/>
  <c r="AD306" i="3"/>
  <c r="O306" i="3"/>
  <c r="AE306" i="3"/>
  <c r="M306" i="3"/>
  <c r="AF306" i="3"/>
  <c r="V306" i="3"/>
  <c r="U306" i="3"/>
  <c r="C306" i="3"/>
  <c r="G306" i="3"/>
  <c r="H306" i="3" s="1"/>
  <c r="R306" i="3"/>
  <c r="F306" i="3"/>
  <c r="X305" i="3"/>
  <c r="Y305" i="3"/>
  <c r="Z305" i="3" s="1"/>
  <c r="BN305" i="3"/>
  <c r="AH305" i="3"/>
  <c r="BC302" i="3"/>
  <c r="AT304" i="3"/>
  <c r="AX304" i="3"/>
  <c r="BQ302" i="3"/>
  <c r="BF302" i="3"/>
  <c r="BJ301" i="3" s="1"/>
  <c r="BK301" i="3" s="1"/>
  <c r="BB302" i="3"/>
  <c r="AO305" i="3"/>
  <c r="BA303" i="3"/>
  <c r="BM306" i="3" l="1"/>
  <c r="BN306" i="3"/>
  <c r="AT305" i="3"/>
  <c r="AN306" i="3"/>
  <c r="AU305" i="3"/>
  <c r="AW305" i="3"/>
  <c r="AY304" i="3"/>
  <c r="BC303" i="3"/>
  <c r="BG303" i="3" s="1"/>
  <c r="BH303" i="3" s="1"/>
  <c r="BI303" i="3" s="1"/>
  <c r="AO306" i="3"/>
  <c r="BD302" i="3"/>
  <c r="BG302" i="3"/>
  <c r="BH302" i="3" s="1"/>
  <c r="BI302" i="3" s="1"/>
  <c r="BB303" i="3"/>
  <c r="BF303" i="3"/>
  <c r="BJ302" i="3" s="1"/>
  <c r="BK302" i="3" s="1"/>
  <c r="BQ303" i="3"/>
  <c r="BA304" i="3"/>
  <c r="AV304" i="3"/>
  <c r="Y306" i="3"/>
  <c r="Z306" i="3" s="1"/>
  <c r="AX305" i="3"/>
  <c r="X306" i="3"/>
  <c r="AQ307" i="3"/>
  <c r="B307" i="3"/>
  <c r="A308" i="3"/>
  <c r="AR307" i="3"/>
  <c r="C307" i="3"/>
  <c r="AM307" i="3"/>
  <c r="Q307" i="3"/>
  <c r="AK307" i="3"/>
  <c r="S307" i="3"/>
  <c r="R307" i="3"/>
  <c r="AD307" i="3"/>
  <c r="P307" i="3"/>
  <c r="O307" i="3"/>
  <c r="M307" i="3"/>
  <c r="AF307" i="3"/>
  <c r="AE307" i="3"/>
  <c r="U307" i="3"/>
  <c r="V307" i="3"/>
  <c r="D307" i="3"/>
  <c r="G307" i="3"/>
  <c r="H307" i="3" s="1"/>
  <c r="F307" i="3"/>
  <c r="T307" i="3"/>
  <c r="AG306" i="3"/>
  <c r="AH306" i="3"/>
  <c r="AO307" i="3" l="1"/>
  <c r="BM307" i="3"/>
  <c r="AV305" i="3"/>
  <c r="AY305" i="3"/>
  <c r="BN307" i="3"/>
  <c r="BC304" i="3"/>
  <c r="BG304" i="3" s="1"/>
  <c r="BH304" i="3" s="1"/>
  <c r="BI304" i="3" s="1"/>
  <c r="BA305" i="3"/>
  <c r="BB305" i="3" s="1"/>
  <c r="BD303" i="3"/>
  <c r="AX306" i="3"/>
  <c r="AG307" i="3"/>
  <c r="Y307" i="3"/>
  <c r="Z307" i="3" s="1"/>
  <c r="A309" i="3"/>
  <c r="B308" i="3"/>
  <c r="AR308" i="3"/>
  <c r="AQ308" i="3"/>
  <c r="AK308" i="3"/>
  <c r="S308" i="3"/>
  <c r="Q308" i="3"/>
  <c r="D308" i="3"/>
  <c r="AM308" i="3"/>
  <c r="R308" i="3"/>
  <c r="AD308" i="3"/>
  <c r="P308" i="3"/>
  <c r="O308" i="3"/>
  <c r="M308" i="3"/>
  <c r="AE308" i="3"/>
  <c r="AF308" i="3"/>
  <c r="U308" i="3"/>
  <c r="V308" i="3"/>
  <c r="C308" i="3"/>
  <c r="G308" i="3"/>
  <c r="H308" i="3" s="1"/>
  <c r="BN308" i="3" s="1"/>
  <c r="F308" i="3"/>
  <c r="BM308" i="3" s="1"/>
  <c r="T308" i="3"/>
  <c r="BQ304" i="3"/>
  <c r="BB304" i="3"/>
  <c r="BF304" i="3"/>
  <c r="BJ303" i="3" s="1"/>
  <c r="BK303" i="3" s="1"/>
  <c r="AW306" i="3"/>
  <c r="AH307" i="3"/>
  <c r="X307" i="3"/>
  <c r="AU306" i="3"/>
  <c r="AN307" i="3"/>
  <c r="AT306" i="3"/>
  <c r="AN308" i="3" l="1"/>
  <c r="BC305" i="3"/>
  <c r="BD305" i="3" s="1"/>
  <c r="BD304" i="3"/>
  <c r="AG308" i="3"/>
  <c r="BQ305" i="3"/>
  <c r="Y308" i="3"/>
  <c r="Z308" i="3" s="1"/>
  <c r="BF305" i="3"/>
  <c r="BJ304" i="3" s="1"/>
  <c r="BK304" i="3" s="1"/>
  <c r="AY306" i="3"/>
  <c r="AU307" i="3"/>
  <c r="AT307" i="3"/>
  <c r="AW307" i="3"/>
  <c r="BA306" i="3"/>
  <c r="AV306" i="3"/>
  <c r="AR309" i="3"/>
  <c r="B309" i="3"/>
  <c r="AQ309" i="3"/>
  <c r="A310" i="3"/>
  <c r="AM309" i="3"/>
  <c r="D309" i="3"/>
  <c r="AK309" i="3"/>
  <c r="Q309" i="3"/>
  <c r="P309" i="3"/>
  <c r="T309" i="3"/>
  <c r="R309" i="3"/>
  <c r="AD309" i="3"/>
  <c r="O309" i="3"/>
  <c r="AE309" i="3"/>
  <c r="M309" i="3"/>
  <c r="AF309" i="3"/>
  <c r="U309" i="3"/>
  <c r="V309" i="3"/>
  <c r="G309" i="3"/>
  <c r="H309" i="3" s="1"/>
  <c r="C309" i="3"/>
  <c r="F309" i="3"/>
  <c r="S309" i="3"/>
  <c r="X308" i="3"/>
  <c r="AH308" i="3"/>
  <c r="AO308" i="3"/>
  <c r="AX307" i="3"/>
  <c r="BG305" i="3" l="1"/>
  <c r="BH305" i="3" s="1"/>
  <c r="BI305" i="3" s="1"/>
  <c r="BM309" i="3"/>
  <c r="BN309" i="3"/>
  <c r="BC306" i="3"/>
  <c r="BD306" i="3" s="1"/>
  <c r="AV307" i="3"/>
  <c r="AY307" i="3"/>
  <c r="AX308" i="3"/>
  <c r="AU308" i="3"/>
  <c r="AO309" i="3"/>
  <c r="AN309" i="3"/>
  <c r="Y309" i="3"/>
  <c r="Z309" i="3" s="1"/>
  <c r="AR310" i="3"/>
  <c r="B310" i="3"/>
  <c r="AQ310" i="3"/>
  <c r="A311" i="3"/>
  <c r="D310" i="3"/>
  <c r="AK310" i="3"/>
  <c r="AM310" i="3"/>
  <c r="S310" i="3"/>
  <c r="Q310" i="3"/>
  <c r="R310" i="3"/>
  <c r="AD310" i="3"/>
  <c r="AE310" i="3"/>
  <c r="U310" i="3"/>
  <c r="P310" i="3"/>
  <c r="O310" i="3"/>
  <c r="M310" i="3"/>
  <c r="AF310" i="3"/>
  <c r="V310" i="3"/>
  <c r="G310" i="3"/>
  <c r="H310" i="3" s="1"/>
  <c r="C310" i="3"/>
  <c r="F310" i="3"/>
  <c r="T310" i="3"/>
  <c r="AT308" i="3"/>
  <c r="AW308" i="3"/>
  <c r="X309" i="3"/>
  <c r="AG309" i="3"/>
  <c r="AH309" i="3"/>
  <c r="BA307" i="3"/>
  <c r="BQ306" i="3"/>
  <c r="BB306" i="3"/>
  <c r="BF306" i="3"/>
  <c r="BN310" i="3" l="1"/>
  <c r="BG306" i="3"/>
  <c r="BH306" i="3" s="1"/>
  <c r="BI306" i="3" s="1"/>
  <c r="AY308" i="3"/>
  <c r="BC307" i="3"/>
  <c r="BD307" i="3" s="1"/>
  <c r="AO310" i="3"/>
  <c r="AX309" i="3"/>
  <c r="AG310" i="3"/>
  <c r="Y310" i="3"/>
  <c r="Z310" i="3" s="1"/>
  <c r="X310" i="3"/>
  <c r="BB307" i="3"/>
  <c r="BQ307" i="3"/>
  <c r="BF307" i="3"/>
  <c r="BJ306" i="3" s="1"/>
  <c r="BK306" i="3" s="1"/>
  <c r="AV308" i="3"/>
  <c r="BA308" i="3"/>
  <c r="AU309" i="3"/>
  <c r="AT309" i="3"/>
  <c r="AW309" i="3"/>
  <c r="BM310" i="3"/>
  <c r="AH310" i="3"/>
  <c r="AN310" i="3"/>
  <c r="BJ305" i="3"/>
  <c r="BK305" i="3" s="1"/>
  <c r="AQ311" i="3"/>
  <c r="B311" i="3"/>
  <c r="A312" i="3"/>
  <c r="AR311" i="3"/>
  <c r="D311" i="3"/>
  <c r="AM311" i="3"/>
  <c r="T311" i="3"/>
  <c r="AK311" i="3"/>
  <c r="R311" i="3"/>
  <c r="Q311" i="3"/>
  <c r="AD311" i="3"/>
  <c r="P311" i="3"/>
  <c r="M311" i="3"/>
  <c r="V311" i="3"/>
  <c r="O311" i="3"/>
  <c r="AE311" i="3"/>
  <c r="AF311" i="3"/>
  <c r="U311" i="3"/>
  <c r="F311" i="3"/>
  <c r="C311" i="3"/>
  <c r="G311" i="3"/>
  <c r="H311" i="3" s="1"/>
  <c r="S311" i="3"/>
  <c r="BN311" i="3" l="1"/>
  <c r="AT310" i="3"/>
  <c r="AO311" i="3"/>
  <c r="BC308" i="3"/>
  <c r="BD308" i="3" s="1"/>
  <c r="BG307" i="3"/>
  <c r="BH307" i="3" s="1"/>
  <c r="BI307" i="3" s="1"/>
  <c r="AY309" i="3"/>
  <c r="AW310" i="3"/>
  <c r="AU310" i="3"/>
  <c r="AV310" i="3" s="1"/>
  <c r="AG311" i="3"/>
  <c r="X311" i="3"/>
  <c r="Y311" i="3"/>
  <c r="Z311" i="3" s="1"/>
  <c r="A313" i="3"/>
  <c r="B312" i="3"/>
  <c r="AR312" i="3"/>
  <c r="AQ312" i="3"/>
  <c r="T312" i="3"/>
  <c r="S312" i="3"/>
  <c r="AK312" i="3"/>
  <c r="AM312" i="3"/>
  <c r="R312" i="3"/>
  <c r="Q312" i="3"/>
  <c r="AD312" i="3"/>
  <c r="P312" i="3"/>
  <c r="AE312" i="3"/>
  <c r="M312" i="3"/>
  <c r="V312" i="3"/>
  <c r="U312" i="3"/>
  <c r="O312" i="3"/>
  <c r="AF312" i="3"/>
  <c r="D312" i="3"/>
  <c r="C312" i="3"/>
  <c r="G312" i="3"/>
  <c r="H312" i="3" s="1"/>
  <c r="BN312" i="3" s="1"/>
  <c r="F312" i="3"/>
  <c r="AV309" i="3"/>
  <c r="BA309" i="3"/>
  <c r="BF308" i="3"/>
  <c r="BJ307" i="3" s="1"/>
  <c r="BK307" i="3" s="1"/>
  <c r="BB308" i="3"/>
  <c r="BQ308" i="3"/>
  <c r="BM311" i="3"/>
  <c r="AH311" i="3"/>
  <c r="AX310" i="3"/>
  <c r="AN311" i="3"/>
  <c r="BM312" i="3" l="1"/>
  <c r="BC309" i="3"/>
  <c r="BG309" i="3" s="1"/>
  <c r="BH309" i="3" s="1"/>
  <c r="BI309" i="3" s="1"/>
  <c r="BG308" i="3"/>
  <c r="BH308" i="3" s="1"/>
  <c r="BI308" i="3" s="1"/>
  <c r="AY310" i="3"/>
  <c r="BC310" i="3" s="1"/>
  <c r="BG310" i="3" s="1"/>
  <c r="BH310" i="3" s="1"/>
  <c r="BI310" i="3" s="1"/>
  <c r="AN312" i="3"/>
  <c r="AU311" i="3"/>
  <c r="AT311" i="3"/>
  <c r="AW311" i="3"/>
  <c r="AH312" i="3"/>
  <c r="BA310" i="3"/>
  <c r="BQ310" i="3" s="1"/>
  <c r="Y312" i="3"/>
  <c r="Z312" i="3" s="1"/>
  <c r="AR313" i="3"/>
  <c r="B313" i="3"/>
  <c r="AQ313" i="3"/>
  <c r="A314" i="3"/>
  <c r="C313" i="3"/>
  <c r="AM313" i="3"/>
  <c r="S313" i="3"/>
  <c r="AK313" i="3"/>
  <c r="T313" i="3"/>
  <c r="Q313" i="3"/>
  <c r="AD313" i="3"/>
  <c r="P313" i="3"/>
  <c r="AF313" i="3"/>
  <c r="U313" i="3"/>
  <c r="O313" i="3"/>
  <c r="M313" i="3"/>
  <c r="AE313" i="3"/>
  <c r="V313" i="3"/>
  <c r="D313" i="3"/>
  <c r="R313" i="3"/>
  <c r="F313" i="3"/>
  <c r="BM313" i="3" s="1"/>
  <c r="G313" i="3"/>
  <c r="H313" i="3" s="1"/>
  <c r="X312" i="3"/>
  <c r="AX311" i="3"/>
  <c r="AG312" i="3"/>
  <c r="AO312" i="3"/>
  <c r="BF309" i="3"/>
  <c r="BJ308" i="3" s="1"/>
  <c r="BK308" i="3" s="1"/>
  <c r="BQ309" i="3"/>
  <c r="BB309" i="3"/>
  <c r="AG313" i="3" l="1"/>
  <c r="BD309" i="3"/>
  <c r="AO313" i="3"/>
  <c r="AU312" i="3"/>
  <c r="BD310" i="3"/>
  <c r="AV311" i="3"/>
  <c r="AW312" i="3"/>
  <c r="BA311" i="3"/>
  <c r="BQ311" i="3" s="1"/>
  <c r="AY311" i="3"/>
  <c r="BB310" i="3"/>
  <c r="BF310" i="3"/>
  <c r="BJ309" i="3" s="1"/>
  <c r="BK309" i="3" s="1"/>
  <c r="Y313" i="3"/>
  <c r="Z313" i="3" s="1"/>
  <c r="AR314" i="3"/>
  <c r="B314" i="3"/>
  <c r="AQ314" i="3"/>
  <c r="A315" i="3"/>
  <c r="D314" i="3"/>
  <c r="AK314" i="3"/>
  <c r="AM314" i="3"/>
  <c r="T314" i="3"/>
  <c r="S314" i="3"/>
  <c r="Q314" i="3"/>
  <c r="R314" i="3"/>
  <c r="AD314" i="3"/>
  <c r="P314" i="3"/>
  <c r="AF314" i="3"/>
  <c r="O314" i="3"/>
  <c r="M314" i="3"/>
  <c r="AE314" i="3"/>
  <c r="U314" i="3"/>
  <c r="V314" i="3"/>
  <c r="F314" i="3"/>
  <c r="C314" i="3"/>
  <c r="G314" i="3"/>
  <c r="H314" i="3" s="1"/>
  <c r="AT312" i="3"/>
  <c r="AH313" i="3"/>
  <c r="AX312" i="3"/>
  <c r="BN313" i="3"/>
  <c r="AN313" i="3"/>
  <c r="X313" i="3"/>
  <c r="AY312" i="3" l="1"/>
  <c r="BC311" i="3"/>
  <c r="BD311" i="3" s="1"/>
  <c r="BF311" i="3"/>
  <c r="BJ310" i="3" s="1"/>
  <c r="BK310" i="3" s="1"/>
  <c r="BB311" i="3"/>
  <c r="AX313" i="3"/>
  <c r="AN314" i="3"/>
  <c r="AT313" i="3"/>
  <c r="AG314" i="3"/>
  <c r="X314" i="3"/>
  <c r="Y314" i="3"/>
  <c r="Z314" i="3" s="1"/>
  <c r="AV312" i="3"/>
  <c r="BA312" i="3"/>
  <c r="AQ315" i="3"/>
  <c r="B315" i="3"/>
  <c r="A316" i="3"/>
  <c r="AR315" i="3"/>
  <c r="AK315" i="3"/>
  <c r="AM315" i="3"/>
  <c r="R315" i="3"/>
  <c r="Q315" i="3"/>
  <c r="AD315" i="3"/>
  <c r="P315" i="3"/>
  <c r="O315" i="3"/>
  <c r="M315" i="3"/>
  <c r="AF315" i="3"/>
  <c r="V315" i="3"/>
  <c r="AE315" i="3"/>
  <c r="U315" i="3"/>
  <c r="C315" i="3"/>
  <c r="D315" i="3"/>
  <c r="G315" i="3"/>
  <c r="H315" i="3" s="1"/>
  <c r="F315" i="3"/>
  <c r="T315" i="3"/>
  <c r="S315" i="3"/>
  <c r="AU313" i="3"/>
  <c r="AW313" i="3"/>
  <c r="BN314" i="3"/>
  <c r="BM314" i="3"/>
  <c r="AH314" i="3"/>
  <c r="AO314" i="3"/>
  <c r="BC312" i="3" l="1"/>
  <c r="BG312" i="3" s="1"/>
  <c r="BH312" i="3" s="1"/>
  <c r="BI312" i="3" s="1"/>
  <c r="BG311" i="3"/>
  <c r="BH311" i="3" s="1"/>
  <c r="BI311" i="3" s="1"/>
  <c r="AY313" i="3"/>
  <c r="AG315" i="3"/>
  <c r="BM315" i="3"/>
  <c r="AN315" i="3"/>
  <c r="AV313" i="3"/>
  <c r="AX314" i="3"/>
  <c r="BD312" i="3"/>
  <c r="A317" i="3"/>
  <c r="B316" i="3"/>
  <c r="AR316" i="3"/>
  <c r="AQ316" i="3"/>
  <c r="D316" i="3"/>
  <c r="C316" i="3"/>
  <c r="AK316" i="3"/>
  <c r="T316" i="3"/>
  <c r="AM316" i="3"/>
  <c r="S316" i="3"/>
  <c r="Q316" i="3"/>
  <c r="AD316" i="3"/>
  <c r="P316" i="3"/>
  <c r="M316" i="3"/>
  <c r="AF316" i="3"/>
  <c r="V316" i="3"/>
  <c r="U316" i="3"/>
  <c r="O316" i="3"/>
  <c r="AE316" i="3"/>
  <c r="F316" i="3"/>
  <c r="R316" i="3"/>
  <c r="G316" i="3"/>
  <c r="H316" i="3" s="1"/>
  <c r="AT314" i="3"/>
  <c r="AW314" i="3"/>
  <c r="AU314" i="3"/>
  <c r="BN315" i="3"/>
  <c r="AH315" i="3"/>
  <c r="AO315" i="3"/>
  <c r="BA313" i="3"/>
  <c r="Y315" i="3"/>
  <c r="Z315" i="3" s="1"/>
  <c r="BB312" i="3"/>
  <c r="BQ312" i="3"/>
  <c r="BF312" i="3"/>
  <c r="BJ311" i="3" s="1"/>
  <c r="BK311" i="3" s="1"/>
  <c r="X315" i="3"/>
  <c r="BM316" i="3" l="1"/>
  <c r="AN316" i="3"/>
  <c r="BC313" i="3"/>
  <c r="BD313" i="3" s="1"/>
  <c r="AU315" i="3"/>
  <c r="BN316" i="3"/>
  <c r="AY314" i="3"/>
  <c r="AX315" i="3"/>
  <c r="AT315" i="3"/>
  <c r="AV315" i="3" s="1"/>
  <c r="AH316" i="3"/>
  <c r="BQ313" i="3"/>
  <c r="BB313" i="3"/>
  <c r="BF313" i="3"/>
  <c r="BJ312" i="3" s="1"/>
  <c r="BK312" i="3" s="1"/>
  <c r="AV314" i="3"/>
  <c r="BA314" i="3"/>
  <c r="AR317" i="3"/>
  <c r="B317" i="3"/>
  <c r="AQ317" i="3"/>
  <c r="A318" i="3"/>
  <c r="AK317" i="3"/>
  <c r="S317" i="3"/>
  <c r="AM317" i="3"/>
  <c r="R317" i="3"/>
  <c r="AD317" i="3"/>
  <c r="P317" i="3"/>
  <c r="AE317" i="3"/>
  <c r="M317" i="3"/>
  <c r="O317" i="3"/>
  <c r="V317" i="3"/>
  <c r="AF317" i="3"/>
  <c r="U317" i="3"/>
  <c r="Q317" i="3"/>
  <c r="C317" i="3"/>
  <c r="D317" i="3"/>
  <c r="G317" i="3"/>
  <c r="H317" i="3" s="1"/>
  <c r="F317" i="3"/>
  <c r="T317" i="3"/>
  <c r="AW315" i="3"/>
  <c r="AG316" i="3"/>
  <c r="AO316" i="3"/>
  <c r="Y316" i="3"/>
  <c r="Z316" i="3" s="1"/>
  <c r="X316" i="3"/>
  <c r="AN317" i="3" l="1"/>
  <c r="BC314" i="3"/>
  <c r="BD314" i="3" s="1"/>
  <c r="BG313" i="3"/>
  <c r="BH313" i="3" s="1"/>
  <c r="BI313" i="3" s="1"/>
  <c r="AY315" i="3"/>
  <c r="BC315" i="3" s="1"/>
  <c r="BD315" i="3" s="1"/>
  <c r="BM317" i="3"/>
  <c r="BA315" i="3"/>
  <c r="BQ315" i="3" s="1"/>
  <c r="AW316" i="3"/>
  <c r="AU316" i="3"/>
  <c r="AX316" i="3"/>
  <c r="AR318" i="3"/>
  <c r="B318" i="3"/>
  <c r="AQ318" i="3"/>
  <c r="A319" i="3"/>
  <c r="C318" i="3"/>
  <c r="R318" i="3"/>
  <c r="Q318" i="3"/>
  <c r="AK318" i="3"/>
  <c r="AM318" i="3"/>
  <c r="P318" i="3"/>
  <c r="S318" i="3"/>
  <c r="AD318" i="3"/>
  <c r="O318" i="3"/>
  <c r="AE318" i="3"/>
  <c r="M318" i="3"/>
  <c r="U318" i="3"/>
  <c r="AF318" i="3"/>
  <c r="V318" i="3"/>
  <c r="G318" i="3"/>
  <c r="H318" i="3" s="1"/>
  <c r="D318" i="3"/>
  <c r="F318" i="3"/>
  <c r="BM318" i="3" s="1"/>
  <c r="T318" i="3"/>
  <c r="BF314" i="3"/>
  <c r="BJ313" i="3" s="1"/>
  <c r="BK313" i="3" s="1"/>
  <c r="BQ314" i="3"/>
  <c r="BB314" i="3"/>
  <c r="AT316" i="3"/>
  <c r="Y317" i="3"/>
  <c r="Z317" i="3" s="1"/>
  <c r="BN317" i="3"/>
  <c r="X317" i="3"/>
  <c r="AG317" i="3"/>
  <c r="AH317" i="3"/>
  <c r="AO317" i="3"/>
  <c r="BF315" i="3" l="1"/>
  <c r="BJ314" i="3" s="1"/>
  <c r="BK314" i="3" s="1"/>
  <c r="BG314" i="3"/>
  <c r="BH314" i="3" s="1"/>
  <c r="BI314" i="3" s="1"/>
  <c r="BN318" i="3"/>
  <c r="BB315" i="3"/>
  <c r="AY316" i="3"/>
  <c r="AN318" i="3"/>
  <c r="BG315" i="3"/>
  <c r="BH315" i="3" s="1"/>
  <c r="BI315" i="3" s="1"/>
  <c r="AX317" i="3"/>
  <c r="BA316" i="3"/>
  <c r="BB316" i="3" s="1"/>
  <c r="Y318" i="3"/>
  <c r="Z318" i="3" s="1"/>
  <c r="AU317" i="3"/>
  <c r="X318" i="3"/>
  <c r="AQ319" i="3"/>
  <c r="B319" i="3"/>
  <c r="A320" i="3"/>
  <c r="AR319" i="3"/>
  <c r="AM319" i="3"/>
  <c r="D319" i="3"/>
  <c r="AK319" i="3"/>
  <c r="Q319" i="3"/>
  <c r="S319" i="3"/>
  <c r="AD319" i="3"/>
  <c r="P319" i="3"/>
  <c r="O319" i="3"/>
  <c r="AE319" i="3"/>
  <c r="AF319" i="3"/>
  <c r="M319" i="3"/>
  <c r="U319" i="3"/>
  <c r="V319" i="3"/>
  <c r="C319" i="3"/>
  <c r="F319" i="3"/>
  <c r="R319" i="3"/>
  <c r="G319" i="3"/>
  <c r="H319" i="3" s="1"/>
  <c r="T319" i="3"/>
  <c r="AT317" i="3"/>
  <c r="AW317" i="3"/>
  <c r="AV316" i="3"/>
  <c r="AG318" i="3"/>
  <c r="AH318" i="3"/>
  <c r="AO318" i="3"/>
  <c r="AO319" i="3" l="1"/>
  <c r="BN319" i="3"/>
  <c r="BM319" i="3"/>
  <c r="BC316" i="3"/>
  <c r="BD316" i="3" s="1"/>
  <c r="BF316" i="3"/>
  <c r="BJ315" i="3" s="1"/>
  <c r="BK315" i="3" s="1"/>
  <c r="AY317" i="3"/>
  <c r="BQ316" i="3"/>
  <c r="AX318" i="3"/>
  <c r="AG319" i="3"/>
  <c r="AV317" i="3"/>
  <c r="BA317" i="3"/>
  <c r="AW318" i="3"/>
  <c r="Y319" i="3"/>
  <c r="Z319" i="3" s="1"/>
  <c r="X319" i="3"/>
  <c r="AH319" i="3"/>
  <c r="AT318" i="3"/>
  <c r="A321" i="3"/>
  <c r="B320" i="3"/>
  <c r="AR320" i="3"/>
  <c r="AQ320" i="3"/>
  <c r="D320" i="3"/>
  <c r="AM320" i="3"/>
  <c r="AK320" i="3"/>
  <c r="S320" i="3"/>
  <c r="R320" i="3"/>
  <c r="AD320" i="3"/>
  <c r="Q320" i="3"/>
  <c r="P320" i="3"/>
  <c r="M320" i="3"/>
  <c r="U320" i="3"/>
  <c r="V320" i="3"/>
  <c r="O320" i="3"/>
  <c r="AE320" i="3"/>
  <c r="AF320" i="3"/>
  <c r="G320" i="3"/>
  <c r="H320" i="3" s="1"/>
  <c r="F320" i="3"/>
  <c r="C320" i="3"/>
  <c r="T320" i="3"/>
  <c r="AN319" i="3"/>
  <c r="AU318" i="3"/>
  <c r="BN320" i="3" l="1"/>
  <c r="BG316" i="3"/>
  <c r="BH316" i="3" s="1"/>
  <c r="BI316" i="3" s="1"/>
  <c r="AT319" i="3"/>
  <c r="AY318" i="3"/>
  <c r="BC317" i="3"/>
  <c r="BG317" i="3" s="1"/>
  <c r="BH317" i="3" s="1"/>
  <c r="BI317" i="3" s="1"/>
  <c r="AO320" i="3"/>
  <c r="AW319" i="3"/>
  <c r="AU319" i="3"/>
  <c r="AG320" i="3"/>
  <c r="X320" i="3"/>
  <c r="AV318" i="3"/>
  <c r="BA318" i="3"/>
  <c r="Y320" i="3"/>
  <c r="Z320" i="3" s="1"/>
  <c r="BM320" i="3"/>
  <c r="AH320" i="3"/>
  <c r="AN320" i="3"/>
  <c r="AR321" i="3"/>
  <c r="B321" i="3"/>
  <c r="AQ321" i="3"/>
  <c r="A322" i="3"/>
  <c r="T321" i="3"/>
  <c r="AK321" i="3"/>
  <c r="AM321" i="3"/>
  <c r="S321" i="3"/>
  <c r="Q321" i="3"/>
  <c r="R321" i="3"/>
  <c r="AD321" i="3"/>
  <c r="P321" i="3"/>
  <c r="O321" i="3"/>
  <c r="M321" i="3"/>
  <c r="AF321" i="3"/>
  <c r="V321" i="3"/>
  <c r="U321" i="3"/>
  <c r="AE321" i="3"/>
  <c r="D321" i="3"/>
  <c r="F321" i="3"/>
  <c r="C321" i="3"/>
  <c r="G321" i="3"/>
  <c r="H321" i="3" s="1"/>
  <c r="BQ317" i="3"/>
  <c r="BB317" i="3"/>
  <c r="BF317" i="3"/>
  <c r="BJ316" i="3" s="1"/>
  <c r="BK316" i="3" s="1"/>
  <c r="AX319" i="3"/>
  <c r="BD317" i="3" l="1"/>
  <c r="AV319" i="3"/>
  <c r="BC318" i="3"/>
  <c r="BG318" i="3" s="1"/>
  <c r="BH318" i="3" s="1"/>
  <c r="BI318" i="3" s="1"/>
  <c r="BA319" i="3"/>
  <c r="BB319" i="3" s="1"/>
  <c r="AX320" i="3"/>
  <c r="X321" i="3"/>
  <c r="Y321" i="3"/>
  <c r="Z321" i="3" s="1"/>
  <c r="AO321" i="3"/>
  <c r="AN321" i="3"/>
  <c r="AR322" i="3"/>
  <c r="B322" i="3"/>
  <c r="AQ322" i="3"/>
  <c r="A323" i="3"/>
  <c r="D322" i="3"/>
  <c r="AK322" i="3"/>
  <c r="S322" i="3"/>
  <c r="Q322" i="3"/>
  <c r="C322" i="3"/>
  <c r="AM322" i="3"/>
  <c r="R322" i="3"/>
  <c r="AD322" i="3"/>
  <c r="P322" i="3"/>
  <c r="AE322" i="3"/>
  <c r="O322" i="3"/>
  <c r="M322" i="3"/>
  <c r="AF322" i="3"/>
  <c r="V322" i="3"/>
  <c r="U322" i="3"/>
  <c r="G322" i="3"/>
  <c r="H322" i="3" s="1"/>
  <c r="F322" i="3"/>
  <c r="BM322" i="3" s="1"/>
  <c r="T322" i="3"/>
  <c r="AH321" i="3"/>
  <c r="AU320" i="3"/>
  <c r="AT320" i="3"/>
  <c r="AY319" i="3"/>
  <c r="BN321" i="3"/>
  <c r="BM321" i="3"/>
  <c r="AG321" i="3"/>
  <c r="AW320" i="3"/>
  <c r="BB318" i="3"/>
  <c r="BF318" i="3"/>
  <c r="BJ317" i="3" s="1"/>
  <c r="BK317" i="3" s="1"/>
  <c r="BQ318" i="3"/>
  <c r="BD318" i="3" l="1"/>
  <c r="BQ319" i="3"/>
  <c r="AN322" i="3"/>
  <c r="BC319" i="3"/>
  <c r="BD319" i="3" s="1"/>
  <c r="BF319" i="3"/>
  <c r="BJ318" i="3" s="1"/>
  <c r="BK318" i="3" s="1"/>
  <c r="AY320" i="3"/>
  <c r="AW321" i="3"/>
  <c r="AV320" i="3"/>
  <c r="AQ323" i="3"/>
  <c r="B323" i="3"/>
  <c r="A324" i="3"/>
  <c r="AR323" i="3"/>
  <c r="AM323" i="3"/>
  <c r="S323" i="3"/>
  <c r="AK323" i="3"/>
  <c r="R323" i="3"/>
  <c r="P323" i="3"/>
  <c r="T323" i="3"/>
  <c r="Q323" i="3"/>
  <c r="AD323" i="3"/>
  <c r="O323" i="3"/>
  <c r="AF323" i="3"/>
  <c r="U323" i="3"/>
  <c r="V323" i="3"/>
  <c r="M323" i="3"/>
  <c r="AE323" i="3"/>
  <c r="D323" i="3"/>
  <c r="C323" i="3"/>
  <c r="F323" i="3"/>
  <c r="G323" i="3"/>
  <c r="H323" i="3" s="1"/>
  <c r="AX321" i="3"/>
  <c r="AU321" i="3"/>
  <c r="BA320" i="3"/>
  <c r="AT321" i="3"/>
  <c r="Y322" i="3"/>
  <c r="Z322" i="3" s="1"/>
  <c r="BN322" i="3"/>
  <c r="AG322" i="3"/>
  <c r="AH322" i="3"/>
  <c r="AO322" i="3"/>
  <c r="X322" i="3"/>
  <c r="BC320" i="3" l="1"/>
  <c r="BD320" i="3" s="1"/>
  <c r="AG323" i="3"/>
  <c r="AO323" i="3"/>
  <c r="BG319" i="3"/>
  <c r="BH319" i="3" s="1"/>
  <c r="BI319" i="3" s="1"/>
  <c r="AY321" i="3"/>
  <c r="BN323" i="3"/>
  <c r="AT322" i="3"/>
  <c r="AU322" i="3"/>
  <c r="X323" i="3"/>
  <c r="AV321" i="3"/>
  <c r="BA321" i="3"/>
  <c r="Y323" i="3"/>
  <c r="Z323" i="3" s="1"/>
  <c r="A325" i="3"/>
  <c r="B324" i="3"/>
  <c r="AR324" i="3"/>
  <c r="AQ324" i="3"/>
  <c r="D324" i="3"/>
  <c r="AM324" i="3"/>
  <c r="AK324" i="3"/>
  <c r="R324" i="3"/>
  <c r="Q324" i="3"/>
  <c r="AD324" i="3"/>
  <c r="T324" i="3"/>
  <c r="P324" i="3"/>
  <c r="O324" i="3"/>
  <c r="V324" i="3"/>
  <c r="AE324" i="3"/>
  <c r="AF324" i="3"/>
  <c r="M324" i="3"/>
  <c r="U324" i="3"/>
  <c r="F324" i="3"/>
  <c r="C324" i="3"/>
  <c r="G324" i="3"/>
  <c r="H324" i="3" s="1"/>
  <c r="BN324" i="3" s="1"/>
  <c r="S324" i="3"/>
  <c r="AX322" i="3"/>
  <c r="BM323" i="3"/>
  <c r="AN323" i="3"/>
  <c r="BF320" i="3"/>
  <c r="BJ319" i="3" s="1"/>
  <c r="BK319" i="3" s="1"/>
  <c r="BQ320" i="3"/>
  <c r="BB320" i="3"/>
  <c r="AW322" i="3"/>
  <c r="AH323" i="3"/>
  <c r="BG320" i="3" l="1"/>
  <c r="BH320" i="3" s="1"/>
  <c r="BI320" i="3" s="1"/>
  <c r="BC321" i="3"/>
  <c r="BG321" i="3" s="1"/>
  <c r="BH321" i="3" s="1"/>
  <c r="BI321" i="3" s="1"/>
  <c r="BM324" i="3"/>
  <c r="AV322" i="3"/>
  <c r="BA322" i="3"/>
  <c r="BB322" i="3" s="1"/>
  <c r="AW323" i="3"/>
  <c r="AO324" i="3"/>
  <c r="AG324" i="3"/>
  <c r="AT323" i="3"/>
  <c r="Y324" i="3"/>
  <c r="Z324" i="3" s="1"/>
  <c r="AR325" i="3"/>
  <c r="B325" i="3"/>
  <c r="AQ325" i="3"/>
  <c r="A326" i="3"/>
  <c r="C325" i="3"/>
  <c r="AM325" i="3"/>
  <c r="AK325" i="3"/>
  <c r="S325" i="3"/>
  <c r="R325" i="3"/>
  <c r="D325" i="3"/>
  <c r="AD325" i="3"/>
  <c r="P325" i="3"/>
  <c r="O325" i="3"/>
  <c r="M325" i="3"/>
  <c r="V325" i="3"/>
  <c r="AF325" i="3"/>
  <c r="AE325" i="3"/>
  <c r="U325" i="3"/>
  <c r="Q325" i="3"/>
  <c r="G325" i="3"/>
  <c r="H325" i="3" s="1"/>
  <c r="F325" i="3"/>
  <c r="T325" i="3"/>
  <c r="BB321" i="3"/>
  <c r="BF321" i="3"/>
  <c r="BJ320" i="3" s="1"/>
  <c r="BK320" i="3" s="1"/>
  <c r="BQ321" i="3"/>
  <c r="AX323" i="3"/>
  <c r="AY322" i="3"/>
  <c r="AU323" i="3"/>
  <c r="X324" i="3"/>
  <c r="AH324" i="3"/>
  <c r="AN324" i="3"/>
  <c r="BN325" i="3" l="1"/>
  <c r="BM325" i="3"/>
  <c r="BD321" i="3"/>
  <c r="BC322" i="3"/>
  <c r="BD322" i="3" s="1"/>
  <c r="AO325" i="3"/>
  <c r="BQ322" i="3"/>
  <c r="BF322" i="3"/>
  <c r="BJ321" i="3" s="1"/>
  <c r="BK321" i="3" s="1"/>
  <c r="AG325" i="3"/>
  <c r="BA323" i="3"/>
  <c r="BB323" i="3" s="1"/>
  <c r="AY323" i="3"/>
  <c r="AX324" i="3"/>
  <c r="Y325" i="3"/>
  <c r="Z325" i="3" s="1"/>
  <c r="AR326" i="3"/>
  <c r="B326" i="3"/>
  <c r="AQ326" i="3"/>
  <c r="A327" i="3"/>
  <c r="AK326" i="3"/>
  <c r="T326" i="3"/>
  <c r="S326" i="3"/>
  <c r="AM326" i="3"/>
  <c r="R326" i="3"/>
  <c r="AD326" i="3"/>
  <c r="P326" i="3"/>
  <c r="O326" i="3"/>
  <c r="M326" i="3"/>
  <c r="AE326" i="3"/>
  <c r="AF326" i="3"/>
  <c r="V326" i="3"/>
  <c r="U326" i="3"/>
  <c r="C326" i="3"/>
  <c r="G326" i="3"/>
  <c r="H326" i="3" s="1"/>
  <c r="F326" i="3"/>
  <c r="BM326" i="3" s="1"/>
  <c r="Q326" i="3"/>
  <c r="D326" i="3"/>
  <c r="AU324" i="3"/>
  <c r="AW324" i="3"/>
  <c r="AN325" i="3"/>
  <c r="AV323" i="3"/>
  <c r="AT324" i="3"/>
  <c r="AH325" i="3"/>
  <c r="X325" i="3"/>
  <c r="BG322" i="3" l="1"/>
  <c r="BH322" i="3" s="1"/>
  <c r="BI322" i="3" s="1"/>
  <c r="AO326" i="3"/>
  <c r="BN326" i="3"/>
  <c r="BQ323" i="3"/>
  <c r="AY324" i="3"/>
  <c r="BF323" i="3"/>
  <c r="BJ322" i="3" s="1"/>
  <c r="BK322" i="3" s="1"/>
  <c r="BC323" i="3"/>
  <c r="BG323" i="3" s="1"/>
  <c r="BH323" i="3" s="1"/>
  <c r="BI323" i="3" s="1"/>
  <c r="AX325" i="3"/>
  <c r="AT325" i="3"/>
  <c r="AU325" i="3"/>
  <c r="Y326" i="3"/>
  <c r="Z326" i="3" s="1"/>
  <c r="AQ327" i="3"/>
  <c r="B327" i="3"/>
  <c r="A328" i="3"/>
  <c r="AR327" i="3"/>
  <c r="D327" i="3"/>
  <c r="AM327" i="3"/>
  <c r="S327" i="3"/>
  <c r="AK327" i="3"/>
  <c r="R327" i="3"/>
  <c r="Q327" i="3"/>
  <c r="P327" i="3"/>
  <c r="AD327" i="3"/>
  <c r="O327" i="3"/>
  <c r="AE327" i="3"/>
  <c r="U327" i="3"/>
  <c r="M327" i="3"/>
  <c r="AF327" i="3"/>
  <c r="V327" i="3"/>
  <c r="C327" i="3"/>
  <c r="G327" i="3"/>
  <c r="H327" i="3" s="1"/>
  <c r="F327" i="3"/>
  <c r="BM327" i="3" s="1"/>
  <c r="T327" i="3"/>
  <c r="AW325" i="3"/>
  <c r="X326" i="3"/>
  <c r="AG326" i="3"/>
  <c r="AH326" i="3"/>
  <c r="AN326" i="3"/>
  <c r="AV324" i="3"/>
  <c r="BA324" i="3"/>
  <c r="BC324" i="3" l="1"/>
  <c r="BD324" i="3" s="1"/>
  <c r="BD323" i="3"/>
  <c r="AY325" i="3"/>
  <c r="BN327" i="3"/>
  <c r="AT326" i="3"/>
  <c r="AV325" i="3"/>
  <c r="AG327" i="3"/>
  <c r="AU326" i="3"/>
  <c r="AN327" i="3"/>
  <c r="AO327" i="3"/>
  <c r="A329" i="3"/>
  <c r="B328" i="3"/>
  <c r="AR328" i="3"/>
  <c r="AQ328" i="3"/>
  <c r="C328" i="3"/>
  <c r="D328" i="3"/>
  <c r="AM328" i="3"/>
  <c r="AK328" i="3"/>
  <c r="R328" i="3"/>
  <c r="Q328" i="3"/>
  <c r="S328" i="3"/>
  <c r="AD328" i="3"/>
  <c r="P328" i="3"/>
  <c r="O328" i="3"/>
  <c r="M328" i="3"/>
  <c r="AE328" i="3"/>
  <c r="AF328" i="3"/>
  <c r="U328" i="3"/>
  <c r="V328" i="3"/>
  <c r="G328" i="3"/>
  <c r="H328" i="3" s="1"/>
  <c r="F328" i="3"/>
  <c r="T328" i="3"/>
  <c r="AX326" i="3"/>
  <c r="X327" i="3"/>
  <c r="BQ324" i="3"/>
  <c r="BF324" i="3"/>
  <c r="BJ323" i="3" s="1"/>
  <c r="BK323" i="3" s="1"/>
  <c r="BB324" i="3"/>
  <c r="AW326" i="3"/>
  <c r="Y327" i="3"/>
  <c r="Z327" i="3" s="1"/>
  <c r="AH327" i="3"/>
  <c r="BA325" i="3"/>
  <c r="BG324" i="3" l="1"/>
  <c r="BH324" i="3" s="1"/>
  <c r="BI324" i="3" s="1"/>
  <c r="BM328" i="3"/>
  <c r="BN328" i="3"/>
  <c r="BC325" i="3"/>
  <c r="BD325" i="3" s="1"/>
  <c r="AO328" i="3"/>
  <c r="AV326" i="3"/>
  <c r="AY326" i="3"/>
  <c r="AG328" i="3"/>
  <c r="AW327" i="3"/>
  <c r="AT327" i="3"/>
  <c r="Y328" i="3"/>
  <c r="Z328" i="3" s="1"/>
  <c r="BA326" i="3"/>
  <c r="BQ326" i="3" s="1"/>
  <c r="BB325" i="3"/>
  <c r="BQ325" i="3"/>
  <c r="BF325" i="3"/>
  <c r="BJ324" i="3" s="1"/>
  <c r="BK324" i="3" s="1"/>
  <c r="AR329" i="3"/>
  <c r="B329" i="3"/>
  <c r="AQ329" i="3"/>
  <c r="A330" i="3"/>
  <c r="AK329" i="3"/>
  <c r="AM329" i="3"/>
  <c r="S329" i="3"/>
  <c r="R329" i="3"/>
  <c r="AD329" i="3"/>
  <c r="P329" i="3"/>
  <c r="O329" i="3"/>
  <c r="M329" i="3"/>
  <c r="AF329" i="3"/>
  <c r="V329" i="3"/>
  <c r="U329" i="3"/>
  <c r="AE329" i="3"/>
  <c r="Q329" i="3"/>
  <c r="D329" i="3"/>
  <c r="G329" i="3"/>
  <c r="H329" i="3" s="1"/>
  <c r="F329" i="3"/>
  <c r="C329" i="3"/>
  <c r="T329" i="3"/>
  <c r="AN328" i="3"/>
  <c r="X328" i="3"/>
  <c r="AU327" i="3"/>
  <c r="AH328" i="3"/>
  <c r="AX327" i="3"/>
  <c r="BG325" i="3" l="1"/>
  <c r="BH325" i="3" s="1"/>
  <c r="BI325" i="3" s="1"/>
  <c r="BN329" i="3"/>
  <c r="AY327" i="3"/>
  <c r="BC326" i="3"/>
  <c r="BD326" i="3" s="1"/>
  <c r="AX328" i="3"/>
  <c r="AO329" i="3"/>
  <c r="AV327" i="3"/>
  <c r="BF326" i="3"/>
  <c r="BJ325" i="3" s="1"/>
  <c r="BK325" i="3" s="1"/>
  <c r="AW328" i="3"/>
  <c r="AU328" i="3"/>
  <c r="BB326" i="3"/>
  <c r="X329" i="3"/>
  <c r="AR330" i="3"/>
  <c r="B330" i="3"/>
  <c r="AQ330" i="3"/>
  <c r="A331" i="3"/>
  <c r="D330" i="3"/>
  <c r="C330" i="3"/>
  <c r="S330" i="3"/>
  <c r="R330" i="3"/>
  <c r="AM330" i="3"/>
  <c r="AK330" i="3"/>
  <c r="Q330" i="3"/>
  <c r="AD330" i="3"/>
  <c r="P330" i="3"/>
  <c r="O330" i="3"/>
  <c r="M330" i="3"/>
  <c r="V330" i="3"/>
  <c r="AE330" i="3"/>
  <c r="AF330" i="3"/>
  <c r="U330" i="3"/>
  <c r="F330" i="3"/>
  <c r="BM330" i="3" s="1"/>
  <c r="G330" i="3"/>
  <c r="H330" i="3" s="1"/>
  <c r="BN330" i="3" s="1"/>
  <c r="T330" i="3"/>
  <c r="AH329" i="3"/>
  <c r="AT328" i="3"/>
  <c r="Y329" i="3"/>
  <c r="Z329" i="3" s="1"/>
  <c r="BM329" i="3"/>
  <c r="AG329" i="3"/>
  <c r="AN329" i="3"/>
  <c r="BA327" i="3"/>
  <c r="BG326" i="3" l="1"/>
  <c r="BH326" i="3" s="1"/>
  <c r="BI326" i="3" s="1"/>
  <c r="BC327" i="3"/>
  <c r="BG327" i="3" s="1"/>
  <c r="BH327" i="3" s="1"/>
  <c r="BI327" i="3" s="1"/>
  <c r="AN330" i="3"/>
  <c r="AY328" i="3"/>
  <c r="AT329" i="3"/>
  <c r="AG330" i="3"/>
  <c r="BB327" i="3"/>
  <c r="BQ327" i="3"/>
  <c r="BF327" i="3"/>
  <c r="BJ326" i="3" s="1"/>
  <c r="BK326" i="3" s="1"/>
  <c r="BA328" i="3"/>
  <c r="AV328" i="3"/>
  <c r="AQ331" i="3"/>
  <c r="B331" i="3"/>
  <c r="A332" i="3"/>
  <c r="AR331" i="3"/>
  <c r="AM331" i="3"/>
  <c r="AK331" i="3"/>
  <c r="T331" i="3"/>
  <c r="R331" i="3"/>
  <c r="Q331" i="3"/>
  <c r="AD331" i="3"/>
  <c r="M331" i="3"/>
  <c r="AF331" i="3"/>
  <c r="O331" i="3"/>
  <c r="AE331" i="3"/>
  <c r="V331" i="3"/>
  <c r="U331" i="3"/>
  <c r="D331" i="3"/>
  <c r="C331" i="3"/>
  <c r="F331" i="3"/>
  <c r="G331" i="3"/>
  <c r="H331" i="3" s="1"/>
  <c r="P331" i="3"/>
  <c r="S331" i="3"/>
  <c r="AX329" i="3"/>
  <c r="AU329" i="3"/>
  <c r="AW329" i="3"/>
  <c r="Y330" i="3"/>
  <c r="Z330" i="3" s="1"/>
  <c r="AH330" i="3"/>
  <c r="AO330" i="3"/>
  <c r="X330" i="3"/>
  <c r="BD327" i="3" l="1"/>
  <c r="AG331" i="3"/>
  <c r="AY329" i="3"/>
  <c r="AT330" i="3"/>
  <c r="BM331" i="3"/>
  <c r="BC328" i="3"/>
  <c r="BD328" i="3" s="1"/>
  <c r="AX330" i="3"/>
  <c r="AN331" i="3"/>
  <c r="Y331" i="3"/>
  <c r="Z331" i="3" s="1"/>
  <c r="BA329" i="3"/>
  <c r="BB329" i="3" s="1"/>
  <c r="AU330" i="3"/>
  <c r="AW330" i="3"/>
  <c r="X331" i="3"/>
  <c r="BN331" i="3"/>
  <c r="AH331" i="3"/>
  <c r="AO331" i="3"/>
  <c r="AV329" i="3"/>
  <c r="A333" i="3"/>
  <c r="B332" i="3"/>
  <c r="AR332" i="3"/>
  <c r="AQ332" i="3"/>
  <c r="C332" i="3"/>
  <c r="AK332" i="3"/>
  <c r="Q332" i="3"/>
  <c r="AM332" i="3"/>
  <c r="D332" i="3"/>
  <c r="AD332" i="3"/>
  <c r="S332" i="3"/>
  <c r="R332" i="3"/>
  <c r="P332" i="3"/>
  <c r="M332" i="3"/>
  <c r="AE332" i="3"/>
  <c r="O332" i="3"/>
  <c r="AF332" i="3"/>
  <c r="V332" i="3"/>
  <c r="U332" i="3"/>
  <c r="G332" i="3"/>
  <c r="H332" i="3" s="1"/>
  <c r="F332" i="3"/>
  <c r="BM332" i="3" s="1"/>
  <c r="T332" i="3"/>
  <c r="BF328" i="3"/>
  <c r="BJ327" i="3" s="1"/>
  <c r="BK327" i="3" s="1"/>
  <c r="BB328" i="3"/>
  <c r="BQ328" i="3"/>
  <c r="BC329" i="3" l="1"/>
  <c r="AN332" i="3"/>
  <c r="AV330" i="3"/>
  <c r="BG328" i="3"/>
  <c r="BH328" i="3" s="1"/>
  <c r="BI328" i="3" s="1"/>
  <c r="AY330" i="3"/>
  <c r="AX331" i="3"/>
  <c r="AU331" i="3"/>
  <c r="AG332" i="3"/>
  <c r="BF329" i="3"/>
  <c r="BJ328" i="3" s="1"/>
  <c r="BK328" i="3" s="1"/>
  <c r="BA330" i="3"/>
  <c r="BB330" i="3" s="1"/>
  <c r="BQ329" i="3"/>
  <c r="BD329" i="3"/>
  <c r="BG329" i="3"/>
  <c r="BH329" i="3" s="1"/>
  <c r="BI329" i="3" s="1"/>
  <c r="X332" i="3"/>
  <c r="Y332" i="3"/>
  <c r="Z332" i="3" s="1"/>
  <c r="BN332" i="3"/>
  <c r="AH332" i="3"/>
  <c r="AO332" i="3"/>
  <c r="AW331" i="3"/>
  <c r="AR333" i="3"/>
  <c r="B333" i="3"/>
  <c r="AQ333" i="3"/>
  <c r="A334" i="3"/>
  <c r="AK333" i="3"/>
  <c r="AM333" i="3"/>
  <c r="T333" i="3"/>
  <c r="Q333" i="3"/>
  <c r="S333" i="3"/>
  <c r="R333" i="3"/>
  <c r="AD333" i="3"/>
  <c r="P333" i="3"/>
  <c r="AE333" i="3"/>
  <c r="O333" i="3"/>
  <c r="M333" i="3"/>
  <c r="AF333" i="3"/>
  <c r="V333" i="3"/>
  <c r="U333" i="3"/>
  <c r="D333" i="3"/>
  <c r="C333" i="3"/>
  <c r="G333" i="3"/>
  <c r="H333" i="3" s="1"/>
  <c r="F333" i="3"/>
  <c r="AT331" i="3"/>
  <c r="BM333" i="3" l="1"/>
  <c r="BN333" i="3"/>
  <c r="AY331" i="3"/>
  <c r="BC330" i="3"/>
  <c r="BD330" i="3" s="1"/>
  <c r="AN333" i="3"/>
  <c r="BQ330" i="3"/>
  <c r="AW332" i="3"/>
  <c r="AU332" i="3"/>
  <c r="AT332" i="3"/>
  <c r="BF330" i="3"/>
  <c r="BJ329" i="3" s="1"/>
  <c r="BK329" i="3" s="1"/>
  <c r="AV331" i="3"/>
  <c r="BA331" i="3"/>
  <c r="Y333" i="3"/>
  <c r="Z333" i="3" s="1"/>
  <c r="X333" i="3"/>
  <c r="AG333" i="3"/>
  <c r="AH333" i="3"/>
  <c r="AO333" i="3"/>
  <c r="AX332" i="3"/>
  <c r="AR334" i="3"/>
  <c r="B334" i="3"/>
  <c r="AQ334" i="3"/>
  <c r="A335" i="3"/>
  <c r="D334" i="3"/>
  <c r="AM334" i="3"/>
  <c r="AK334" i="3"/>
  <c r="S334" i="3"/>
  <c r="Q334" i="3"/>
  <c r="R334" i="3"/>
  <c r="T334" i="3"/>
  <c r="AD334" i="3"/>
  <c r="P334" i="3"/>
  <c r="O334" i="3"/>
  <c r="M334" i="3"/>
  <c r="AF334" i="3"/>
  <c r="AE334" i="3"/>
  <c r="V334" i="3"/>
  <c r="U334" i="3"/>
  <c r="G334" i="3"/>
  <c r="H334" i="3" s="1"/>
  <c r="C334" i="3"/>
  <c r="F334" i="3"/>
  <c r="BC331" i="3" l="1"/>
  <c r="BD331" i="3" s="1"/>
  <c r="AV332" i="3"/>
  <c r="BG330" i="3"/>
  <c r="BH330" i="3" s="1"/>
  <c r="BI330" i="3" s="1"/>
  <c r="BA332" i="3"/>
  <c r="BB332" i="3" s="1"/>
  <c r="AT333" i="3"/>
  <c r="AO334" i="3"/>
  <c r="AG334" i="3"/>
  <c r="AY332" i="3"/>
  <c r="X334" i="3"/>
  <c r="BB331" i="3"/>
  <c r="BQ331" i="3"/>
  <c r="BF331" i="3"/>
  <c r="BJ330" i="3" s="1"/>
  <c r="BK330" i="3" s="1"/>
  <c r="AW333" i="3"/>
  <c r="Y334" i="3"/>
  <c r="Z334" i="3" s="1"/>
  <c r="AQ335" i="3"/>
  <c r="B335" i="3"/>
  <c r="A336" i="3"/>
  <c r="AR335" i="3"/>
  <c r="D335" i="3"/>
  <c r="AM335" i="3"/>
  <c r="T335" i="3"/>
  <c r="Q335" i="3"/>
  <c r="AK335" i="3"/>
  <c r="S335" i="3"/>
  <c r="R335" i="3"/>
  <c r="AD335" i="3"/>
  <c r="P335" i="3"/>
  <c r="O335" i="3"/>
  <c r="AE335" i="3"/>
  <c r="M335" i="3"/>
  <c r="AF335" i="3"/>
  <c r="U335" i="3"/>
  <c r="V335" i="3"/>
  <c r="C335" i="3"/>
  <c r="G335" i="3"/>
  <c r="H335" i="3" s="1"/>
  <c r="F335" i="3"/>
  <c r="BM334" i="3"/>
  <c r="BN334" i="3"/>
  <c r="AH334" i="3"/>
  <c r="AN334" i="3"/>
  <c r="AU333" i="3"/>
  <c r="AX333" i="3"/>
  <c r="BC332" i="3" l="1"/>
  <c r="BG332" i="3" s="1"/>
  <c r="BH332" i="3" s="1"/>
  <c r="BI332" i="3" s="1"/>
  <c r="BN335" i="3"/>
  <c r="BM335" i="3"/>
  <c r="BG331" i="3"/>
  <c r="BH331" i="3" s="1"/>
  <c r="BI331" i="3" s="1"/>
  <c r="AO335" i="3"/>
  <c r="BF332" i="3"/>
  <c r="BJ331" i="3" s="1"/>
  <c r="BK331" i="3" s="1"/>
  <c r="AY333" i="3"/>
  <c r="BD332" i="3"/>
  <c r="BQ332" i="3"/>
  <c r="AU334" i="3"/>
  <c r="BA333" i="3"/>
  <c r="BF333" i="3" s="1"/>
  <c r="AG335" i="3"/>
  <c r="AX334" i="3"/>
  <c r="X335" i="3"/>
  <c r="AH335" i="3"/>
  <c r="AN335" i="3"/>
  <c r="AV333" i="3"/>
  <c r="AW334" i="3"/>
  <c r="Y335" i="3"/>
  <c r="Z335" i="3" s="1"/>
  <c r="A337" i="3"/>
  <c r="B336" i="3"/>
  <c r="AR336" i="3"/>
  <c r="AQ336" i="3"/>
  <c r="C336" i="3"/>
  <c r="AM336" i="3"/>
  <c r="T336" i="3"/>
  <c r="S336" i="3"/>
  <c r="AK336" i="3"/>
  <c r="Q336" i="3"/>
  <c r="R336" i="3"/>
  <c r="P336" i="3"/>
  <c r="AD336" i="3"/>
  <c r="AE336" i="3"/>
  <c r="O336" i="3"/>
  <c r="M336" i="3"/>
  <c r="AF336" i="3"/>
  <c r="V336" i="3"/>
  <c r="U336" i="3"/>
  <c r="D336" i="3"/>
  <c r="G336" i="3"/>
  <c r="H336" i="3" s="1"/>
  <c r="F336" i="3"/>
  <c r="AT334" i="3"/>
  <c r="BC333" i="3" l="1"/>
  <c r="BD333" i="3" s="1"/>
  <c r="BM336" i="3"/>
  <c r="BJ332" i="3"/>
  <c r="BK332" i="3" s="1"/>
  <c r="BN336" i="3"/>
  <c r="AT335" i="3"/>
  <c r="AO336" i="3"/>
  <c r="BQ333" i="3"/>
  <c r="AY334" i="3"/>
  <c r="AX335" i="3"/>
  <c r="BB333" i="3"/>
  <c r="AU335" i="3"/>
  <c r="AH336" i="3"/>
  <c r="AR337" i="3"/>
  <c r="B337" i="3"/>
  <c r="AQ337" i="3"/>
  <c r="A338" i="3"/>
  <c r="AK337" i="3"/>
  <c r="AM337" i="3"/>
  <c r="R337" i="3"/>
  <c r="Q337" i="3"/>
  <c r="AD337" i="3"/>
  <c r="P337" i="3"/>
  <c r="O337" i="3"/>
  <c r="AE337" i="3"/>
  <c r="AF337" i="3"/>
  <c r="M337" i="3"/>
  <c r="V337" i="3"/>
  <c r="U337" i="3"/>
  <c r="C337" i="3"/>
  <c r="G337" i="3"/>
  <c r="H337" i="3" s="1"/>
  <c r="F337" i="3"/>
  <c r="D337" i="3"/>
  <c r="T337" i="3"/>
  <c r="S337" i="3"/>
  <c r="X336" i="3"/>
  <c r="AV334" i="3"/>
  <c r="BA334" i="3"/>
  <c r="Y336" i="3"/>
  <c r="Z336" i="3" s="1"/>
  <c r="AG336" i="3"/>
  <c r="AN336" i="3"/>
  <c r="AW335" i="3"/>
  <c r="BG333" i="3" l="1"/>
  <c r="BH333" i="3" s="1"/>
  <c r="BI333" i="3" s="1"/>
  <c r="AV335" i="3"/>
  <c r="BM337" i="3"/>
  <c r="BC334" i="3"/>
  <c r="BD334" i="3" s="1"/>
  <c r="AO337" i="3"/>
  <c r="AY335" i="3"/>
  <c r="AW336" i="3"/>
  <c r="AU336" i="3"/>
  <c r="AX336" i="3"/>
  <c r="Y337" i="3"/>
  <c r="Z337" i="3" s="1"/>
  <c r="AT336" i="3"/>
  <c r="BA335" i="3"/>
  <c r="AH337" i="3"/>
  <c r="BF334" i="3"/>
  <c r="BJ333" i="3" s="1"/>
  <c r="BK333" i="3" s="1"/>
  <c r="BQ334" i="3"/>
  <c r="BB334" i="3"/>
  <c r="AR338" i="3"/>
  <c r="B338" i="3"/>
  <c r="AQ338" i="3"/>
  <c r="A339" i="3"/>
  <c r="D338" i="3"/>
  <c r="AM338" i="3"/>
  <c r="AK338" i="3"/>
  <c r="S338" i="3"/>
  <c r="Q338" i="3"/>
  <c r="AD338" i="3"/>
  <c r="P338" i="3"/>
  <c r="T338" i="3"/>
  <c r="O338" i="3"/>
  <c r="AE338" i="3"/>
  <c r="AF338" i="3"/>
  <c r="M338" i="3"/>
  <c r="U338" i="3"/>
  <c r="V338" i="3"/>
  <c r="R338" i="3"/>
  <c r="C338" i="3"/>
  <c r="F338" i="3"/>
  <c r="G338" i="3"/>
  <c r="H338" i="3" s="1"/>
  <c r="X337" i="3"/>
  <c r="BN337" i="3"/>
  <c r="AG337" i="3"/>
  <c r="AN337" i="3"/>
  <c r="BC335" i="3" l="1"/>
  <c r="BG335" i="3" s="1"/>
  <c r="BH335" i="3" s="1"/>
  <c r="BI335" i="3" s="1"/>
  <c r="AN338" i="3"/>
  <c r="BN338" i="3"/>
  <c r="BG334" i="3"/>
  <c r="BH334" i="3" s="1"/>
  <c r="BI334" i="3" s="1"/>
  <c r="AY336" i="3"/>
  <c r="AG338" i="3"/>
  <c r="AT337" i="3"/>
  <c r="X338" i="3"/>
  <c r="AQ339" i="3"/>
  <c r="B339" i="3"/>
  <c r="A340" i="3"/>
  <c r="AR339" i="3"/>
  <c r="D339" i="3"/>
  <c r="AM339" i="3"/>
  <c r="C339" i="3"/>
  <c r="AK339" i="3"/>
  <c r="S339" i="3"/>
  <c r="Q339" i="3"/>
  <c r="R339" i="3"/>
  <c r="AD339" i="3"/>
  <c r="P339" i="3"/>
  <c r="O339" i="3"/>
  <c r="M339" i="3"/>
  <c r="AF339" i="3"/>
  <c r="AE339" i="3"/>
  <c r="U339" i="3"/>
  <c r="V339" i="3"/>
  <c r="F339" i="3"/>
  <c r="G339" i="3"/>
  <c r="H339" i="3" s="1"/>
  <c r="T339" i="3"/>
  <c r="AU337" i="3"/>
  <c r="AW337" i="3"/>
  <c r="BD335" i="3"/>
  <c r="Y338" i="3"/>
  <c r="Z338" i="3" s="1"/>
  <c r="BQ335" i="3"/>
  <c r="BB335" i="3"/>
  <c r="BF335" i="3"/>
  <c r="BJ334" i="3" s="1"/>
  <c r="BK334" i="3" s="1"/>
  <c r="BM338" i="3"/>
  <c r="AO338" i="3"/>
  <c r="BA336" i="3"/>
  <c r="AV336" i="3"/>
  <c r="AH338" i="3"/>
  <c r="AX337" i="3"/>
  <c r="AV337" i="3" l="1"/>
  <c r="BN339" i="3"/>
  <c r="AO339" i="3"/>
  <c r="BM339" i="3"/>
  <c r="BC336" i="3"/>
  <c r="BG336" i="3" s="1"/>
  <c r="BH336" i="3" s="1"/>
  <c r="BI336" i="3" s="1"/>
  <c r="AX338" i="3"/>
  <c r="AU338" i="3"/>
  <c r="AW338" i="3"/>
  <c r="Y339" i="3"/>
  <c r="Z339" i="3" s="1"/>
  <c r="BQ336" i="3"/>
  <c r="BB336" i="3"/>
  <c r="BF336" i="3"/>
  <c r="BJ335" i="3" s="1"/>
  <c r="BK335" i="3" s="1"/>
  <c r="A341" i="3"/>
  <c r="B340" i="3"/>
  <c r="AR340" i="3"/>
  <c r="AQ340" i="3"/>
  <c r="AK340" i="3"/>
  <c r="AM340" i="3"/>
  <c r="S340" i="3"/>
  <c r="Q340" i="3"/>
  <c r="C340" i="3"/>
  <c r="AD340" i="3"/>
  <c r="P340" i="3"/>
  <c r="R340" i="3"/>
  <c r="O340" i="3"/>
  <c r="M340" i="3"/>
  <c r="AF340" i="3"/>
  <c r="AE340" i="3"/>
  <c r="U340" i="3"/>
  <c r="V340" i="3"/>
  <c r="G340" i="3"/>
  <c r="H340" i="3" s="1"/>
  <c r="D340" i="3"/>
  <c r="F340" i="3"/>
  <c r="T340" i="3"/>
  <c r="AT338" i="3"/>
  <c r="AG339" i="3"/>
  <c r="X339" i="3"/>
  <c r="BA337" i="3"/>
  <c r="AY337" i="3"/>
  <c r="AH339" i="3"/>
  <c r="AN339" i="3"/>
  <c r="BC337" i="3" l="1"/>
  <c r="BD336" i="3"/>
  <c r="BM340" i="3"/>
  <c r="AY338" i="3"/>
  <c r="AG340" i="3"/>
  <c r="AN340" i="3"/>
  <c r="Y340" i="3"/>
  <c r="Z340" i="3" s="1"/>
  <c r="BD337" i="3"/>
  <c r="BG337" i="3"/>
  <c r="BH337" i="3" s="1"/>
  <c r="BI337" i="3" s="1"/>
  <c r="BQ337" i="3"/>
  <c r="BB337" i="3"/>
  <c r="BF337" i="3"/>
  <c r="BJ336" i="3" s="1"/>
  <c r="BK336" i="3" s="1"/>
  <c r="AT339" i="3"/>
  <c r="AX339" i="3"/>
  <c r="AV338" i="3"/>
  <c r="BA338" i="3"/>
  <c r="AR341" i="3"/>
  <c r="B341" i="3"/>
  <c r="A342" i="3"/>
  <c r="AQ341" i="3"/>
  <c r="AK341" i="3"/>
  <c r="T341" i="3"/>
  <c r="S341" i="3"/>
  <c r="AM341" i="3"/>
  <c r="R341" i="3"/>
  <c r="AD341" i="3"/>
  <c r="P341" i="3"/>
  <c r="Q341" i="3"/>
  <c r="O341" i="3"/>
  <c r="AE341" i="3"/>
  <c r="M341" i="3"/>
  <c r="AF341" i="3"/>
  <c r="U341" i="3"/>
  <c r="V341" i="3"/>
  <c r="C341" i="3"/>
  <c r="G341" i="3"/>
  <c r="H341" i="3" s="1"/>
  <c r="D341" i="3"/>
  <c r="F341" i="3"/>
  <c r="AU339" i="3"/>
  <c r="BN340" i="3"/>
  <c r="X340" i="3"/>
  <c r="AO340" i="3"/>
  <c r="AW339" i="3"/>
  <c r="AH340" i="3"/>
  <c r="BC338" i="3" l="1"/>
  <c r="BD338" i="3" s="1"/>
  <c r="AX340" i="3"/>
  <c r="BM341" i="3"/>
  <c r="AO341" i="3"/>
  <c r="AU340" i="3"/>
  <c r="AW340" i="3"/>
  <c r="AY339" i="3"/>
  <c r="BB338" i="3"/>
  <c r="BF338" i="3"/>
  <c r="BJ337" i="3" s="1"/>
  <c r="BK337" i="3" s="1"/>
  <c r="BQ338" i="3"/>
  <c r="BN341" i="3"/>
  <c r="AG341" i="3"/>
  <c r="AH341" i="3"/>
  <c r="AN341" i="3"/>
  <c r="Y341" i="3"/>
  <c r="Z341" i="3" s="1"/>
  <c r="AR342" i="3"/>
  <c r="B342" i="3"/>
  <c r="A343" i="3"/>
  <c r="AQ342" i="3"/>
  <c r="AM342" i="3"/>
  <c r="AK342" i="3"/>
  <c r="Q342" i="3"/>
  <c r="R342" i="3"/>
  <c r="AD342" i="3"/>
  <c r="O342" i="3"/>
  <c r="P342" i="3"/>
  <c r="AF342" i="3"/>
  <c r="AE342" i="3"/>
  <c r="M342" i="3"/>
  <c r="V342" i="3"/>
  <c r="U342" i="3"/>
  <c r="D342" i="3"/>
  <c r="F342" i="3"/>
  <c r="C342" i="3"/>
  <c r="G342" i="3"/>
  <c r="H342" i="3" s="1"/>
  <c r="T342" i="3"/>
  <c r="S342" i="3"/>
  <c r="BA339" i="3"/>
  <c r="AV339" i="3"/>
  <c r="AT340" i="3"/>
  <c r="X341" i="3"/>
  <c r="AY340" i="3" l="1"/>
  <c r="BC339" i="3"/>
  <c r="BD339" i="3" s="1"/>
  <c r="BG338" i="3"/>
  <c r="BH338" i="3" s="1"/>
  <c r="BI338" i="3" s="1"/>
  <c r="AG342" i="3"/>
  <c r="BA340" i="3"/>
  <c r="BQ340" i="3" s="1"/>
  <c r="AV340" i="3"/>
  <c r="AU341" i="3"/>
  <c r="AN342" i="3"/>
  <c r="AT341" i="3"/>
  <c r="Y342" i="3"/>
  <c r="Z342" i="3" s="1"/>
  <c r="X342" i="3"/>
  <c r="BN342" i="3"/>
  <c r="BM342" i="3"/>
  <c r="AO342" i="3"/>
  <c r="AX341" i="3"/>
  <c r="BF339" i="3"/>
  <c r="BJ338" i="3" s="1"/>
  <c r="BK338" i="3" s="1"/>
  <c r="BB339" i="3"/>
  <c r="BQ339" i="3"/>
  <c r="AQ343" i="3"/>
  <c r="AR343" i="3"/>
  <c r="B343" i="3"/>
  <c r="A344" i="3"/>
  <c r="D343" i="3"/>
  <c r="AK343" i="3"/>
  <c r="S343" i="3"/>
  <c r="Q343" i="3"/>
  <c r="AM343" i="3"/>
  <c r="T343" i="3"/>
  <c r="R343" i="3"/>
  <c r="AD343" i="3"/>
  <c r="P343" i="3"/>
  <c r="O343" i="3"/>
  <c r="AE343" i="3"/>
  <c r="V343" i="3"/>
  <c r="U343" i="3"/>
  <c r="AF343" i="3"/>
  <c r="M343" i="3"/>
  <c r="G343" i="3"/>
  <c r="H343" i="3" s="1"/>
  <c r="C343" i="3"/>
  <c r="F343" i="3"/>
  <c r="AH342" i="3"/>
  <c r="AW341" i="3"/>
  <c r="BC340" i="3" l="1"/>
  <c r="BD340" i="3" s="1"/>
  <c r="BG339" i="3"/>
  <c r="BH339" i="3" s="1"/>
  <c r="BI339" i="3" s="1"/>
  <c r="AV341" i="3"/>
  <c r="BF340" i="3"/>
  <c r="BJ339" i="3" s="1"/>
  <c r="BK339" i="3" s="1"/>
  <c r="BM343" i="3"/>
  <c r="BN343" i="3"/>
  <c r="BB340" i="3"/>
  <c r="AX342" i="3"/>
  <c r="AO343" i="3"/>
  <c r="AY341" i="3"/>
  <c r="Y343" i="3"/>
  <c r="Z343" i="3" s="1"/>
  <c r="AH343" i="3"/>
  <c r="AT342" i="3"/>
  <c r="AW342" i="3"/>
  <c r="X343" i="3"/>
  <c r="AG343" i="3"/>
  <c r="AN343" i="3"/>
  <c r="BA341" i="3"/>
  <c r="A345" i="3"/>
  <c r="B344" i="3"/>
  <c r="AR344" i="3"/>
  <c r="AQ344" i="3"/>
  <c r="C344" i="3"/>
  <c r="AM344" i="3"/>
  <c r="AK344" i="3"/>
  <c r="S344" i="3"/>
  <c r="T344" i="3"/>
  <c r="R344" i="3"/>
  <c r="Q344" i="3"/>
  <c r="AD344" i="3"/>
  <c r="P344" i="3"/>
  <c r="O344" i="3"/>
  <c r="M344" i="3"/>
  <c r="AF344" i="3"/>
  <c r="AE344" i="3"/>
  <c r="V344" i="3"/>
  <c r="U344" i="3"/>
  <c r="D344" i="3"/>
  <c r="G344" i="3"/>
  <c r="H344" i="3" s="1"/>
  <c r="F344" i="3"/>
  <c r="AU342" i="3"/>
  <c r="BC341" i="3" l="1"/>
  <c r="BD341" i="3" s="1"/>
  <c r="BG340" i="3"/>
  <c r="BH340" i="3" s="1"/>
  <c r="BI340" i="3" s="1"/>
  <c r="AY342" i="3"/>
  <c r="BM344" i="3"/>
  <c r="BG341" i="3"/>
  <c r="BH341" i="3" s="1"/>
  <c r="BI341" i="3" s="1"/>
  <c r="AN344" i="3"/>
  <c r="AW343" i="3"/>
  <c r="AU343" i="3"/>
  <c r="Y344" i="3"/>
  <c r="Z344" i="3" s="1"/>
  <c r="AR345" i="3"/>
  <c r="B345" i="3"/>
  <c r="AQ345" i="3"/>
  <c r="A346" i="3"/>
  <c r="D345" i="3"/>
  <c r="C345" i="3"/>
  <c r="AK345" i="3"/>
  <c r="AM345" i="3"/>
  <c r="T345" i="3"/>
  <c r="S345" i="3"/>
  <c r="Q345" i="3"/>
  <c r="AD345" i="3"/>
  <c r="P345" i="3"/>
  <c r="O345" i="3"/>
  <c r="M345" i="3"/>
  <c r="AE345" i="3"/>
  <c r="U345" i="3"/>
  <c r="AF345" i="3"/>
  <c r="V345" i="3"/>
  <c r="R345" i="3"/>
  <c r="F345" i="3"/>
  <c r="G345" i="3"/>
  <c r="H345" i="3" s="1"/>
  <c r="BF341" i="3"/>
  <c r="BJ340" i="3" s="1"/>
  <c r="BK340" i="3" s="1"/>
  <c r="BB341" i="3"/>
  <c r="BQ341" i="3"/>
  <c r="AV342" i="3"/>
  <c r="BA342" i="3"/>
  <c r="BN344" i="3"/>
  <c r="AG344" i="3"/>
  <c r="AO344" i="3"/>
  <c r="X344" i="3"/>
  <c r="AX343" i="3"/>
  <c r="AH344" i="3"/>
  <c r="AT343" i="3"/>
  <c r="BC342" i="3" l="1"/>
  <c r="AY343" i="3"/>
  <c r="BN345" i="3"/>
  <c r="AN345" i="3"/>
  <c r="AG345" i="3"/>
  <c r="AX344" i="3"/>
  <c r="BD342" i="3"/>
  <c r="BG342" i="3"/>
  <c r="BH342" i="3" s="1"/>
  <c r="BI342" i="3" s="1"/>
  <c r="AV343" i="3"/>
  <c r="BA343" i="3"/>
  <c r="BF342" i="3"/>
  <c r="BJ341" i="3" s="1"/>
  <c r="BK341" i="3" s="1"/>
  <c r="BB342" i="3"/>
  <c r="BQ342" i="3"/>
  <c r="Y345" i="3"/>
  <c r="Z345" i="3" s="1"/>
  <c r="AU344" i="3"/>
  <c r="AW344" i="3"/>
  <c r="BM345" i="3"/>
  <c r="AO345" i="3"/>
  <c r="AR346" i="3"/>
  <c r="B346" i="3"/>
  <c r="AQ346" i="3"/>
  <c r="A347" i="3"/>
  <c r="D346" i="3"/>
  <c r="T346" i="3"/>
  <c r="AM346" i="3"/>
  <c r="AK346" i="3"/>
  <c r="R346" i="3"/>
  <c r="Q346" i="3"/>
  <c r="AD346" i="3"/>
  <c r="P346" i="3"/>
  <c r="S346" i="3"/>
  <c r="O346" i="3"/>
  <c r="M346" i="3"/>
  <c r="AE346" i="3"/>
  <c r="AF346" i="3"/>
  <c r="U346" i="3"/>
  <c r="V346" i="3"/>
  <c r="C346" i="3"/>
  <c r="G346" i="3"/>
  <c r="H346" i="3" s="1"/>
  <c r="F346" i="3"/>
  <c r="BM346" i="3" s="1"/>
  <c r="AT344" i="3"/>
  <c r="AH345" i="3"/>
  <c r="X345" i="3"/>
  <c r="BN346" i="3" l="1"/>
  <c r="BC343" i="3"/>
  <c r="BG343" i="3" s="1"/>
  <c r="BH343" i="3" s="1"/>
  <c r="BI343" i="3" s="1"/>
  <c r="AY344" i="3"/>
  <c r="AX345" i="3"/>
  <c r="AG346" i="3"/>
  <c r="AO346" i="3"/>
  <c r="AV344" i="3"/>
  <c r="BA344" i="3"/>
  <c r="Y346" i="3"/>
  <c r="Z346" i="3" s="1"/>
  <c r="AH346" i="3"/>
  <c r="AN346" i="3"/>
  <c r="AU345" i="3"/>
  <c r="AQ347" i="3"/>
  <c r="B347" i="3"/>
  <c r="A348" i="3"/>
  <c r="AR347" i="3"/>
  <c r="AM347" i="3"/>
  <c r="AK347" i="3"/>
  <c r="S347" i="3"/>
  <c r="R347" i="3"/>
  <c r="Q347" i="3"/>
  <c r="P347" i="3"/>
  <c r="AD347" i="3"/>
  <c r="O347" i="3"/>
  <c r="M347" i="3"/>
  <c r="AE347" i="3"/>
  <c r="V347" i="3"/>
  <c r="U347" i="3"/>
  <c r="AF347" i="3"/>
  <c r="D347" i="3"/>
  <c r="C347" i="3"/>
  <c r="G347" i="3"/>
  <c r="H347" i="3" s="1"/>
  <c r="F347" i="3"/>
  <c r="T347" i="3"/>
  <c r="BQ343" i="3"/>
  <c r="BB343" i="3"/>
  <c r="BF343" i="3"/>
  <c r="BJ342" i="3" s="1"/>
  <c r="BK342" i="3" s="1"/>
  <c r="X346" i="3"/>
  <c r="AT345" i="3"/>
  <c r="AW345" i="3"/>
  <c r="BD343" i="3" l="1"/>
  <c r="BN347" i="3"/>
  <c r="BM347" i="3"/>
  <c r="BC344" i="3"/>
  <c r="BG344" i="3" s="1"/>
  <c r="BH344" i="3" s="1"/>
  <c r="BI344" i="3" s="1"/>
  <c r="AY345" i="3"/>
  <c r="AO347" i="3"/>
  <c r="AU346" i="3"/>
  <c r="AX346" i="3"/>
  <c r="AG347" i="3"/>
  <c r="BA345" i="3"/>
  <c r="AV345" i="3"/>
  <c r="A349" i="3"/>
  <c r="B348" i="3"/>
  <c r="AR348" i="3"/>
  <c r="AQ348" i="3"/>
  <c r="AM348" i="3"/>
  <c r="S348" i="3"/>
  <c r="D348" i="3"/>
  <c r="AK348" i="3"/>
  <c r="T348" i="3"/>
  <c r="Q348" i="3"/>
  <c r="AD348" i="3"/>
  <c r="P348" i="3"/>
  <c r="AE348" i="3"/>
  <c r="O348" i="3"/>
  <c r="AF348" i="3"/>
  <c r="V348" i="3"/>
  <c r="M348" i="3"/>
  <c r="U348" i="3"/>
  <c r="R348" i="3"/>
  <c r="F348" i="3"/>
  <c r="C348" i="3"/>
  <c r="G348" i="3"/>
  <c r="H348" i="3" s="1"/>
  <c r="X347" i="3"/>
  <c r="AH347" i="3"/>
  <c r="AN347" i="3"/>
  <c r="AT346" i="3"/>
  <c r="AW346" i="3"/>
  <c r="BQ344" i="3"/>
  <c r="BB344" i="3"/>
  <c r="BF344" i="3"/>
  <c r="BJ343" i="3" s="1"/>
  <c r="BK343" i="3" s="1"/>
  <c r="Y347" i="3"/>
  <c r="Z347" i="3" s="1"/>
  <c r="AU347" i="3" l="1"/>
  <c r="BC345" i="3"/>
  <c r="BD345" i="3" s="1"/>
  <c r="BD344" i="3"/>
  <c r="BN348" i="3"/>
  <c r="BM348" i="3"/>
  <c r="AY346" i="3"/>
  <c r="AW347" i="3"/>
  <c r="AO348" i="3"/>
  <c r="BA346" i="3"/>
  <c r="BQ346" i="3" s="1"/>
  <c r="AT347" i="3"/>
  <c r="AX347" i="3"/>
  <c r="Y348" i="3"/>
  <c r="Z348" i="3" s="1"/>
  <c r="AR349" i="3"/>
  <c r="B349" i="3"/>
  <c r="AQ349" i="3"/>
  <c r="A350" i="3"/>
  <c r="C349" i="3"/>
  <c r="AK349" i="3"/>
  <c r="S349" i="3"/>
  <c r="AM349" i="3"/>
  <c r="R349" i="3"/>
  <c r="AD349" i="3"/>
  <c r="Q349" i="3"/>
  <c r="P349" i="3"/>
  <c r="O349" i="3"/>
  <c r="AE349" i="3"/>
  <c r="M349" i="3"/>
  <c r="AF349" i="3"/>
  <c r="V349" i="3"/>
  <c r="U349" i="3"/>
  <c r="F349" i="3"/>
  <c r="BM349" i="3" s="1"/>
  <c r="D349" i="3"/>
  <c r="G349" i="3"/>
  <c r="H349" i="3" s="1"/>
  <c r="T349" i="3"/>
  <c r="BF345" i="3"/>
  <c r="BJ344" i="3" s="1"/>
  <c r="BK344" i="3" s="1"/>
  <c r="BQ345" i="3"/>
  <c r="BB345" i="3"/>
  <c r="AV346" i="3"/>
  <c r="X348" i="3"/>
  <c r="AG348" i="3"/>
  <c r="AH348" i="3"/>
  <c r="AN348" i="3"/>
  <c r="BC346" i="3" l="1"/>
  <c r="BG346" i="3" s="1"/>
  <c r="BH346" i="3" s="1"/>
  <c r="BI346" i="3" s="1"/>
  <c r="BG345" i="3"/>
  <c r="BH345" i="3" s="1"/>
  <c r="BI345" i="3" s="1"/>
  <c r="AN349" i="3"/>
  <c r="AY347" i="3"/>
  <c r="BN349" i="3"/>
  <c r="AU348" i="3"/>
  <c r="AX348" i="3"/>
  <c r="BB346" i="3"/>
  <c r="BF346" i="3"/>
  <c r="BJ345" i="3" s="1"/>
  <c r="BK345" i="3" s="1"/>
  <c r="AR350" i="3"/>
  <c r="B350" i="3"/>
  <c r="AQ350" i="3"/>
  <c r="A351" i="3"/>
  <c r="D350" i="3"/>
  <c r="AM350" i="3"/>
  <c r="R350" i="3"/>
  <c r="AK350" i="3"/>
  <c r="Q350" i="3"/>
  <c r="P350" i="3"/>
  <c r="AD350" i="3"/>
  <c r="M350" i="3"/>
  <c r="AF350" i="3"/>
  <c r="AE350" i="3"/>
  <c r="U350" i="3"/>
  <c r="O350" i="3"/>
  <c r="V350" i="3"/>
  <c r="G350" i="3"/>
  <c r="H350" i="3" s="1"/>
  <c r="C350" i="3"/>
  <c r="F350" i="3"/>
  <c r="T350" i="3"/>
  <c r="S350" i="3"/>
  <c r="AW348" i="3"/>
  <c r="Y349" i="3"/>
  <c r="Z349" i="3" s="1"/>
  <c r="AG349" i="3"/>
  <c r="AH349" i="3"/>
  <c r="AO349" i="3"/>
  <c r="AV347" i="3"/>
  <c r="BA347" i="3"/>
  <c r="AT348" i="3"/>
  <c r="X349" i="3"/>
  <c r="BD346" i="3" l="1"/>
  <c r="AO350" i="3"/>
  <c r="BC347" i="3"/>
  <c r="BG347" i="3" s="1"/>
  <c r="BH347" i="3" s="1"/>
  <c r="BI347" i="3" s="1"/>
  <c r="BM350" i="3"/>
  <c r="BN350" i="3"/>
  <c r="AY348" i="3"/>
  <c r="AX349" i="3"/>
  <c r="AG350" i="3"/>
  <c r="AV348" i="3"/>
  <c r="BA348" i="3"/>
  <c r="AU349" i="3"/>
  <c r="AW349" i="3"/>
  <c r="AT349" i="3"/>
  <c r="Y350" i="3"/>
  <c r="Z350" i="3" s="1"/>
  <c r="AH350" i="3"/>
  <c r="BB347" i="3"/>
  <c r="BQ347" i="3"/>
  <c r="BF347" i="3"/>
  <c r="BJ346" i="3" s="1"/>
  <c r="BK346" i="3" s="1"/>
  <c r="AQ351" i="3"/>
  <c r="B351" i="3"/>
  <c r="A352" i="3"/>
  <c r="AR351" i="3"/>
  <c r="D351" i="3"/>
  <c r="AM351" i="3"/>
  <c r="AK351" i="3"/>
  <c r="Q351" i="3"/>
  <c r="S351" i="3"/>
  <c r="AD351" i="3"/>
  <c r="AE351" i="3"/>
  <c r="M351" i="3"/>
  <c r="U351" i="3"/>
  <c r="V351" i="3"/>
  <c r="P351" i="3"/>
  <c r="O351" i="3"/>
  <c r="AF351" i="3"/>
  <c r="R351" i="3"/>
  <c r="C351" i="3"/>
  <c r="F351" i="3"/>
  <c r="G351" i="3"/>
  <c r="H351" i="3" s="1"/>
  <c r="T351" i="3"/>
  <c r="X350" i="3"/>
  <c r="AN350" i="3"/>
  <c r="BD347" i="3" l="1"/>
  <c r="BN351" i="3"/>
  <c r="AU350" i="3"/>
  <c r="BM351" i="3"/>
  <c r="BC348" i="3"/>
  <c r="BD348" i="3" s="1"/>
  <c r="AW350" i="3"/>
  <c r="AY349" i="3"/>
  <c r="AT350" i="3"/>
  <c r="AN351" i="3"/>
  <c r="Y351" i="3"/>
  <c r="Z351" i="3" s="1"/>
  <c r="AH351" i="3"/>
  <c r="A353" i="3"/>
  <c r="B352" i="3"/>
  <c r="AR352" i="3"/>
  <c r="AQ352" i="3"/>
  <c r="AM352" i="3"/>
  <c r="S352" i="3"/>
  <c r="AK352" i="3"/>
  <c r="C352" i="3"/>
  <c r="R352" i="3"/>
  <c r="Q352" i="3"/>
  <c r="AD352" i="3"/>
  <c r="P352" i="3"/>
  <c r="M352" i="3"/>
  <c r="AF352" i="3"/>
  <c r="V352" i="3"/>
  <c r="O352" i="3"/>
  <c r="AE352" i="3"/>
  <c r="U352" i="3"/>
  <c r="G352" i="3"/>
  <c r="H352" i="3" s="1"/>
  <c r="F352" i="3"/>
  <c r="BM352" i="3" s="1"/>
  <c r="D352" i="3"/>
  <c r="T352" i="3"/>
  <c r="AV349" i="3"/>
  <c r="BA349" i="3"/>
  <c r="X351" i="3"/>
  <c r="AG351" i="3"/>
  <c r="AO351" i="3"/>
  <c r="AX350" i="3"/>
  <c r="BB348" i="3"/>
  <c r="BQ348" i="3"/>
  <c r="BF348" i="3"/>
  <c r="BJ347" i="3" s="1"/>
  <c r="BK347" i="3" s="1"/>
  <c r="AO352" i="3" l="1"/>
  <c r="AV350" i="3"/>
  <c r="BC349" i="3"/>
  <c r="BD349" i="3" s="1"/>
  <c r="BG348" i="3"/>
  <c r="BH348" i="3" s="1"/>
  <c r="BI348" i="3" s="1"/>
  <c r="AY350" i="3"/>
  <c r="AG352" i="3"/>
  <c r="AU351" i="3"/>
  <c r="AX351" i="3"/>
  <c r="BA350" i="3"/>
  <c r="BQ350" i="3" s="1"/>
  <c r="BF349" i="3"/>
  <c r="BJ348" i="3" s="1"/>
  <c r="BK348" i="3" s="1"/>
  <c r="BB349" i="3"/>
  <c r="BQ349" i="3"/>
  <c r="BN352" i="3"/>
  <c r="AH352" i="3"/>
  <c r="AW351" i="3"/>
  <c r="AT351" i="3"/>
  <c r="Y352" i="3"/>
  <c r="Z352" i="3" s="1"/>
  <c r="X352" i="3"/>
  <c r="AR353" i="3"/>
  <c r="B353" i="3"/>
  <c r="AQ353" i="3"/>
  <c r="A354" i="3"/>
  <c r="AM353" i="3"/>
  <c r="AK353" i="3"/>
  <c r="R353" i="3"/>
  <c r="T353" i="3"/>
  <c r="AD353" i="3"/>
  <c r="S353" i="3"/>
  <c r="Q353" i="3"/>
  <c r="P353" i="3"/>
  <c r="O353" i="3"/>
  <c r="M353" i="3"/>
  <c r="V353" i="3"/>
  <c r="U353" i="3"/>
  <c r="AF353" i="3"/>
  <c r="AE353" i="3"/>
  <c r="D353" i="3"/>
  <c r="G353" i="3"/>
  <c r="H353" i="3" s="1"/>
  <c r="F353" i="3"/>
  <c r="C353" i="3"/>
  <c r="AN352" i="3"/>
  <c r="BC350" i="3" l="1"/>
  <c r="BD350" i="3" s="1"/>
  <c r="BG349" i="3"/>
  <c r="BH349" i="3" s="1"/>
  <c r="BI349" i="3" s="1"/>
  <c r="AU352" i="3"/>
  <c r="BM353" i="3"/>
  <c r="AN353" i="3"/>
  <c r="AY351" i="3"/>
  <c r="AW352" i="3"/>
  <c r="AT352" i="3"/>
  <c r="BF350" i="3"/>
  <c r="BJ349" i="3" s="1"/>
  <c r="BK349" i="3" s="1"/>
  <c r="BB350" i="3"/>
  <c r="Y353" i="3"/>
  <c r="Z353" i="3" s="1"/>
  <c r="AR354" i="3"/>
  <c r="B354" i="3"/>
  <c r="AQ354" i="3"/>
  <c r="A355" i="3"/>
  <c r="D354" i="3"/>
  <c r="C354" i="3"/>
  <c r="R354" i="3"/>
  <c r="AM354" i="3"/>
  <c r="AK354" i="3"/>
  <c r="S354" i="3"/>
  <c r="Q354" i="3"/>
  <c r="AD354" i="3"/>
  <c r="P354" i="3"/>
  <c r="M354" i="3"/>
  <c r="AE354" i="3"/>
  <c r="V354" i="3"/>
  <c r="O354" i="3"/>
  <c r="AF354" i="3"/>
  <c r="U354" i="3"/>
  <c r="F354" i="3"/>
  <c r="BM354" i="3" s="1"/>
  <c r="G354" i="3"/>
  <c r="H354" i="3" s="1"/>
  <c r="T354" i="3"/>
  <c r="AV351" i="3"/>
  <c r="BA351" i="3"/>
  <c r="X353" i="3"/>
  <c r="BN353" i="3"/>
  <c r="AG353" i="3"/>
  <c r="AO353" i="3"/>
  <c r="AX352" i="3"/>
  <c r="BG350" i="3"/>
  <c r="BH350" i="3" s="1"/>
  <c r="BI350" i="3" s="1"/>
  <c r="AH353" i="3"/>
  <c r="BN354" i="3" l="1"/>
  <c r="AV352" i="3"/>
  <c r="BA352" i="3"/>
  <c r="BF352" i="3" s="1"/>
  <c r="BC351" i="3"/>
  <c r="BD351" i="3" s="1"/>
  <c r="AG354" i="3"/>
  <c r="AX353" i="3"/>
  <c r="AO354" i="3"/>
  <c r="BB351" i="3"/>
  <c r="BQ351" i="3"/>
  <c r="BF351" i="3"/>
  <c r="BJ350" i="3" s="1"/>
  <c r="BK350" i="3" s="1"/>
  <c r="AQ355" i="3"/>
  <c r="B355" i="3"/>
  <c r="A356" i="3"/>
  <c r="AR355" i="3"/>
  <c r="D355" i="3"/>
  <c r="AM355" i="3"/>
  <c r="T355" i="3"/>
  <c r="AK355" i="3"/>
  <c r="S355" i="3"/>
  <c r="Q355" i="3"/>
  <c r="R355" i="3"/>
  <c r="AD355" i="3"/>
  <c r="P355" i="3"/>
  <c r="M355" i="3"/>
  <c r="AF355" i="3"/>
  <c r="V355" i="3"/>
  <c r="O355" i="3"/>
  <c r="AE355" i="3"/>
  <c r="U355" i="3"/>
  <c r="F355" i="3"/>
  <c r="G355" i="3"/>
  <c r="H355" i="3" s="1"/>
  <c r="BN355" i="3" s="1"/>
  <c r="C355" i="3"/>
  <c r="AW353" i="3"/>
  <c r="AY352" i="3"/>
  <c r="AT353" i="3"/>
  <c r="AU353" i="3"/>
  <c r="Y354" i="3"/>
  <c r="Z354" i="3" s="1"/>
  <c r="AH354" i="3"/>
  <c r="AN354" i="3"/>
  <c r="X354" i="3"/>
  <c r="BC352" i="3" l="1"/>
  <c r="BG352" i="3" s="1"/>
  <c r="BH352" i="3" s="1"/>
  <c r="BI352" i="3" s="1"/>
  <c r="AO355" i="3"/>
  <c r="AT354" i="3"/>
  <c r="AG355" i="3"/>
  <c r="BB352" i="3"/>
  <c r="BQ352" i="3"/>
  <c r="AY353" i="3"/>
  <c r="BG351" i="3"/>
  <c r="BH351" i="3" s="1"/>
  <c r="BI351" i="3" s="1"/>
  <c r="X355" i="3"/>
  <c r="Y355" i="3"/>
  <c r="Z355" i="3" s="1"/>
  <c r="A357" i="3"/>
  <c r="B356" i="3"/>
  <c r="AR356" i="3"/>
  <c r="AQ356" i="3"/>
  <c r="AK356" i="3"/>
  <c r="T356" i="3"/>
  <c r="AM356" i="3"/>
  <c r="S356" i="3"/>
  <c r="R356" i="3"/>
  <c r="AD356" i="3"/>
  <c r="P356" i="3"/>
  <c r="O356" i="3"/>
  <c r="AE356" i="3"/>
  <c r="V356" i="3"/>
  <c r="AF356" i="3"/>
  <c r="M356" i="3"/>
  <c r="U356" i="3"/>
  <c r="D356" i="3"/>
  <c r="C356" i="3"/>
  <c r="Q356" i="3"/>
  <c r="F356" i="3"/>
  <c r="G356" i="3"/>
  <c r="H356" i="3" s="1"/>
  <c r="AH355" i="3"/>
  <c r="AN355" i="3"/>
  <c r="AX354" i="3"/>
  <c r="AW354" i="3"/>
  <c r="BJ351" i="3"/>
  <c r="BK351" i="3" s="1"/>
  <c r="AV353" i="3"/>
  <c r="BA353" i="3"/>
  <c r="BM355" i="3"/>
  <c r="AU354" i="3"/>
  <c r="BD352" i="3" l="1"/>
  <c r="BN356" i="3"/>
  <c r="BM356" i="3"/>
  <c r="AN356" i="3"/>
  <c r="BC353" i="3"/>
  <c r="BG353" i="3" s="1"/>
  <c r="BH353" i="3" s="1"/>
  <c r="BI353" i="3" s="1"/>
  <c r="AX355" i="3"/>
  <c r="AT355" i="3"/>
  <c r="AU355" i="3"/>
  <c r="AH356" i="3"/>
  <c r="BA354" i="3"/>
  <c r="BB354" i="3" s="1"/>
  <c r="BB353" i="3"/>
  <c r="BQ353" i="3"/>
  <c r="BF353" i="3"/>
  <c r="BJ352" i="3" s="1"/>
  <c r="BK352" i="3" s="1"/>
  <c r="AR357" i="3"/>
  <c r="B357" i="3"/>
  <c r="AQ357" i="3"/>
  <c r="A358" i="3"/>
  <c r="AM357" i="3"/>
  <c r="S357" i="3"/>
  <c r="R357" i="3"/>
  <c r="Q357" i="3"/>
  <c r="C357" i="3"/>
  <c r="AK357" i="3"/>
  <c r="AD357" i="3"/>
  <c r="P357" i="3"/>
  <c r="O357" i="3"/>
  <c r="AE357" i="3"/>
  <c r="AF357" i="3"/>
  <c r="U357" i="3"/>
  <c r="V357" i="3"/>
  <c r="M357" i="3"/>
  <c r="G357" i="3"/>
  <c r="H357" i="3" s="1"/>
  <c r="F357" i="3"/>
  <c r="D357" i="3"/>
  <c r="T357" i="3"/>
  <c r="AY354" i="3"/>
  <c r="AW355" i="3"/>
  <c r="X356" i="3"/>
  <c r="AG356" i="3"/>
  <c r="AO356" i="3"/>
  <c r="AV354" i="3"/>
  <c r="Y356" i="3"/>
  <c r="Z356" i="3" s="1"/>
  <c r="BD353" i="3" l="1"/>
  <c r="BM357" i="3"/>
  <c r="AY355" i="3"/>
  <c r="AG357" i="3"/>
  <c r="AV355" i="3"/>
  <c r="AW356" i="3"/>
  <c r="AO357" i="3"/>
  <c r="AX356" i="3"/>
  <c r="BF354" i="3"/>
  <c r="BJ353" i="3" s="1"/>
  <c r="BK353" i="3" s="1"/>
  <c r="AT356" i="3"/>
  <c r="BQ354" i="3"/>
  <c r="Y357" i="3"/>
  <c r="Z357" i="3" s="1"/>
  <c r="AU356" i="3"/>
  <c r="BA355" i="3"/>
  <c r="BC354" i="3"/>
  <c r="BN357" i="3"/>
  <c r="AH357" i="3"/>
  <c r="X357" i="3"/>
  <c r="AN357" i="3"/>
  <c r="AR358" i="3"/>
  <c r="B358" i="3"/>
  <c r="AQ358" i="3"/>
  <c r="A359" i="3"/>
  <c r="C358" i="3"/>
  <c r="AK358" i="3"/>
  <c r="S358" i="3"/>
  <c r="AM358" i="3"/>
  <c r="T358" i="3"/>
  <c r="AD358" i="3"/>
  <c r="R358" i="3"/>
  <c r="P358" i="3"/>
  <c r="O358" i="3"/>
  <c r="AE358" i="3"/>
  <c r="M358" i="3"/>
  <c r="V358" i="3"/>
  <c r="AF358" i="3"/>
  <c r="U358" i="3"/>
  <c r="Q358" i="3"/>
  <c r="D358" i="3"/>
  <c r="F358" i="3"/>
  <c r="G358" i="3"/>
  <c r="H358" i="3" s="1"/>
  <c r="BM358" i="3" l="1"/>
  <c r="BN358" i="3"/>
  <c r="AY356" i="3"/>
  <c r="BC355" i="3"/>
  <c r="BD355" i="3" s="1"/>
  <c r="AN358" i="3"/>
  <c r="AG358" i="3"/>
  <c r="AV356" i="3"/>
  <c r="AW357" i="3"/>
  <c r="AX357" i="3"/>
  <c r="AU357" i="3"/>
  <c r="BA356" i="3"/>
  <c r="BQ356" i="3" s="1"/>
  <c r="AT357" i="3"/>
  <c r="Y358" i="3"/>
  <c r="Z358" i="3" s="1"/>
  <c r="BB355" i="3"/>
  <c r="BQ355" i="3"/>
  <c r="BF355" i="3"/>
  <c r="BJ354" i="3" s="1"/>
  <c r="BK354" i="3" s="1"/>
  <c r="X358" i="3"/>
  <c r="AQ359" i="3"/>
  <c r="B359" i="3"/>
  <c r="A360" i="3"/>
  <c r="AR359" i="3"/>
  <c r="C359" i="3"/>
  <c r="AK359" i="3"/>
  <c r="S359" i="3"/>
  <c r="AM359" i="3"/>
  <c r="R359" i="3"/>
  <c r="Q359" i="3"/>
  <c r="P359" i="3"/>
  <c r="AD359" i="3"/>
  <c r="M359" i="3"/>
  <c r="AF359" i="3"/>
  <c r="AE359" i="3"/>
  <c r="O359" i="3"/>
  <c r="V359" i="3"/>
  <c r="U359" i="3"/>
  <c r="G359" i="3"/>
  <c r="H359" i="3" s="1"/>
  <c r="D359" i="3"/>
  <c r="F359" i="3"/>
  <c r="T359" i="3"/>
  <c r="BD354" i="3"/>
  <c r="BG354" i="3"/>
  <c r="BH354" i="3" s="1"/>
  <c r="BI354" i="3" s="1"/>
  <c r="AH358" i="3"/>
  <c r="AO358" i="3"/>
  <c r="BM359" i="3" l="1"/>
  <c r="BC356" i="3"/>
  <c r="BG356" i="3" s="1"/>
  <c r="BH356" i="3" s="1"/>
  <c r="BI356" i="3" s="1"/>
  <c r="AN359" i="3"/>
  <c r="BG355" i="3"/>
  <c r="BH355" i="3" s="1"/>
  <c r="BI355" i="3" s="1"/>
  <c r="AV357" i="3"/>
  <c r="BN359" i="3"/>
  <c r="BD356" i="3"/>
  <c r="BB356" i="3"/>
  <c r="AY357" i="3"/>
  <c r="BF356" i="3"/>
  <c r="BJ355" i="3" s="1"/>
  <c r="BK355" i="3" s="1"/>
  <c r="BA357" i="3"/>
  <c r="BF357" i="3" s="1"/>
  <c r="AG359" i="3"/>
  <c r="AW358" i="3"/>
  <c r="AX358" i="3"/>
  <c r="Y359" i="3"/>
  <c r="Z359" i="3" s="1"/>
  <c r="AH359" i="3"/>
  <c r="AO359" i="3"/>
  <c r="AT358" i="3"/>
  <c r="A361" i="3"/>
  <c r="B360" i="3"/>
  <c r="AR360" i="3"/>
  <c r="AQ360" i="3"/>
  <c r="C360" i="3"/>
  <c r="AK360" i="3"/>
  <c r="R360" i="3"/>
  <c r="AM360" i="3"/>
  <c r="Q360" i="3"/>
  <c r="P360" i="3"/>
  <c r="S360" i="3"/>
  <c r="AD360" i="3"/>
  <c r="O360" i="3"/>
  <c r="M360" i="3"/>
  <c r="AE360" i="3"/>
  <c r="AF360" i="3"/>
  <c r="U360" i="3"/>
  <c r="V360" i="3"/>
  <c r="D360" i="3"/>
  <c r="G360" i="3"/>
  <c r="H360" i="3" s="1"/>
  <c r="F360" i="3"/>
  <c r="T360" i="3"/>
  <c r="X359" i="3"/>
  <c r="AU358" i="3"/>
  <c r="BM360" i="3" l="1"/>
  <c r="AU359" i="3"/>
  <c r="BC357" i="3"/>
  <c r="BD357" i="3" s="1"/>
  <c r="AN360" i="3"/>
  <c r="BN360" i="3"/>
  <c r="BB357" i="3"/>
  <c r="Y360" i="3"/>
  <c r="Z360" i="3" s="1"/>
  <c r="BJ356" i="3"/>
  <c r="BK356" i="3" s="1"/>
  <c r="AT359" i="3"/>
  <c r="BQ357" i="3"/>
  <c r="AW359" i="3"/>
  <c r="AY358" i="3"/>
  <c r="BG357" i="3"/>
  <c r="BH357" i="3" s="1"/>
  <c r="BI357" i="3" s="1"/>
  <c r="AG360" i="3"/>
  <c r="AR361" i="3"/>
  <c r="B361" i="3"/>
  <c r="AQ361" i="3"/>
  <c r="A362" i="3"/>
  <c r="AK361" i="3"/>
  <c r="S361" i="3"/>
  <c r="R361" i="3"/>
  <c r="Q361" i="3"/>
  <c r="AM361" i="3"/>
  <c r="AD361" i="3"/>
  <c r="P361" i="3"/>
  <c r="AF361" i="3"/>
  <c r="V361" i="3"/>
  <c r="O361" i="3"/>
  <c r="M361" i="3"/>
  <c r="AE361" i="3"/>
  <c r="U361" i="3"/>
  <c r="C361" i="3"/>
  <c r="G361" i="3"/>
  <c r="H361" i="3" s="1"/>
  <c r="F361" i="3"/>
  <c r="D361" i="3"/>
  <c r="T361" i="3"/>
  <c r="BA358" i="3"/>
  <c r="AV358" i="3"/>
  <c r="X360" i="3"/>
  <c r="AH360" i="3"/>
  <c r="AO360" i="3"/>
  <c r="AX359" i="3"/>
  <c r="BC358" i="3" l="1"/>
  <c r="BD358" i="3" s="1"/>
  <c r="BM361" i="3"/>
  <c r="AV359" i="3"/>
  <c r="AN361" i="3"/>
  <c r="AG361" i="3"/>
  <c r="AY359" i="3"/>
  <c r="Y361" i="3"/>
  <c r="Z361" i="3" s="1"/>
  <c r="AX360" i="3"/>
  <c r="BA359" i="3"/>
  <c r="BF359" i="3" s="1"/>
  <c r="BQ358" i="3"/>
  <c r="BB358" i="3"/>
  <c r="BF358" i="3"/>
  <c r="BJ357" i="3" s="1"/>
  <c r="BK357" i="3" s="1"/>
  <c r="X361" i="3"/>
  <c r="AT360" i="3"/>
  <c r="AW360" i="3"/>
  <c r="BN361" i="3"/>
  <c r="AO361" i="3"/>
  <c r="AR362" i="3"/>
  <c r="B362" i="3"/>
  <c r="AQ362" i="3"/>
  <c r="A363" i="3"/>
  <c r="AK362" i="3"/>
  <c r="AM362" i="3"/>
  <c r="R362" i="3"/>
  <c r="D362" i="3"/>
  <c r="S362" i="3"/>
  <c r="Q362" i="3"/>
  <c r="AD362" i="3"/>
  <c r="P362" i="3"/>
  <c r="M362" i="3"/>
  <c r="O362" i="3"/>
  <c r="AE362" i="3"/>
  <c r="V362" i="3"/>
  <c r="AF362" i="3"/>
  <c r="U362" i="3"/>
  <c r="C362" i="3"/>
  <c r="F362" i="3"/>
  <c r="G362" i="3"/>
  <c r="H362" i="3" s="1"/>
  <c r="T362" i="3"/>
  <c r="AU360" i="3"/>
  <c r="AH361" i="3"/>
  <c r="BG358" i="3" l="1"/>
  <c r="BH358" i="3" s="1"/>
  <c r="BI358" i="3" s="1"/>
  <c r="AY360" i="3"/>
  <c r="BC359" i="3"/>
  <c r="BD359" i="3" s="1"/>
  <c r="BQ359" i="3"/>
  <c r="AX361" i="3"/>
  <c r="BN362" i="3"/>
  <c r="BJ358" i="3"/>
  <c r="BK358" i="3" s="1"/>
  <c r="AO362" i="3"/>
  <c r="BB359" i="3"/>
  <c r="AV360" i="3"/>
  <c r="X362" i="3"/>
  <c r="AQ363" i="3"/>
  <c r="B363" i="3"/>
  <c r="A364" i="3"/>
  <c r="AR363" i="3"/>
  <c r="D363" i="3"/>
  <c r="AK363" i="3"/>
  <c r="R363" i="3"/>
  <c r="AM363" i="3"/>
  <c r="T363" i="3"/>
  <c r="AD363" i="3"/>
  <c r="Q363" i="3"/>
  <c r="O363" i="3"/>
  <c r="AE363" i="3"/>
  <c r="V363" i="3"/>
  <c r="U363" i="3"/>
  <c r="M363" i="3"/>
  <c r="AF363" i="3"/>
  <c r="G363" i="3"/>
  <c r="H363" i="3" s="1"/>
  <c r="F363" i="3"/>
  <c r="C363" i="3"/>
  <c r="S363" i="3"/>
  <c r="P363" i="3"/>
  <c r="AG362" i="3"/>
  <c r="AH362" i="3"/>
  <c r="AW361" i="3"/>
  <c r="Y362" i="3"/>
  <c r="Z362" i="3" s="1"/>
  <c r="BM362" i="3"/>
  <c r="AN362" i="3"/>
  <c r="AU361" i="3"/>
  <c r="AT361" i="3"/>
  <c r="BA360" i="3"/>
  <c r="BC360" i="3" l="1"/>
  <c r="BD360" i="3" s="1"/>
  <c r="BG359" i="3"/>
  <c r="BH359" i="3" s="1"/>
  <c r="BI359" i="3" s="1"/>
  <c r="AN363" i="3"/>
  <c r="AY361" i="3"/>
  <c r="BN363" i="3"/>
  <c r="AU362" i="3"/>
  <c r="Y363" i="3"/>
  <c r="Z363" i="3" s="1"/>
  <c r="AV361" i="3"/>
  <c r="BA361" i="3"/>
  <c r="BG360" i="3"/>
  <c r="BH360" i="3" s="1"/>
  <c r="BI360" i="3" s="1"/>
  <c r="BB360" i="3"/>
  <c r="BQ360" i="3"/>
  <c r="BF360" i="3"/>
  <c r="BJ359" i="3" s="1"/>
  <c r="BK359" i="3" s="1"/>
  <c r="A365" i="3"/>
  <c r="B364" i="3"/>
  <c r="AR364" i="3"/>
  <c r="AQ364" i="3"/>
  <c r="D364" i="3"/>
  <c r="C364" i="3"/>
  <c r="R364" i="3"/>
  <c r="Q364" i="3"/>
  <c r="AM364" i="3"/>
  <c r="AK364" i="3"/>
  <c r="S364" i="3"/>
  <c r="AD364" i="3"/>
  <c r="M364" i="3"/>
  <c r="V364" i="3"/>
  <c r="U364" i="3"/>
  <c r="P364" i="3"/>
  <c r="O364" i="3"/>
  <c r="AE364" i="3"/>
  <c r="AF364" i="3"/>
  <c r="G364" i="3"/>
  <c r="H364" i="3" s="1"/>
  <c r="F364" i="3"/>
  <c r="T364" i="3"/>
  <c r="AT362" i="3"/>
  <c r="AW362" i="3"/>
  <c r="X363" i="3"/>
  <c r="BM363" i="3"/>
  <c r="AG363" i="3"/>
  <c r="AX362" i="3"/>
  <c r="AH363" i="3"/>
  <c r="AO363" i="3"/>
  <c r="BC361" i="3" l="1"/>
  <c r="BG361" i="3" s="1"/>
  <c r="BH361" i="3" s="1"/>
  <c r="BI361" i="3" s="1"/>
  <c r="BN364" i="3"/>
  <c r="Y364" i="3"/>
  <c r="Z364" i="3" s="1"/>
  <c r="AV362" i="3"/>
  <c r="BM364" i="3"/>
  <c r="AN364" i="3"/>
  <c r="BD361" i="3"/>
  <c r="AR365" i="3"/>
  <c r="B365" i="3"/>
  <c r="AQ365" i="3"/>
  <c r="A366" i="3"/>
  <c r="AM365" i="3"/>
  <c r="T365" i="3"/>
  <c r="AK365" i="3"/>
  <c r="Q365" i="3"/>
  <c r="P365" i="3"/>
  <c r="S365" i="3"/>
  <c r="R365" i="3"/>
  <c r="AD365" i="3"/>
  <c r="O365" i="3"/>
  <c r="M365" i="3"/>
  <c r="AF365" i="3"/>
  <c r="AE365" i="3"/>
  <c r="U365" i="3"/>
  <c r="V365" i="3"/>
  <c r="D365" i="3"/>
  <c r="G365" i="3"/>
  <c r="H365" i="3" s="1"/>
  <c r="F365" i="3"/>
  <c r="C365" i="3"/>
  <c r="BQ361" i="3"/>
  <c r="BF361" i="3"/>
  <c r="BJ360" i="3" s="1"/>
  <c r="BK360" i="3" s="1"/>
  <c r="BB361" i="3"/>
  <c r="AY362" i="3"/>
  <c r="AT363" i="3"/>
  <c r="AW363" i="3"/>
  <c r="AX363" i="3"/>
  <c r="AU363" i="3"/>
  <c r="BA362" i="3"/>
  <c r="AG364" i="3"/>
  <c r="AH364" i="3"/>
  <c r="AO364" i="3"/>
  <c r="X364" i="3"/>
  <c r="BC362" i="3" l="1"/>
  <c r="BD362" i="3" s="1"/>
  <c r="AO365" i="3"/>
  <c r="BN365" i="3"/>
  <c r="AG365" i="3"/>
  <c r="AU364" i="3"/>
  <c r="X365" i="3"/>
  <c r="AY363" i="3"/>
  <c r="BB362" i="3"/>
  <c r="BF362" i="3"/>
  <c r="BJ361" i="3" s="1"/>
  <c r="BK361" i="3" s="1"/>
  <c r="BQ362" i="3"/>
  <c r="Y365" i="3"/>
  <c r="Z365" i="3" s="1"/>
  <c r="AX364" i="3"/>
  <c r="AV363" i="3"/>
  <c r="BM365" i="3"/>
  <c r="AN365" i="3"/>
  <c r="AR366" i="3"/>
  <c r="B366" i="3"/>
  <c r="AQ366" i="3"/>
  <c r="A367" i="3"/>
  <c r="T366" i="3"/>
  <c r="S366" i="3"/>
  <c r="AK366" i="3"/>
  <c r="AM366" i="3"/>
  <c r="Q366" i="3"/>
  <c r="R366" i="3"/>
  <c r="AD366" i="3"/>
  <c r="P366" i="3"/>
  <c r="O366" i="3"/>
  <c r="AF366" i="3"/>
  <c r="V366" i="3"/>
  <c r="M366" i="3"/>
  <c r="AE366" i="3"/>
  <c r="U366" i="3"/>
  <c r="F366" i="3"/>
  <c r="C366" i="3"/>
  <c r="D366" i="3"/>
  <c r="G366" i="3"/>
  <c r="H366" i="3" s="1"/>
  <c r="AW364" i="3"/>
  <c r="BA363" i="3"/>
  <c r="AT364" i="3"/>
  <c r="AH365" i="3"/>
  <c r="BC363" i="3" l="1"/>
  <c r="BD363" i="3" s="1"/>
  <c r="BG362" i="3"/>
  <c r="BH362" i="3" s="1"/>
  <c r="BI362" i="3" s="1"/>
  <c r="AY364" i="3"/>
  <c r="AX365" i="3"/>
  <c r="AG366" i="3"/>
  <c r="AO366" i="3"/>
  <c r="AV364" i="3"/>
  <c r="BA364" i="3"/>
  <c r="X366" i="3"/>
  <c r="BM366" i="3"/>
  <c r="BF363" i="3"/>
  <c r="BJ362" i="3" s="1"/>
  <c r="BK362" i="3" s="1"/>
  <c r="BB363" i="3"/>
  <c r="BQ363" i="3"/>
  <c r="AQ367" i="3"/>
  <c r="B367" i="3"/>
  <c r="A368" i="3"/>
  <c r="AR367" i="3"/>
  <c r="D367" i="3"/>
  <c r="AM367" i="3"/>
  <c r="AK367" i="3"/>
  <c r="S367" i="3"/>
  <c r="R367" i="3"/>
  <c r="Q367" i="3"/>
  <c r="T367" i="3"/>
  <c r="AD367" i="3"/>
  <c r="P367" i="3"/>
  <c r="AE367" i="3"/>
  <c r="O367" i="3"/>
  <c r="AF367" i="3"/>
  <c r="U367" i="3"/>
  <c r="V367" i="3"/>
  <c r="M367" i="3"/>
  <c r="G367" i="3"/>
  <c r="H367" i="3" s="1"/>
  <c r="C367" i="3"/>
  <c r="F367" i="3"/>
  <c r="AW365" i="3"/>
  <c r="BN366" i="3"/>
  <c r="AN366" i="3"/>
  <c r="AT365" i="3"/>
  <c r="Y366" i="3"/>
  <c r="Z366" i="3" s="1"/>
  <c r="AH366" i="3"/>
  <c r="AU365" i="3"/>
  <c r="BG363" i="3" l="1"/>
  <c r="BH363" i="3" s="1"/>
  <c r="BI363" i="3" s="1"/>
  <c r="AY365" i="3"/>
  <c r="BC364" i="3"/>
  <c r="BG364" i="3" s="1"/>
  <c r="BH364" i="3" s="1"/>
  <c r="BI364" i="3" s="1"/>
  <c r="AX366" i="3"/>
  <c r="BM367" i="3"/>
  <c r="BN367" i="3"/>
  <c r="AN367" i="3"/>
  <c r="AO367" i="3"/>
  <c r="BA365" i="3"/>
  <c r="AV365" i="3"/>
  <c r="AT366" i="3"/>
  <c r="AG367" i="3"/>
  <c r="AH367" i="3"/>
  <c r="Y367" i="3"/>
  <c r="Z367" i="3" s="1"/>
  <c r="A369" i="3"/>
  <c r="B368" i="3"/>
  <c r="AR368" i="3"/>
  <c r="AQ368" i="3"/>
  <c r="D368" i="3"/>
  <c r="S368" i="3"/>
  <c r="Q368" i="3"/>
  <c r="C368" i="3"/>
  <c r="AM368" i="3"/>
  <c r="AK368" i="3"/>
  <c r="P368" i="3"/>
  <c r="T368" i="3"/>
  <c r="R368" i="3"/>
  <c r="AD368" i="3"/>
  <c r="O368" i="3"/>
  <c r="M368" i="3"/>
  <c r="AE368" i="3"/>
  <c r="AF368" i="3"/>
  <c r="V368" i="3"/>
  <c r="U368" i="3"/>
  <c r="G368" i="3"/>
  <c r="H368" i="3" s="1"/>
  <c r="BN368" i="3" s="1"/>
  <c r="F368" i="3"/>
  <c r="BB364" i="3"/>
  <c r="BQ364" i="3"/>
  <c r="BF364" i="3"/>
  <c r="BJ363" i="3" s="1"/>
  <c r="BK363" i="3" s="1"/>
  <c r="AU366" i="3"/>
  <c r="AW366" i="3"/>
  <c r="X367" i="3"/>
  <c r="BC365" i="3" l="1"/>
  <c r="BG365" i="3" s="1"/>
  <c r="BH365" i="3" s="1"/>
  <c r="BI365" i="3" s="1"/>
  <c r="BD364" i="3"/>
  <c r="BM368" i="3"/>
  <c r="AY366" i="3"/>
  <c r="AO368" i="3"/>
  <c r="AT367" i="3"/>
  <c r="AU367" i="3"/>
  <c r="AW367" i="3"/>
  <c r="AH368" i="3"/>
  <c r="Y368" i="3"/>
  <c r="Z368" i="3" s="1"/>
  <c r="AR369" i="3"/>
  <c r="B369" i="3"/>
  <c r="AQ369" i="3"/>
  <c r="A370" i="3"/>
  <c r="D369" i="3"/>
  <c r="AM369" i="3"/>
  <c r="R369" i="3"/>
  <c r="AK369" i="3"/>
  <c r="Q369" i="3"/>
  <c r="S369" i="3"/>
  <c r="AD369" i="3"/>
  <c r="O369" i="3"/>
  <c r="AE369" i="3"/>
  <c r="V369" i="3"/>
  <c r="P369" i="3"/>
  <c r="M369" i="3"/>
  <c r="AF369" i="3"/>
  <c r="U369" i="3"/>
  <c r="C369" i="3"/>
  <c r="G369" i="3"/>
  <c r="H369" i="3" s="1"/>
  <c r="F369" i="3"/>
  <c r="BM369" i="3" s="1"/>
  <c r="T369" i="3"/>
  <c r="BA366" i="3"/>
  <c r="AV366" i="3"/>
  <c r="BQ365" i="3"/>
  <c r="BF365" i="3"/>
  <c r="BJ364" i="3" s="1"/>
  <c r="BK364" i="3" s="1"/>
  <c r="BB365" i="3"/>
  <c r="AG368" i="3"/>
  <c r="AN368" i="3"/>
  <c r="AX367" i="3"/>
  <c r="BD365" i="3"/>
  <c r="X368" i="3"/>
  <c r="AO369" i="3" l="1"/>
  <c r="BC366" i="3"/>
  <c r="BD366" i="3" s="1"/>
  <c r="AH369" i="3"/>
  <c r="BN369" i="3"/>
  <c r="AV367" i="3"/>
  <c r="AT368" i="3"/>
  <c r="AU368" i="3"/>
  <c r="Y369" i="3"/>
  <c r="Z369" i="3" s="1"/>
  <c r="AY367" i="3"/>
  <c r="BA367" i="3"/>
  <c r="BB367" i="3" s="1"/>
  <c r="AX368" i="3"/>
  <c r="BQ366" i="3"/>
  <c r="BB366" i="3"/>
  <c r="BF366" i="3"/>
  <c r="BJ365" i="3" s="1"/>
  <c r="BK365" i="3" s="1"/>
  <c r="X369" i="3"/>
  <c r="AG369" i="3"/>
  <c r="AR370" i="3"/>
  <c r="B370" i="3"/>
  <c r="AQ370" i="3"/>
  <c r="A371" i="3"/>
  <c r="AK370" i="3"/>
  <c r="AM370" i="3"/>
  <c r="T370" i="3"/>
  <c r="Q370" i="3"/>
  <c r="C370" i="3"/>
  <c r="S370" i="3"/>
  <c r="AD370" i="3"/>
  <c r="P370" i="3"/>
  <c r="O370" i="3"/>
  <c r="AF370" i="3"/>
  <c r="U370" i="3"/>
  <c r="V370" i="3"/>
  <c r="AE370" i="3"/>
  <c r="M370" i="3"/>
  <c r="D370" i="3"/>
  <c r="R370" i="3"/>
  <c r="F370" i="3"/>
  <c r="BM370" i="3" s="1"/>
  <c r="G370" i="3"/>
  <c r="H370" i="3" s="1"/>
  <c r="AW368" i="3"/>
  <c r="AN369" i="3"/>
  <c r="BG366" i="3" l="1"/>
  <c r="BH366" i="3" s="1"/>
  <c r="BI366" i="3" s="1"/>
  <c r="BC367" i="3"/>
  <c r="BD367" i="3" s="1"/>
  <c r="AG370" i="3"/>
  <c r="AO370" i="3"/>
  <c r="BF367" i="3"/>
  <c r="BJ366" i="3" s="1"/>
  <c r="BK366" i="3" s="1"/>
  <c r="AV368" i="3"/>
  <c r="BQ367" i="3"/>
  <c r="AY368" i="3"/>
  <c r="AW369" i="3"/>
  <c r="AX369" i="3"/>
  <c r="AQ371" i="3"/>
  <c r="B371" i="3"/>
  <c r="A372" i="3"/>
  <c r="AR371" i="3"/>
  <c r="C371" i="3"/>
  <c r="AK371" i="3"/>
  <c r="AM371" i="3"/>
  <c r="S371" i="3"/>
  <c r="AD371" i="3"/>
  <c r="Q371" i="3"/>
  <c r="R371" i="3"/>
  <c r="P371" i="3"/>
  <c r="O371" i="3"/>
  <c r="M371" i="3"/>
  <c r="AF371" i="3"/>
  <c r="AE371" i="3"/>
  <c r="V371" i="3"/>
  <c r="U371" i="3"/>
  <c r="D371" i="3"/>
  <c r="F371" i="3"/>
  <c r="G371" i="3"/>
  <c r="H371" i="3" s="1"/>
  <c r="BN371" i="3" s="1"/>
  <c r="T371" i="3"/>
  <c r="BA368" i="3"/>
  <c r="AU369" i="3"/>
  <c r="BN370" i="3"/>
  <c r="AH370" i="3"/>
  <c r="AN370" i="3"/>
  <c r="AT369" i="3"/>
  <c r="Y370" i="3"/>
  <c r="Z370" i="3" s="1"/>
  <c r="X370" i="3"/>
  <c r="BC368" i="3" l="1"/>
  <c r="BD368" i="3" s="1"/>
  <c r="BG367" i="3"/>
  <c r="BH367" i="3" s="1"/>
  <c r="BI367" i="3" s="1"/>
  <c r="BM371" i="3"/>
  <c r="AY369" i="3"/>
  <c r="AX370" i="3"/>
  <c r="AO371" i="3"/>
  <c r="AG371" i="3"/>
  <c r="AU370" i="3"/>
  <c r="Y371" i="3"/>
  <c r="Z371" i="3" s="1"/>
  <c r="BA369" i="3"/>
  <c r="AV369" i="3"/>
  <c r="BQ368" i="3"/>
  <c r="BB368" i="3"/>
  <c r="BF368" i="3"/>
  <c r="BJ367" i="3" s="1"/>
  <c r="BK367" i="3" s="1"/>
  <c r="A373" i="3"/>
  <c r="B372" i="3"/>
  <c r="AR372" i="3"/>
  <c r="AQ372" i="3"/>
  <c r="AK372" i="3"/>
  <c r="AM372" i="3"/>
  <c r="S372" i="3"/>
  <c r="R372" i="3"/>
  <c r="P372" i="3"/>
  <c r="Q372" i="3"/>
  <c r="AD372" i="3"/>
  <c r="AE372" i="3"/>
  <c r="O372" i="3"/>
  <c r="U372" i="3"/>
  <c r="M372" i="3"/>
  <c r="AF372" i="3"/>
  <c r="V372" i="3"/>
  <c r="G372" i="3"/>
  <c r="H372" i="3" s="1"/>
  <c r="F372" i="3"/>
  <c r="C372" i="3"/>
  <c r="D372" i="3"/>
  <c r="T372" i="3"/>
  <c r="AW370" i="3"/>
  <c r="AH371" i="3"/>
  <c r="AN371" i="3"/>
  <c r="X371" i="3"/>
  <c r="AT370" i="3"/>
  <c r="AY370" i="3" l="1"/>
  <c r="BG368" i="3"/>
  <c r="BH368" i="3" s="1"/>
  <c r="BI368" i="3" s="1"/>
  <c r="BM372" i="3"/>
  <c r="BC369" i="3"/>
  <c r="BG369" i="3" s="1"/>
  <c r="BH369" i="3" s="1"/>
  <c r="BI369" i="3" s="1"/>
  <c r="AU371" i="3"/>
  <c r="AO372" i="3"/>
  <c r="AT371" i="3"/>
  <c r="AW371" i="3"/>
  <c r="AH372" i="3"/>
  <c r="AV370" i="3"/>
  <c r="BA370" i="3"/>
  <c r="BF369" i="3"/>
  <c r="BJ368" i="3" s="1"/>
  <c r="BK368" i="3" s="1"/>
  <c r="BB369" i="3"/>
  <c r="BQ369" i="3"/>
  <c r="AX371" i="3"/>
  <c r="Y372" i="3"/>
  <c r="Z372" i="3" s="1"/>
  <c r="X372" i="3"/>
  <c r="BN372" i="3"/>
  <c r="AG372" i="3"/>
  <c r="AN372" i="3"/>
  <c r="AR373" i="3"/>
  <c r="B373" i="3"/>
  <c r="AQ373" i="3"/>
  <c r="A374" i="3"/>
  <c r="D373" i="3"/>
  <c r="AM373" i="3"/>
  <c r="AK373" i="3"/>
  <c r="T373" i="3"/>
  <c r="S373" i="3"/>
  <c r="R373" i="3"/>
  <c r="AD373" i="3"/>
  <c r="P373" i="3"/>
  <c r="AE373" i="3"/>
  <c r="AF373" i="3"/>
  <c r="V373" i="3"/>
  <c r="O373" i="3"/>
  <c r="M373" i="3"/>
  <c r="U373" i="3"/>
  <c r="C373" i="3"/>
  <c r="G373" i="3"/>
  <c r="H373" i="3" s="1"/>
  <c r="F373" i="3"/>
  <c r="Q373" i="3"/>
  <c r="BM373" i="3" l="1"/>
  <c r="AV371" i="3"/>
  <c r="BD369" i="3"/>
  <c r="BC370" i="3"/>
  <c r="BD370" i="3" s="1"/>
  <c r="BN373" i="3"/>
  <c r="AU372" i="3"/>
  <c r="AT372" i="3"/>
  <c r="AN373" i="3"/>
  <c r="AW372" i="3"/>
  <c r="BA371" i="3"/>
  <c r="BB371" i="3" s="1"/>
  <c r="AX372" i="3"/>
  <c r="AY371" i="3"/>
  <c r="Y373" i="3"/>
  <c r="Z373" i="3" s="1"/>
  <c r="BB370" i="3"/>
  <c r="BQ370" i="3"/>
  <c r="BF370" i="3"/>
  <c r="BJ369" i="3" s="1"/>
  <c r="BK369" i="3" s="1"/>
  <c r="X373" i="3"/>
  <c r="AG373" i="3"/>
  <c r="AH373" i="3"/>
  <c r="AO373" i="3"/>
  <c r="AR374" i="3"/>
  <c r="B374" i="3"/>
  <c r="AQ374" i="3"/>
  <c r="A375" i="3"/>
  <c r="C374" i="3"/>
  <c r="AM374" i="3"/>
  <c r="AK374" i="3"/>
  <c r="Q374" i="3"/>
  <c r="R374" i="3"/>
  <c r="AD374" i="3"/>
  <c r="M374" i="3"/>
  <c r="AE374" i="3"/>
  <c r="AF374" i="3"/>
  <c r="V374" i="3"/>
  <c r="P374" i="3"/>
  <c r="O374" i="3"/>
  <c r="U374" i="3"/>
  <c r="D374" i="3"/>
  <c r="G374" i="3"/>
  <c r="H374" i="3" s="1"/>
  <c r="F374" i="3"/>
  <c r="T374" i="3"/>
  <c r="S374" i="3"/>
  <c r="BC371" i="3" l="1"/>
  <c r="BD371" i="3" s="1"/>
  <c r="BG370" i="3"/>
  <c r="BH370" i="3" s="1"/>
  <c r="BI370" i="3" s="1"/>
  <c r="BA372" i="3"/>
  <c r="BB372" i="3" s="1"/>
  <c r="BM374" i="3"/>
  <c r="AV372" i="3"/>
  <c r="AT373" i="3"/>
  <c r="AG374" i="3"/>
  <c r="BQ371" i="3"/>
  <c r="BF371" i="3"/>
  <c r="BJ370" i="3" s="1"/>
  <c r="BK370" i="3" s="1"/>
  <c r="AY372" i="3"/>
  <c r="AN374" i="3"/>
  <c r="AU373" i="3"/>
  <c r="Y374" i="3"/>
  <c r="Z374" i="3" s="1"/>
  <c r="BN374" i="3"/>
  <c r="AO374" i="3"/>
  <c r="AX373" i="3"/>
  <c r="AQ375" i="3"/>
  <c r="B375" i="3"/>
  <c r="A376" i="3"/>
  <c r="AR375" i="3"/>
  <c r="AK375" i="3"/>
  <c r="AM375" i="3"/>
  <c r="T375" i="3"/>
  <c r="S375" i="3"/>
  <c r="C375" i="3"/>
  <c r="Q375" i="3"/>
  <c r="R375" i="3"/>
  <c r="AD375" i="3"/>
  <c r="P375" i="3"/>
  <c r="O375" i="3"/>
  <c r="AE375" i="3"/>
  <c r="AF375" i="3"/>
  <c r="M375" i="3"/>
  <c r="V375" i="3"/>
  <c r="U375" i="3"/>
  <c r="D375" i="3"/>
  <c r="F375" i="3"/>
  <c r="BM375" i="3" s="1"/>
  <c r="G375" i="3"/>
  <c r="H375" i="3" s="1"/>
  <c r="BN375" i="3" s="1"/>
  <c r="X374" i="3"/>
  <c r="AH374" i="3"/>
  <c r="AW373" i="3"/>
  <c r="BF372" i="3" l="1"/>
  <c r="BJ371" i="3" s="1"/>
  <c r="BK371" i="3" s="1"/>
  <c r="BG371" i="3"/>
  <c r="BH371" i="3" s="1"/>
  <c r="BI371" i="3" s="1"/>
  <c r="AV373" i="3"/>
  <c r="BQ372" i="3"/>
  <c r="BC372" i="3"/>
  <c r="AG375" i="3"/>
  <c r="AX374" i="3"/>
  <c r="BA373" i="3"/>
  <c r="AY373" i="3"/>
  <c r="Y375" i="3"/>
  <c r="Z375" i="3" s="1"/>
  <c r="X375" i="3"/>
  <c r="AH375" i="3"/>
  <c r="AT374" i="3"/>
  <c r="AN375" i="3"/>
  <c r="AO375" i="3"/>
  <c r="A377" i="3"/>
  <c r="B376" i="3"/>
  <c r="AR376" i="3"/>
  <c r="AQ376" i="3"/>
  <c r="D376" i="3"/>
  <c r="T376" i="3"/>
  <c r="AM376" i="3"/>
  <c r="AK376" i="3"/>
  <c r="S376" i="3"/>
  <c r="R376" i="3"/>
  <c r="AD376" i="3"/>
  <c r="P376" i="3"/>
  <c r="M376" i="3"/>
  <c r="AE376" i="3"/>
  <c r="O376" i="3"/>
  <c r="AF376" i="3"/>
  <c r="U376" i="3"/>
  <c r="V376" i="3"/>
  <c r="Q376" i="3"/>
  <c r="C376" i="3"/>
  <c r="F376" i="3"/>
  <c r="G376" i="3"/>
  <c r="H376" i="3" s="1"/>
  <c r="AU374" i="3"/>
  <c r="AW374" i="3"/>
  <c r="AU375" i="3" l="1"/>
  <c r="BC373" i="3"/>
  <c r="BG373" i="3" s="1"/>
  <c r="BH373" i="3" s="1"/>
  <c r="BI373" i="3" s="1"/>
  <c r="BG372" i="3"/>
  <c r="BH372" i="3" s="1"/>
  <c r="BI372" i="3" s="1"/>
  <c r="BD372" i="3"/>
  <c r="BN376" i="3"/>
  <c r="BM376" i="3"/>
  <c r="AY374" i="3"/>
  <c r="AW375" i="3"/>
  <c r="AN376" i="3"/>
  <c r="AV374" i="3"/>
  <c r="BA374" i="3"/>
  <c r="BF373" i="3"/>
  <c r="BJ372" i="3" s="1"/>
  <c r="BK372" i="3" s="1"/>
  <c r="BB373" i="3"/>
  <c r="BQ373" i="3"/>
  <c r="X376" i="3"/>
  <c r="AG376" i="3"/>
  <c r="AO376" i="3"/>
  <c r="AX375" i="3"/>
  <c r="Y376" i="3"/>
  <c r="Z376" i="3" s="1"/>
  <c r="AR377" i="3"/>
  <c r="B377" i="3"/>
  <c r="AQ377" i="3"/>
  <c r="A378" i="3"/>
  <c r="S377" i="3"/>
  <c r="C377" i="3"/>
  <c r="AK377" i="3"/>
  <c r="AM377" i="3"/>
  <c r="T377" i="3"/>
  <c r="Q377" i="3"/>
  <c r="AD377" i="3"/>
  <c r="P377" i="3"/>
  <c r="O377" i="3"/>
  <c r="AE377" i="3"/>
  <c r="M377" i="3"/>
  <c r="U377" i="3"/>
  <c r="V377" i="3"/>
  <c r="AF377" i="3"/>
  <c r="G377" i="3"/>
  <c r="H377" i="3" s="1"/>
  <c r="R377" i="3"/>
  <c r="D377" i="3"/>
  <c r="F377" i="3"/>
  <c r="AH376" i="3"/>
  <c r="AT375" i="3"/>
  <c r="BD373" i="3" l="1"/>
  <c r="BM377" i="3"/>
  <c r="BC374" i="3"/>
  <c r="BD374" i="3" s="1"/>
  <c r="AY375" i="3"/>
  <c r="AO377" i="3"/>
  <c r="AH377" i="3"/>
  <c r="AU376" i="3"/>
  <c r="AX376" i="3"/>
  <c r="Y377" i="3"/>
  <c r="Z377" i="3" s="1"/>
  <c r="AT376" i="3"/>
  <c r="BN377" i="3"/>
  <c r="AV375" i="3"/>
  <c r="BA375" i="3"/>
  <c r="AR378" i="3"/>
  <c r="B378" i="3"/>
  <c r="AQ378" i="3"/>
  <c r="A379" i="3"/>
  <c r="AM378" i="3"/>
  <c r="AK378" i="3"/>
  <c r="Q378" i="3"/>
  <c r="T378" i="3"/>
  <c r="S378" i="3"/>
  <c r="P378" i="3"/>
  <c r="R378" i="3"/>
  <c r="AD378" i="3"/>
  <c r="M378" i="3"/>
  <c r="O378" i="3"/>
  <c r="AE378" i="3"/>
  <c r="AF378" i="3"/>
  <c r="V378" i="3"/>
  <c r="U378" i="3"/>
  <c r="C378" i="3"/>
  <c r="D378" i="3"/>
  <c r="G378" i="3"/>
  <c r="H378" i="3" s="1"/>
  <c r="F378" i="3"/>
  <c r="BB374" i="3"/>
  <c r="BF374" i="3"/>
  <c r="BJ373" i="3" s="1"/>
  <c r="BK373" i="3" s="1"/>
  <c r="BQ374" i="3"/>
  <c r="AG377" i="3"/>
  <c r="AN377" i="3"/>
  <c r="X377" i="3"/>
  <c r="AW376" i="3"/>
  <c r="BC375" i="3" l="1"/>
  <c r="BD375" i="3" s="1"/>
  <c r="AY376" i="3"/>
  <c r="BG374" i="3"/>
  <c r="BH374" i="3" s="1"/>
  <c r="BI374" i="3" s="1"/>
  <c r="AN378" i="3"/>
  <c r="BN378" i="3"/>
  <c r="AW377" i="3"/>
  <c r="AX377" i="3"/>
  <c r="AG378" i="3"/>
  <c r="X378" i="3"/>
  <c r="Y378" i="3"/>
  <c r="Z378" i="3" s="1"/>
  <c r="AQ379" i="3"/>
  <c r="B379" i="3"/>
  <c r="A380" i="3"/>
  <c r="AR379" i="3"/>
  <c r="C379" i="3"/>
  <c r="AK379" i="3"/>
  <c r="S379" i="3"/>
  <c r="AM379" i="3"/>
  <c r="R379" i="3"/>
  <c r="Q379" i="3"/>
  <c r="AD379" i="3"/>
  <c r="P379" i="3"/>
  <c r="M379" i="3"/>
  <c r="AE379" i="3"/>
  <c r="O379" i="3"/>
  <c r="AF379" i="3"/>
  <c r="U379" i="3"/>
  <c r="V379" i="3"/>
  <c r="D379" i="3"/>
  <c r="G379" i="3"/>
  <c r="H379" i="3" s="1"/>
  <c r="F379" i="3"/>
  <c r="BM379" i="3" s="1"/>
  <c r="T379" i="3"/>
  <c r="BQ375" i="3"/>
  <c r="BB375" i="3"/>
  <c r="BF375" i="3"/>
  <c r="BJ374" i="3" s="1"/>
  <c r="BK374" i="3" s="1"/>
  <c r="BA376" i="3"/>
  <c r="AV376" i="3"/>
  <c r="BM378" i="3"/>
  <c r="AH378" i="3"/>
  <c r="AO378" i="3"/>
  <c r="AT377" i="3"/>
  <c r="AU377" i="3"/>
  <c r="BG375" i="3" l="1"/>
  <c r="BH375" i="3" s="1"/>
  <c r="BI375" i="3" s="1"/>
  <c r="BC376" i="3"/>
  <c r="BG376" i="3" s="1"/>
  <c r="BH376" i="3" s="1"/>
  <c r="BI376" i="3" s="1"/>
  <c r="AN379" i="3"/>
  <c r="AY377" i="3"/>
  <c r="AW378" i="3"/>
  <c r="AX378" i="3"/>
  <c r="AT378" i="3"/>
  <c r="AV377" i="3"/>
  <c r="BA377" i="3"/>
  <c r="A381" i="3"/>
  <c r="B380" i="3"/>
  <c r="AR380" i="3"/>
  <c r="AQ380" i="3"/>
  <c r="D380" i="3"/>
  <c r="AM380" i="3"/>
  <c r="T380" i="3"/>
  <c r="AK380" i="3"/>
  <c r="Q380" i="3"/>
  <c r="S380" i="3"/>
  <c r="AD380" i="3"/>
  <c r="P380" i="3"/>
  <c r="AE380" i="3"/>
  <c r="M380" i="3"/>
  <c r="AF380" i="3"/>
  <c r="V380" i="3"/>
  <c r="O380" i="3"/>
  <c r="U380" i="3"/>
  <c r="C380" i="3"/>
  <c r="F380" i="3"/>
  <c r="R380" i="3"/>
  <c r="G380" i="3"/>
  <c r="H380" i="3" s="1"/>
  <c r="X379" i="3"/>
  <c r="BB376" i="3"/>
  <c r="BQ376" i="3"/>
  <c r="BF376" i="3"/>
  <c r="BJ375" i="3" s="1"/>
  <c r="BK375" i="3" s="1"/>
  <c r="AU378" i="3"/>
  <c r="Y379" i="3"/>
  <c r="Z379" i="3" s="1"/>
  <c r="BN379" i="3"/>
  <c r="AH379" i="3"/>
  <c r="AG379" i="3"/>
  <c r="AO379" i="3"/>
  <c r="BD376" i="3" l="1"/>
  <c r="AO380" i="3"/>
  <c r="BC377" i="3"/>
  <c r="BG377" i="3" s="1"/>
  <c r="BH377" i="3" s="1"/>
  <c r="BI377" i="3" s="1"/>
  <c r="AH380" i="3"/>
  <c r="BN380" i="3"/>
  <c r="BM380" i="3"/>
  <c r="AV378" i="3"/>
  <c r="AY378" i="3"/>
  <c r="Y380" i="3"/>
  <c r="Z380" i="3" s="1"/>
  <c r="AR381" i="3"/>
  <c r="B381" i="3"/>
  <c r="AQ381" i="3"/>
  <c r="A382" i="3"/>
  <c r="AM381" i="3"/>
  <c r="Q381" i="3"/>
  <c r="C381" i="3"/>
  <c r="AK381" i="3"/>
  <c r="R381" i="3"/>
  <c r="S381" i="3"/>
  <c r="AD381" i="3"/>
  <c r="P381" i="3"/>
  <c r="O381" i="3"/>
  <c r="M381" i="3"/>
  <c r="AF381" i="3"/>
  <c r="U381" i="3"/>
  <c r="AE381" i="3"/>
  <c r="V381" i="3"/>
  <c r="D381" i="3"/>
  <c r="F381" i="3"/>
  <c r="G381" i="3"/>
  <c r="H381" i="3" s="1"/>
  <c r="BN381" i="3" s="1"/>
  <c r="T381" i="3"/>
  <c r="AX379" i="3"/>
  <c r="BA378" i="3"/>
  <c r="AU379" i="3"/>
  <c r="AT379" i="3"/>
  <c r="AW379" i="3"/>
  <c r="X380" i="3"/>
  <c r="AG380" i="3"/>
  <c r="BB377" i="3"/>
  <c r="BQ377" i="3"/>
  <c r="BF377" i="3"/>
  <c r="BJ376" i="3" s="1"/>
  <c r="BK376" i="3" s="1"/>
  <c r="AN380" i="3"/>
  <c r="BD377" i="3" l="1"/>
  <c r="AT380" i="3"/>
  <c r="AG381" i="3"/>
  <c r="AN381" i="3"/>
  <c r="BM381" i="3"/>
  <c r="AY379" i="3"/>
  <c r="BC378" i="3"/>
  <c r="BD378" i="3" s="1"/>
  <c r="AU380" i="3"/>
  <c r="AX380" i="3"/>
  <c r="AH381" i="3"/>
  <c r="X381" i="3"/>
  <c r="AV379" i="3"/>
  <c r="BA379" i="3"/>
  <c r="BB378" i="3"/>
  <c r="BQ378" i="3"/>
  <c r="BF378" i="3"/>
  <c r="BJ377" i="3" s="1"/>
  <c r="BK377" i="3" s="1"/>
  <c r="AR382" i="3"/>
  <c r="B382" i="3"/>
  <c r="AQ382" i="3"/>
  <c r="A383" i="3"/>
  <c r="C382" i="3"/>
  <c r="D382" i="3"/>
  <c r="AK382" i="3"/>
  <c r="S382" i="3"/>
  <c r="R382" i="3"/>
  <c r="AM382" i="3"/>
  <c r="AD382" i="3"/>
  <c r="P382" i="3"/>
  <c r="O382" i="3"/>
  <c r="AE382" i="3"/>
  <c r="U382" i="3"/>
  <c r="AF382" i="3"/>
  <c r="M382" i="3"/>
  <c r="V382" i="3"/>
  <c r="Q382" i="3"/>
  <c r="G382" i="3"/>
  <c r="H382" i="3" s="1"/>
  <c r="F382" i="3"/>
  <c r="T382" i="3"/>
  <c r="AW380" i="3"/>
  <c r="Y381" i="3"/>
  <c r="Z381" i="3" s="1"/>
  <c r="AO381" i="3"/>
  <c r="AY380" i="3" l="1"/>
  <c r="BN382" i="3"/>
  <c r="AV380" i="3"/>
  <c r="BC379" i="3"/>
  <c r="BG379" i="3" s="1"/>
  <c r="BH379" i="3" s="1"/>
  <c r="BI379" i="3" s="1"/>
  <c r="AU381" i="3"/>
  <c r="AO382" i="3"/>
  <c r="BG378" i="3"/>
  <c r="BH378" i="3" s="1"/>
  <c r="BI378" i="3" s="1"/>
  <c r="AN382" i="3"/>
  <c r="Y382" i="3"/>
  <c r="Z382" i="3" s="1"/>
  <c r="AQ383" i="3"/>
  <c r="B383" i="3"/>
  <c r="A384" i="3"/>
  <c r="AR383" i="3"/>
  <c r="Q383" i="3"/>
  <c r="AK383" i="3"/>
  <c r="AM383" i="3"/>
  <c r="S383" i="3"/>
  <c r="AD383" i="3"/>
  <c r="O383" i="3"/>
  <c r="P383" i="3"/>
  <c r="M383" i="3"/>
  <c r="AE383" i="3"/>
  <c r="AF383" i="3"/>
  <c r="V383" i="3"/>
  <c r="U383" i="3"/>
  <c r="D383" i="3"/>
  <c r="F383" i="3"/>
  <c r="R383" i="3"/>
  <c r="C383" i="3"/>
  <c r="G383" i="3"/>
  <c r="H383" i="3" s="1"/>
  <c r="BN383" i="3" s="1"/>
  <c r="T383" i="3"/>
  <c r="AG382" i="3"/>
  <c r="BA380" i="3"/>
  <c r="AX381" i="3"/>
  <c r="X382" i="3"/>
  <c r="BM382" i="3"/>
  <c r="BQ379" i="3"/>
  <c r="BF379" i="3"/>
  <c r="BJ378" i="3" s="1"/>
  <c r="BK378" i="3" s="1"/>
  <c r="BB379" i="3"/>
  <c r="AH382" i="3"/>
  <c r="AT381" i="3"/>
  <c r="AW381" i="3"/>
  <c r="BC380" i="3" l="1"/>
  <c r="BD380" i="3" s="1"/>
  <c r="BD379" i="3"/>
  <c r="AX382" i="3"/>
  <c r="AN383" i="3"/>
  <c r="AG383" i="3"/>
  <c r="X383" i="3"/>
  <c r="AT382" i="3"/>
  <c r="AU382" i="3"/>
  <c r="AY381" i="3"/>
  <c r="BB380" i="3"/>
  <c r="BF380" i="3"/>
  <c r="BJ379" i="3" s="1"/>
  <c r="BK379" i="3" s="1"/>
  <c r="BQ380" i="3"/>
  <c r="A385" i="3"/>
  <c r="B384" i="3"/>
  <c r="AR384" i="3"/>
  <c r="AQ384" i="3"/>
  <c r="D384" i="3"/>
  <c r="AK384" i="3"/>
  <c r="AM384" i="3"/>
  <c r="S384" i="3"/>
  <c r="R384" i="3"/>
  <c r="Q384" i="3"/>
  <c r="AD384" i="3"/>
  <c r="P384" i="3"/>
  <c r="M384" i="3"/>
  <c r="O384" i="3"/>
  <c r="AE384" i="3"/>
  <c r="AF384" i="3"/>
  <c r="V384" i="3"/>
  <c r="U384" i="3"/>
  <c r="F384" i="3"/>
  <c r="C384" i="3"/>
  <c r="G384" i="3"/>
  <c r="H384" i="3" s="1"/>
  <c r="T384" i="3"/>
  <c r="AW382" i="3"/>
  <c r="AH383" i="3"/>
  <c r="AV381" i="3"/>
  <c r="BA381" i="3"/>
  <c r="Y383" i="3"/>
  <c r="Z383" i="3" s="1"/>
  <c r="BM383" i="3"/>
  <c r="AO383" i="3"/>
  <c r="BG380" i="3" l="1"/>
  <c r="BH380" i="3" s="1"/>
  <c r="BI380" i="3" s="1"/>
  <c r="AY382" i="3"/>
  <c r="BN384" i="3"/>
  <c r="BC381" i="3"/>
  <c r="BD381" i="3" s="1"/>
  <c r="BM384" i="3"/>
  <c r="AN384" i="3"/>
  <c r="AG384" i="3"/>
  <c r="AV382" i="3"/>
  <c r="AW383" i="3"/>
  <c r="BA382" i="3"/>
  <c r="BQ382" i="3" s="1"/>
  <c r="BB381" i="3"/>
  <c r="BQ381" i="3"/>
  <c r="BF381" i="3"/>
  <c r="BJ380" i="3" s="1"/>
  <c r="BK380" i="3" s="1"/>
  <c r="AT383" i="3"/>
  <c r="AU383" i="3"/>
  <c r="Y384" i="3"/>
  <c r="Z384" i="3" s="1"/>
  <c r="X384" i="3"/>
  <c r="AO384" i="3"/>
  <c r="AR385" i="3"/>
  <c r="B385" i="3"/>
  <c r="AQ385" i="3"/>
  <c r="A386" i="3"/>
  <c r="AM385" i="3"/>
  <c r="T385" i="3"/>
  <c r="S385" i="3"/>
  <c r="Q385" i="3"/>
  <c r="AK385" i="3"/>
  <c r="AD385" i="3"/>
  <c r="R385" i="3"/>
  <c r="P385" i="3"/>
  <c r="O385" i="3"/>
  <c r="AE385" i="3"/>
  <c r="M385" i="3"/>
  <c r="U385" i="3"/>
  <c r="AF385" i="3"/>
  <c r="V385" i="3"/>
  <c r="D385" i="3"/>
  <c r="F385" i="3"/>
  <c r="C385" i="3"/>
  <c r="G385" i="3"/>
  <c r="H385" i="3" s="1"/>
  <c r="AX383" i="3"/>
  <c r="AH384" i="3"/>
  <c r="BC382" i="3" l="1"/>
  <c r="BG382" i="3" s="1"/>
  <c r="BH382" i="3" s="1"/>
  <c r="BI382" i="3" s="1"/>
  <c r="BG381" i="3"/>
  <c r="BH381" i="3" s="1"/>
  <c r="BI381" i="3" s="1"/>
  <c r="AY383" i="3"/>
  <c r="AO385" i="3"/>
  <c r="AX384" i="3"/>
  <c r="BD382" i="3"/>
  <c r="AH385" i="3"/>
  <c r="AV383" i="3"/>
  <c r="BC383" i="3" s="1"/>
  <c r="X385" i="3"/>
  <c r="BF382" i="3"/>
  <c r="BJ381" i="3" s="1"/>
  <c r="BK381" i="3" s="1"/>
  <c r="BB382" i="3"/>
  <c r="Y385" i="3"/>
  <c r="Z385" i="3" s="1"/>
  <c r="AR386" i="3"/>
  <c r="B386" i="3"/>
  <c r="AQ386" i="3"/>
  <c r="A387" i="3"/>
  <c r="C386" i="3"/>
  <c r="D386" i="3"/>
  <c r="AM386" i="3"/>
  <c r="S386" i="3"/>
  <c r="AK386" i="3"/>
  <c r="R386" i="3"/>
  <c r="AD386" i="3"/>
  <c r="Q386" i="3"/>
  <c r="P386" i="3"/>
  <c r="O386" i="3"/>
  <c r="AE386" i="3"/>
  <c r="M386" i="3"/>
  <c r="U386" i="3"/>
  <c r="AF386" i="3"/>
  <c r="V386" i="3"/>
  <c r="G386" i="3"/>
  <c r="H386" i="3" s="1"/>
  <c r="F386" i="3"/>
  <c r="T386" i="3"/>
  <c r="AT384" i="3"/>
  <c r="AW384" i="3"/>
  <c r="BN385" i="3"/>
  <c r="BM385" i="3"/>
  <c r="AG385" i="3"/>
  <c r="AU384" i="3"/>
  <c r="AN385" i="3"/>
  <c r="BA383" i="3"/>
  <c r="BN386" i="3" l="1"/>
  <c r="BM386" i="3"/>
  <c r="AO386" i="3"/>
  <c r="AY384" i="3"/>
  <c r="AX385" i="3"/>
  <c r="AG386" i="3"/>
  <c r="AV384" i="3"/>
  <c r="AT385" i="3"/>
  <c r="BD383" i="3"/>
  <c r="BG383" i="3"/>
  <c r="BH383" i="3" s="1"/>
  <c r="BI383" i="3" s="1"/>
  <c r="AH386" i="3"/>
  <c r="AN386" i="3"/>
  <c r="X386" i="3"/>
  <c r="BB383" i="3"/>
  <c r="BF383" i="3"/>
  <c r="BJ382" i="3" s="1"/>
  <c r="BK382" i="3" s="1"/>
  <c r="BQ383" i="3"/>
  <c r="AQ387" i="3"/>
  <c r="B387" i="3"/>
  <c r="A388" i="3"/>
  <c r="AR387" i="3"/>
  <c r="D387" i="3"/>
  <c r="S387" i="3"/>
  <c r="AK387" i="3"/>
  <c r="AM387" i="3"/>
  <c r="T387" i="3"/>
  <c r="R387" i="3"/>
  <c r="Q387" i="3"/>
  <c r="AD387" i="3"/>
  <c r="P387" i="3"/>
  <c r="O387" i="3"/>
  <c r="M387" i="3"/>
  <c r="AF387" i="3"/>
  <c r="V387" i="3"/>
  <c r="U387" i="3"/>
  <c r="AE387" i="3"/>
  <c r="C387" i="3"/>
  <c r="G387" i="3"/>
  <c r="H387" i="3" s="1"/>
  <c r="F387" i="3"/>
  <c r="BM387" i="3" s="1"/>
  <c r="AW385" i="3"/>
  <c r="AU385" i="3"/>
  <c r="BA384" i="3"/>
  <c r="Y386" i="3"/>
  <c r="Z386" i="3" s="1"/>
  <c r="AY385" i="3" l="1"/>
  <c r="BN387" i="3"/>
  <c r="BC384" i="3"/>
  <c r="BG384" i="3" s="1"/>
  <c r="BH384" i="3" s="1"/>
  <c r="BI384" i="3" s="1"/>
  <c r="AN387" i="3"/>
  <c r="BA385" i="3"/>
  <c r="BF385" i="3" s="1"/>
  <c r="AU386" i="3"/>
  <c r="AX386" i="3"/>
  <c r="BB384" i="3"/>
  <c r="BF384" i="3"/>
  <c r="BJ383" i="3" s="1"/>
  <c r="BK383" i="3" s="1"/>
  <c r="BQ384" i="3"/>
  <c r="Y387" i="3"/>
  <c r="Z387" i="3" s="1"/>
  <c r="A389" i="3"/>
  <c r="B388" i="3"/>
  <c r="AR388" i="3"/>
  <c r="AQ388" i="3"/>
  <c r="AK388" i="3"/>
  <c r="AM388" i="3"/>
  <c r="T388" i="3"/>
  <c r="R388" i="3"/>
  <c r="Q388" i="3"/>
  <c r="AD388" i="3"/>
  <c r="P388" i="3"/>
  <c r="O388" i="3"/>
  <c r="M388" i="3"/>
  <c r="AF388" i="3"/>
  <c r="V388" i="3"/>
  <c r="AE388" i="3"/>
  <c r="U388" i="3"/>
  <c r="D388" i="3"/>
  <c r="F388" i="3"/>
  <c r="G388" i="3"/>
  <c r="H388" i="3" s="1"/>
  <c r="BN388" i="3" s="1"/>
  <c r="C388" i="3"/>
  <c r="S388" i="3"/>
  <c r="X387" i="3"/>
  <c r="AH387" i="3"/>
  <c r="AV385" i="3"/>
  <c r="AG387" i="3"/>
  <c r="AO387" i="3"/>
  <c r="AT386" i="3"/>
  <c r="AW386" i="3"/>
  <c r="BC385" i="3" l="1"/>
  <c r="BG385" i="3" s="1"/>
  <c r="BH385" i="3" s="1"/>
  <c r="BI385" i="3" s="1"/>
  <c r="BD384" i="3"/>
  <c r="AN388" i="3"/>
  <c r="AG388" i="3"/>
  <c r="BQ385" i="3"/>
  <c r="X388" i="3"/>
  <c r="BB385" i="3"/>
  <c r="AY386" i="3"/>
  <c r="AV386" i="3"/>
  <c r="BA386" i="3"/>
  <c r="AR389" i="3"/>
  <c r="B389" i="3"/>
  <c r="AQ389" i="3"/>
  <c r="A390" i="3"/>
  <c r="D389" i="3"/>
  <c r="C389" i="3"/>
  <c r="AK389" i="3"/>
  <c r="S389" i="3"/>
  <c r="Q389" i="3"/>
  <c r="R389" i="3"/>
  <c r="AM389" i="3"/>
  <c r="AD389" i="3"/>
  <c r="P389" i="3"/>
  <c r="O389" i="3"/>
  <c r="AE389" i="3"/>
  <c r="U389" i="3"/>
  <c r="M389" i="3"/>
  <c r="AF389" i="3"/>
  <c r="V389" i="3"/>
  <c r="F389" i="3"/>
  <c r="G389" i="3"/>
  <c r="H389" i="3" s="1"/>
  <c r="T389" i="3"/>
  <c r="AX387" i="3"/>
  <c r="AH388" i="3"/>
  <c r="AU387" i="3"/>
  <c r="AW387" i="3"/>
  <c r="AT387" i="3"/>
  <c r="BM388" i="3"/>
  <c r="AO388" i="3"/>
  <c r="BJ384" i="3"/>
  <c r="BK384" i="3" s="1"/>
  <c r="BD385" i="3"/>
  <c r="Y388" i="3"/>
  <c r="Z388" i="3" s="1"/>
  <c r="BN389" i="3" l="1"/>
  <c r="BM389" i="3"/>
  <c r="AY387" i="3"/>
  <c r="BC386" i="3"/>
  <c r="BG386" i="3" s="1"/>
  <c r="BH386" i="3" s="1"/>
  <c r="BI386" i="3" s="1"/>
  <c r="AG389" i="3"/>
  <c r="AT388" i="3"/>
  <c r="AX388" i="3"/>
  <c r="AN389" i="3"/>
  <c r="AO389" i="3"/>
  <c r="BA387" i="3"/>
  <c r="AV387" i="3"/>
  <c r="AR390" i="3"/>
  <c r="B390" i="3"/>
  <c r="AQ390" i="3"/>
  <c r="A391" i="3"/>
  <c r="AK390" i="3"/>
  <c r="T390" i="3"/>
  <c r="AM390" i="3"/>
  <c r="S390" i="3"/>
  <c r="Q390" i="3"/>
  <c r="R390" i="3"/>
  <c r="AD390" i="3"/>
  <c r="P390" i="3"/>
  <c r="O390" i="3"/>
  <c r="AF390" i="3"/>
  <c r="U390" i="3"/>
  <c r="M390" i="3"/>
  <c r="AE390" i="3"/>
  <c r="V390" i="3"/>
  <c r="D390" i="3"/>
  <c r="C390" i="3"/>
  <c r="G390" i="3"/>
  <c r="H390" i="3" s="1"/>
  <c r="F390" i="3"/>
  <c r="BQ386" i="3"/>
  <c r="BB386" i="3"/>
  <c r="BF386" i="3"/>
  <c r="BJ385" i="3" s="1"/>
  <c r="BK385" i="3" s="1"/>
  <c r="AU388" i="3"/>
  <c r="AW388" i="3"/>
  <c r="Y389" i="3"/>
  <c r="Z389" i="3" s="1"/>
  <c r="AH389" i="3"/>
  <c r="X389" i="3"/>
  <c r="BM390" i="3" l="1"/>
  <c r="BN390" i="3"/>
  <c r="AN390" i="3"/>
  <c r="BD386" i="3"/>
  <c r="AG390" i="3"/>
  <c r="AX389" i="3"/>
  <c r="BC387" i="3"/>
  <c r="BD387" i="3" s="1"/>
  <c r="AY388" i="3"/>
  <c r="Y390" i="3"/>
  <c r="Z390" i="3" s="1"/>
  <c r="BB387" i="3"/>
  <c r="BF387" i="3"/>
  <c r="BJ386" i="3" s="1"/>
  <c r="BK386" i="3" s="1"/>
  <c r="BQ387" i="3"/>
  <c r="BA388" i="3"/>
  <c r="AV388" i="3"/>
  <c r="AH390" i="3"/>
  <c r="AO390" i="3"/>
  <c r="AU389" i="3"/>
  <c r="AW389" i="3"/>
  <c r="AQ391" i="3"/>
  <c r="B391" i="3"/>
  <c r="A392" i="3"/>
  <c r="AR391" i="3"/>
  <c r="C391" i="3"/>
  <c r="AM391" i="3"/>
  <c r="AK391" i="3"/>
  <c r="S391" i="3"/>
  <c r="R391" i="3"/>
  <c r="AD391" i="3"/>
  <c r="P391" i="3"/>
  <c r="Q391" i="3"/>
  <c r="O391" i="3"/>
  <c r="M391" i="3"/>
  <c r="AE391" i="3"/>
  <c r="V391" i="3"/>
  <c r="U391" i="3"/>
  <c r="AF391" i="3"/>
  <c r="D391" i="3"/>
  <c r="F391" i="3"/>
  <c r="G391" i="3"/>
  <c r="H391" i="3" s="1"/>
  <c r="BN391" i="3" s="1"/>
  <c r="T391" i="3"/>
  <c r="X390" i="3"/>
  <c r="AT389" i="3"/>
  <c r="AT390" i="3" l="1"/>
  <c r="AU390" i="3"/>
  <c r="BC388" i="3"/>
  <c r="BG388" i="3" s="1"/>
  <c r="BH388" i="3" s="1"/>
  <c r="BI388" i="3" s="1"/>
  <c r="AY389" i="3"/>
  <c r="BG387" i="3"/>
  <c r="BH387" i="3" s="1"/>
  <c r="BI387" i="3" s="1"/>
  <c r="BM391" i="3"/>
  <c r="AN391" i="3"/>
  <c r="AW390" i="3"/>
  <c r="Y391" i="3"/>
  <c r="Z391" i="3" s="1"/>
  <c r="BA389" i="3"/>
  <c r="AV389" i="3"/>
  <c r="A393" i="3"/>
  <c r="B392" i="3"/>
  <c r="AR392" i="3"/>
  <c r="AQ392" i="3"/>
  <c r="R392" i="3"/>
  <c r="AK392" i="3"/>
  <c r="C392" i="3"/>
  <c r="AM392" i="3"/>
  <c r="S392" i="3"/>
  <c r="Q392" i="3"/>
  <c r="AD392" i="3"/>
  <c r="P392" i="3"/>
  <c r="O392" i="3"/>
  <c r="M392" i="3"/>
  <c r="AF392" i="3"/>
  <c r="AE392" i="3"/>
  <c r="U392" i="3"/>
  <c r="V392" i="3"/>
  <c r="G392" i="3"/>
  <c r="H392" i="3" s="1"/>
  <c r="D392" i="3"/>
  <c r="F392" i="3"/>
  <c r="BM392" i="3" s="1"/>
  <c r="T392" i="3"/>
  <c r="AG391" i="3"/>
  <c r="AO391" i="3"/>
  <c r="X391" i="3"/>
  <c r="AX390" i="3"/>
  <c r="BQ388" i="3"/>
  <c r="BB388" i="3"/>
  <c r="BF388" i="3"/>
  <c r="BJ387" i="3" s="1"/>
  <c r="BK387" i="3" s="1"/>
  <c r="AH391" i="3"/>
  <c r="BD388" i="3" l="1"/>
  <c r="BC389" i="3"/>
  <c r="BG389" i="3" s="1"/>
  <c r="BH389" i="3" s="1"/>
  <c r="BI389" i="3" s="1"/>
  <c r="AV390" i="3"/>
  <c r="AY390" i="3"/>
  <c r="AU391" i="3"/>
  <c r="BN392" i="3"/>
  <c r="AT391" i="3"/>
  <c r="AO392" i="3"/>
  <c r="AN392" i="3"/>
  <c r="AX391" i="3"/>
  <c r="AW391" i="3"/>
  <c r="Y392" i="3"/>
  <c r="Z392" i="3" s="1"/>
  <c r="AG392" i="3"/>
  <c r="BA390" i="3"/>
  <c r="A394" i="3"/>
  <c r="B393" i="3"/>
  <c r="AR393" i="3"/>
  <c r="AQ393" i="3"/>
  <c r="D393" i="3"/>
  <c r="AK393" i="3"/>
  <c r="AM393" i="3"/>
  <c r="S393" i="3"/>
  <c r="R393" i="3"/>
  <c r="Q393" i="3"/>
  <c r="AD393" i="3"/>
  <c r="P393" i="3"/>
  <c r="AF393" i="3"/>
  <c r="M393" i="3"/>
  <c r="O393" i="3"/>
  <c r="AE393" i="3"/>
  <c r="U393" i="3"/>
  <c r="V393" i="3"/>
  <c r="C393" i="3"/>
  <c r="F393" i="3"/>
  <c r="G393" i="3"/>
  <c r="H393" i="3" s="1"/>
  <c r="T393" i="3"/>
  <c r="BQ389" i="3"/>
  <c r="BF389" i="3"/>
  <c r="BJ388" i="3" s="1"/>
  <c r="BK388" i="3" s="1"/>
  <c r="BB389" i="3"/>
  <c r="AH392" i="3"/>
  <c r="X392" i="3"/>
  <c r="BN393" i="3" l="1"/>
  <c r="BD389" i="3"/>
  <c r="BC390" i="3"/>
  <c r="BD390" i="3" s="1"/>
  <c r="AV391" i="3"/>
  <c r="AN393" i="3"/>
  <c r="AH393" i="3"/>
  <c r="AT392" i="3"/>
  <c r="AX392" i="3"/>
  <c r="X393" i="3"/>
  <c r="AY391" i="3"/>
  <c r="BF390" i="3"/>
  <c r="BJ389" i="3" s="1"/>
  <c r="BK389" i="3" s="1"/>
  <c r="BB390" i="3"/>
  <c r="BQ390" i="3"/>
  <c r="Y393" i="3"/>
  <c r="Z393" i="3" s="1"/>
  <c r="BM393" i="3"/>
  <c r="AG393" i="3"/>
  <c r="AO393" i="3"/>
  <c r="AW392" i="3"/>
  <c r="AQ394" i="3"/>
  <c r="B394" i="3"/>
  <c r="A395" i="3"/>
  <c r="AR394" i="3"/>
  <c r="AM394" i="3"/>
  <c r="S394" i="3"/>
  <c r="R394" i="3"/>
  <c r="D394" i="3"/>
  <c r="AK394" i="3"/>
  <c r="Q394" i="3"/>
  <c r="AD394" i="3"/>
  <c r="P394" i="3"/>
  <c r="AE394" i="3"/>
  <c r="M394" i="3"/>
  <c r="AF394" i="3"/>
  <c r="V394" i="3"/>
  <c r="O394" i="3"/>
  <c r="U394" i="3"/>
  <c r="G394" i="3"/>
  <c r="H394" i="3" s="1"/>
  <c r="C394" i="3"/>
  <c r="F394" i="3"/>
  <c r="T394" i="3"/>
  <c r="AU392" i="3"/>
  <c r="BA391" i="3"/>
  <c r="AU393" i="3" l="1"/>
  <c r="AO394" i="3"/>
  <c r="BG390" i="3"/>
  <c r="BH390" i="3" s="1"/>
  <c r="BI390" i="3" s="1"/>
  <c r="BC391" i="3"/>
  <c r="BG391" i="3" s="1"/>
  <c r="BH391" i="3" s="1"/>
  <c r="BI391" i="3" s="1"/>
  <c r="AX393" i="3"/>
  <c r="AT393" i="3"/>
  <c r="BM394" i="3"/>
  <c r="BN394" i="3"/>
  <c r="AW393" i="3"/>
  <c r="BA392" i="3"/>
  <c r="BF392" i="3" s="1"/>
  <c r="AY392" i="3"/>
  <c r="BQ391" i="3"/>
  <c r="BF391" i="3"/>
  <c r="BJ390" i="3" s="1"/>
  <c r="BK390" i="3" s="1"/>
  <c r="BB391" i="3"/>
  <c r="Y394" i="3"/>
  <c r="Z394" i="3" s="1"/>
  <c r="X394" i="3"/>
  <c r="AV392" i="3"/>
  <c r="A396" i="3"/>
  <c r="B395" i="3"/>
  <c r="AR395" i="3"/>
  <c r="AQ395" i="3"/>
  <c r="T395" i="3"/>
  <c r="R395" i="3"/>
  <c r="AM395" i="3"/>
  <c r="AK395" i="3"/>
  <c r="S395" i="3"/>
  <c r="Q395" i="3"/>
  <c r="AD395" i="3"/>
  <c r="O395" i="3"/>
  <c r="AE395" i="3"/>
  <c r="M395" i="3"/>
  <c r="V395" i="3"/>
  <c r="AF395" i="3"/>
  <c r="U395" i="3"/>
  <c r="C395" i="3"/>
  <c r="D395" i="3"/>
  <c r="G395" i="3"/>
  <c r="H395" i="3" s="1"/>
  <c r="F395" i="3"/>
  <c r="P395" i="3"/>
  <c r="AG394" i="3"/>
  <c r="AH394" i="3"/>
  <c r="AN394" i="3"/>
  <c r="AV393" i="3" l="1"/>
  <c r="BD391" i="3"/>
  <c r="BA393" i="3"/>
  <c r="BF393" i="3" s="1"/>
  <c r="BJ392" i="3" s="1"/>
  <c r="BK392" i="3" s="1"/>
  <c r="AY393" i="3"/>
  <c r="BQ392" i="3"/>
  <c r="BN395" i="3"/>
  <c r="BB392" i="3"/>
  <c r="AO395" i="3"/>
  <c r="BC392" i="3"/>
  <c r="BG392" i="3" s="1"/>
  <c r="BH392" i="3" s="1"/>
  <c r="BI392" i="3" s="1"/>
  <c r="AX394" i="3"/>
  <c r="BJ391" i="3"/>
  <c r="BK391" i="3" s="1"/>
  <c r="X395" i="3"/>
  <c r="AR396" i="3"/>
  <c r="B396" i="3"/>
  <c r="AQ396" i="3"/>
  <c r="A397" i="3"/>
  <c r="D396" i="3"/>
  <c r="C396" i="3"/>
  <c r="AM396" i="3"/>
  <c r="AK396" i="3"/>
  <c r="R396" i="3"/>
  <c r="S396" i="3"/>
  <c r="Q396" i="3"/>
  <c r="AD396" i="3"/>
  <c r="M396" i="3"/>
  <c r="P396" i="3"/>
  <c r="O396" i="3"/>
  <c r="AF396" i="3"/>
  <c r="AE396" i="3"/>
  <c r="V396" i="3"/>
  <c r="G396" i="3"/>
  <c r="H396" i="3" s="1"/>
  <c r="F396" i="3"/>
  <c r="BM396" i="3" s="1"/>
  <c r="U396" i="3"/>
  <c r="T396" i="3"/>
  <c r="Y395" i="3"/>
  <c r="Z395" i="3" s="1"/>
  <c r="AW394" i="3"/>
  <c r="BM395" i="3"/>
  <c r="AG395" i="3"/>
  <c r="AH395" i="3"/>
  <c r="AN395" i="3"/>
  <c r="AT394" i="3"/>
  <c r="AU394" i="3"/>
  <c r="BC393" i="3" l="1"/>
  <c r="BG393" i="3" s="1"/>
  <c r="BH393" i="3" s="1"/>
  <c r="BI393" i="3" s="1"/>
  <c r="AY394" i="3"/>
  <c r="BB393" i="3"/>
  <c r="BN396" i="3"/>
  <c r="BQ393" i="3"/>
  <c r="BD392" i="3"/>
  <c r="AN396" i="3"/>
  <c r="AX395" i="3"/>
  <c r="AG396" i="3"/>
  <c r="AU395" i="3"/>
  <c r="AT395" i="3"/>
  <c r="AV394" i="3"/>
  <c r="BA394" i="3"/>
  <c r="AR397" i="3"/>
  <c r="B397" i="3"/>
  <c r="AQ397" i="3"/>
  <c r="A398" i="3"/>
  <c r="C397" i="3"/>
  <c r="AK397" i="3"/>
  <c r="AM397" i="3"/>
  <c r="S397" i="3"/>
  <c r="T397" i="3"/>
  <c r="Q397" i="3"/>
  <c r="R397" i="3"/>
  <c r="AD397" i="3"/>
  <c r="P397" i="3"/>
  <c r="O397" i="3"/>
  <c r="U397" i="3"/>
  <c r="V397" i="3"/>
  <c r="M397" i="3"/>
  <c r="AF397" i="3"/>
  <c r="AE397" i="3"/>
  <c r="G397" i="3"/>
  <c r="H397" i="3" s="1"/>
  <c r="F397" i="3"/>
  <c r="BM397" i="3" s="1"/>
  <c r="D397" i="3"/>
  <c r="AW395" i="3"/>
  <c r="Y396" i="3"/>
  <c r="Z396" i="3" s="1"/>
  <c r="AH396" i="3"/>
  <c r="AO396" i="3"/>
  <c r="X396" i="3"/>
  <c r="BD393" i="3" l="1"/>
  <c r="BC394" i="3"/>
  <c r="BD394" i="3" s="1"/>
  <c r="AY395" i="3"/>
  <c r="AO397" i="3"/>
  <c r="AW396" i="3"/>
  <c r="AV395" i="3"/>
  <c r="AG397" i="3"/>
  <c r="AN397" i="3"/>
  <c r="X397" i="3"/>
  <c r="AU396" i="3"/>
  <c r="Y397" i="3"/>
  <c r="Z397" i="3" s="1"/>
  <c r="BN397" i="3"/>
  <c r="AQ398" i="3"/>
  <c r="B398" i="3"/>
  <c r="A399" i="3"/>
  <c r="AR398" i="3"/>
  <c r="AK398" i="3"/>
  <c r="S398" i="3"/>
  <c r="AM398" i="3"/>
  <c r="T398" i="3"/>
  <c r="R398" i="3"/>
  <c r="Q398" i="3"/>
  <c r="AD398" i="3"/>
  <c r="P398" i="3"/>
  <c r="O398" i="3"/>
  <c r="AF398" i="3"/>
  <c r="V398" i="3"/>
  <c r="U398" i="3"/>
  <c r="AE398" i="3"/>
  <c r="M398" i="3"/>
  <c r="D398" i="3"/>
  <c r="F398" i="3"/>
  <c r="C398" i="3"/>
  <c r="G398" i="3"/>
  <c r="H398" i="3" s="1"/>
  <c r="BQ394" i="3"/>
  <c r="BF394" i="3"/>
  <c r="BJ393" i="3" s="1"/>
  <c r="BK393" i="3" s="1"/>
  <c r="BB394" i="3"/>
  <c r="AX396" i="3"/>
  <c r="AH397" i="3"/>
  <c r="BA395" i="3"/>
  <c r="AT396" i="3"/>
  <c r="BC395" i="3" l="1"/>
  <c r="BD395" i="3" s="1"/>
  <c r="BG394" i="3"/>
  <c r="BH394" i="3" s="1"/>
  <c r="BI394" i="3" s="1"/>
  <c r="AN398" i="3"/>
  <c r="AY396" i="3"/>
  <c r="BN398" i="3"/>
  <c r="BM398" i="3"/>
  <c r="AX397" i="3"/>
  <c r="AG398" i="3"/>
  <c r="BQ395" i="3"/>
  <c r="BB395" i="3"/>
  <c r="BF395" i="3"/>
  <c r="BJ394" i="3" s="1"/>
  <c r="BK394" i="3" s="1"/>
  <c r="Y398" i="3"/>
  <c r="Z398" i="3" s="1"/>
  <c r="A400" i="3"/>
  <c r="B399" i="3"/>
  <c r="AR399" i="3"/>
  <c r="AQ399" i="3"/>
  <c r="D399" i="3"/>
  <c r="T399" i="3"/>
  <c r="AM399" i="3"/>
  <c r="AK399" i="3"/>
  <c r="R399" i="3"/>
  <c r="S399" i="3"/>
  <c r="AD399" i="3"/>
  <c r="P399" i="3"/>
  <c r="O399" i="3"/>
  <c r="M399" i="3"/>
  <c r="V399" i="3"/>
  <c r="U399" i="3"/>
  <c r="AF399" i="3"/>
  <c r="AE399" i="3"/>
  <c r="C399" i="3"/>
  <c r="G399" i="3"/>
  <c r="H399" i="3" s="1"/>
  <c r="Q399" i="3"/>
  <c r="F399" i="3"/>
  <c r="X398" i="3"/>
  <c r="AH398" i="3"/>
  <c r="AO398" i="3"/>
  <c r="AU397" i="3"/>
  <c r="BA396" i="3"/>
  <c r="AV396" i="3"/>
  <c r="AT397" i="3"/>
  <c r="AW397" i="3"/>
  <c r="BG395" i="3" l="1"/>
  <c r="BH395" i="3" s="1"/>
  <c r="BI395" i="3" s="1"/>
  <c r="BC396" i="3"/>
  <c r="BD396" i="3" s="1"/>
  <c r="AN399" i="3"/>
  <c r="AV397" i="3"/>
  <c r="AW398" i="3"/>
  <c r="BG396" i="3"/>
  <c r="BH396" i="3" s="1"/>
  <c r="BI396" i="3" s="1"/>
  <c r="BA397" i="3"/>
  <c r="AY397" i="3"/>
  <c r="BQ396" i="3"/>
  <c r="BB396" i="3"/>
  <c r="BF396" i="3"/>
  <c r="BJ395" i="3" s="1"/>
  <c r="BK395" i="3" s="1"/>
  <c r="AH399" i="3"/>
  <c r="AG399" i="3"/>
  <c r="X399" i="3"/>
  <c r="AT398" i="3"/>
  <c r="AU398" i="3"/>
  <c r="AX398" i="3"/>
  <c r="BM399" i="3"/>
  <c r="BN399" i="3"/>
  <c r="AO399" i="3"/>
  <c r="Y399" i="3"/>
  <c r="Z399" i="3" s="1"/>
  <c r="AR400" i="3"/>
  <c r="B400" i="3"/>
  <c r="AQ400" i="3"/>
  <c r="A401" i="3"/>
  <c r="D400" i="3"/>
  <c r="AK400" i="3"/>
  <c r="T400" i="3"/>
  <c r="S400" i="3"/>
  <c r="AM400" i="3"/>
  <c r="Q400" i="3"/>
  <c r="R400" i="3"/>
  <c r="P400" i="3"/>
  <c r="AD400" i="3"/>
  <c r="M400" i="3"/>
  <c r="O400" i="3"/>
  <c r="AF400" i="3"/>
  <c r="AE400" i="3"/>
  <c r="V400" i="3"/>
  <c r="U400" i="3"/>
  <c r="C400" i="3"/>
  <c r="G400" i="3"/>
  <c r="H400" i="3" s="1"/>
  <c r="BN400" i="3" s="1"/>
  <c r="F400" i="3"/>
  <c r="BM400" i="3" l="1"/>
  <c r="BC397" i="3"/>
  <c r="BD397" i="3" s="1"/>
  <c r="AY398" i="3"/>
  <c r="AO400" i="3"/>
  <c r="AU399" i="3"/>
  <c r="AT399" i="3"/>
  <c r="AW399" i="3"/>
  <c r="Y400" i="3"/>
  <c r="Z400" i="3" s="1"/>
  <c r="X400" i="3"/>
  <c r="AG400" i="3"/>
  <c r="AH400" i="3"/>
  <c r="AN400" i="3"/>
  <c r="AX399" i="3"/>
  <c r="AR401" i="3"/>
  <c r="B401" i="3"/>
  <c r="AQ401" i="3"/>
  <c r="A402" i="3"/>
  <c r="D401" i="3"/>
  <c r="AM401" i="3"/>
  <c r="S401" i="3"/>
  <c r="Q401" i="3"/>
  <c r="R401" i="3"/>
  <c r="AK401" i="3"/>
  <c r="AD401" i="3"/>
  <c r="P401" i="3"/>
  <c r="O401" i="3"/>
  <c r="AE401" i="3"/>
  <c r="AF401" i="3"/>
  <c r="M401" i="3"/>
  <c r="V401" i="3"/>
  <c r="U401" i="3"/>
  <c r="G401" i="3"/>
  <c r="H401" i="3" s="1"/>
  <c r="BN401" i="3" s="1"/>
  <c r="F401" i="3"/>
  <c r="C401" i="3"/>
  <c r="T401" i="3"/>
  <c r="AV398" i="3"/>
  <c r="BA398" i="3"/>
  <c r="BQ397" i="3"/>
  <c r="BB397" i="3"/>
  <c r="BF397" i="3"/>
  <c r="BJ396" i="3" s="1"/>
  <c r="BK396" i="3" s="1"/>
  <c r="AO401" i="3" l="1"/>
  <c r="BG397" i="3"/>
  <c r="BH397" i="3" s="1"/>
  <c r="BI397" i="3" s="1"/>
  <c r="AV399" i="3"/>
  <c r="AY399" i="3"/>
  <c r="BC398" i="3"/>
  <c r="BG398" i="3" s="1"/>
  <c r="BH398" i="3" s="1"/>
  <c r="BI398" i="3" s="1"/>
  <c r="AT400" i="3"/>
  <c r="X401" i="3"/>
  <c r="AH401" i="3"/>
  <c r="BA399" i="3"/>
  <c r="BB399" i="3" s="1"/>
  <c r="AU400" i="3"/>
  <c r="BB398" i="3"/>
  <c r="BQ398" i="3"/>
  <c r="BF398" i="3"/>
  <c r="BJ397" i="3" s="1"/>
  <c r="BK397" i="3" s="1"/>
  <c r="AQ402" i="3"/>
  <c r="B402" i="3"/>
  <c r="A403" i="3"/>
  <c r="AR402" i="3"/>
  <c r="AM402" i="3"/>
  <c r="S402" i="3"/>
  <c r="AK402" i="3"/>
  <c r="T402" i="3"/>
  <c r="Q402" i="3"/>
  <c r="AD402" i="3"/>
  <c r="P402" i="3"/>
  <c r="AE402" i="3"/>
  <c r="U402" i="3"/>
  <c r="V402" i="3"/>
  <c r="O402" i="3"/>
  <c r="M402" i="3"/>
  <c r="AF402" i="3"/>
  <c r="R402" i="3"/>
  <c r="C402" i="3"/>
  <c r="G402" i="3"/>
  <c r="H402" i="3" s="1"/>
  <c r="D402" i="3"/>
  <c r="F402" i="3"/>
  <c r="Y401" i="3"/>
  <c r="Z401" i="3" s="1"/>
  <c r="BM401" i="3"/>
  <c r="AG401" i="3"/>
  <c r="AN401" i="3"/>
  <c r="AX400" i="3"/>
  <c r="AW400" i="3"/>
  <c r="AO402" i="3" l="1"/>
  <c r="BC399" i="3"/>
  <c r="BG399" i="3" s="1"/>
  <c r="BH399" i="3" s="1"/>
  <c r="BI399" i="3" s="1"/>
  <c r="BM402" i="3"/>
  <c r="BD398" i="3"/>
  <c r="AY400" i="3"/>
  <c r="BQ399" i="3"/>
  <c r="AV400" i="3"/>
  <c r="AW401" i="3"/>
  <c r="BF399" i="3"/>
  <c r="BJ398" i="3" s="1"/>
  <c r="BK398" i="3" s="1"/>
  <c r="AH402" i="3"/>
  <c r="Y402" i="3"/>
  <c r="Z402" i="3" s="1"/>
  <c r="A404" i="3"/>
  <c r="B403" i="3"/>
  <c r="AR403" i="3"/>
  <c r="AQ403" i="3"/>
  <c r="D403" i="3"/>
  <c r="AM403" i="3"/>
  <c r="AK403" i="3"/>
  <c r="Q403" i="3"/>
  <c r="R403" i="3"/>
  <c r="S403" i="3"/>
  <c r="AD403" i="3"/>
  <c r="P403" i="3"/>
  <c r="O403" i="3"/>
  <c r="AE403" i="3"/>
  <c r="AF403" i="3"/>
  <c r="M403" i="3"/>
  <c r="V403" i="3"/>
  <c r="U403" i="3"/>
  <c r="G403" i="3"/>
  <c r="H403" i="3" s="1"/>
  <c r="C403" i="3"/>
  <c r="F403" i="3"/>
  <c r="T403" i="3"/>
  <c r="AT401" i="3"/>
  <c r="AX401" i="3"/>
  <c r="AU401" i="3"/>
  <c r="X402" i="3"/>
  <c r="AN402" i="3"/>
  <c r="BA400" i="3"/>
  <c r="BN402" i="3"/>
  <c r="AG402" i="3"/>
  <c r="BN403" i="3" l="1"/>
  <c r="BD399" i="3"/>
  <c r="BC400" i="3"/>
  <c r="BD400" i="3" s="1"/>
  <c r="AW402" i="3"/>
  <c r="AG403" i="3"/>
  <c r="AY401" i="3"/>
  <c r="AN403" i="3"/>
  <c r="AU402" i="3"/>
  <c r="AX402" i="3"/>
  <c r="AT402" i="3"/>
  <c r="Y403" i="3"/>
  <c r="Z403" i="3" s="1"/>
  <c r="X403" i="3"/>
  <c r="BQ400" i="3"/>
  <c r="BF400" i="3"/>
  <c r="BJ399" i="3" s="1"/>
  <c r="BK399" i="3" s="1"/>
  <c r="BB400" i="3"/>
  <c r="BA401" i="3"/>
  <c r="AV401" i="3"/>
  <c r="AR404" i="3"/>
  <c r="B404" i="3"/>
  <c r="AQ404" i="3"/>
  <c r="A405" i="3"/>
  <c r="D404" i="3"/>
  <c r="S404" i="3"/>
  <c r="Q404" i="3"/>
  <c r="AM404" i="3"/>
  <c r="AK404" i="3"/>
  <c r="P404" i="3"/>
  <c r="R404" i="3"/>
  <c r="AD404" i="3"/>
  <c r="M404" i="3"/>
  <c r="O404" i="3"/>
  <c r="AE404" i="3"/>
  <c r="AF404" i="3"/>
  <c r="U404" i="3"/>
  <c r="V404" i="3"/>
  <c r="C404" i="3"/>
  <c r="F404" i="3"/>
  <c r="G404" i="3"/>
  <c r="H404" i="3" s="1"/>
  <c r="T404" i="3"/>
  <c r="BM403" i="3"/>
  <c r="AH403" i="3"/>
  <c r="AO403" i="3"/>
  <c r="BN404" i="3" l="1"/>
  <c r="AV402" i="3"/>
  <c r="BG400" i="3"/>
  <c r="BH400" i="3" s="1"/>
  <c r="BI400" i="3" s="1"/>
  <c r="AO404" i="3"/>
  <c r="AY402" i="3"/>
  <c r="BA402" i="3"/>
  <c r="BF402" i="3" s="1"/>
  <c r="BC401" i="3"/>
  <c r="BD401" i="3" s="1"/>
  <c r="AX403" i="3"/>
  <c r="AW403" i="3"/>
  <c r="AG404" i="3"/>
  <c r="X404" i="3"/>
  <c r="AR405" i="3"/>
  <c r="B405" i="3"/>
  <c r="AQ405" i="3"/>
  <c r="A406" i="3"/>
  <c r="AM405" i="3"/>
  <c r="T405" i="3"/>
  <c r="AK405" i="3"/>
  <c r="C405" i="3"/>
  <c r="S405" i="3"/>
  <c r="Q405" i="3"/>
  <c r="R405" i="3"/>
  <c r="AD405" i="3"/>
  <c r="P405" i="3"/>
  <c r="O405" i="3"/>
  <c r="M405" i="3"/>
  <c r="AF405" i="3"/>
  <c r="U405" i="3"/>
  <c r="V405" i="3"/>
  <c r="AE405" i="3"/>
  <c r="D405" i="3"/>
  <c r="F405" i="3"/>
  <c r="G405" i="3"/>
  <c r="H405" i="3" s="1"/>
  <c r="AU403" i="3"/>
  <c r="AT403" i="3"/>
  <c r="Y404" i="3"/>
  <c r="Z404" i="3" s="1"/>
  <c r="BM404" i="3"/>
  <c r="AH404" i="3"/>
  <c r="AN404" i="3"/>
  <c r="BQ401" i="3"/>
  <c r="BB401" i="3"/>
  <c r="BF401" i="3"/>
  <c r="BJ400" i="3" s="1"/>
  <c r="BK400" i="3" s="1"/>
  <c r="BC402" i="3" l="1"/>
  <c r="BD402" i="3" s="1"/>
  <c r="BN405" i="3"/>
  <c r="BQ402" i="3"/>
  <c r="AO405" i="3"/>
  <c r="BM405" i="3"/>
  <c r="AU404" i="3"/>
  <c r="BB402" i="3"/>
  <c r="BG401" i="3"/>
  <c r="BH401" i="3" s="1"/>
  <c r="BI401" i="3" s="1"/>
  <c r="AG405" i="3"/>
  <c r="AY403" i="3"/>
  <c r="AW404" i="3"/>
  <c r="AT404" i="3"/>
  <c r="AV403" i="3"/>
  <c r="BA403" i="3"/>
  <c r="AN405" i="3"/>
  <c r="BJ401" i="3"/>
  <c r="BK401" i="3" s="1"/>
  <c r="Y405" i="3"/>
  <c r="Z405" i="3" s="1"/>
  <c r="AQ406" i="3"/>
  <c r="B406" i="3"/>
  <c r="A407" i="3"/>
  <c r="AR406" i="3"/>
  <c r="C406" i="3"/>
  <c r="AK406" i="3"/>
  <c r="S406" i="3"/>
  <c r="Q406" i="3"/>
  <c r="AM406" i="3"/>
  <c r="R406" i="3"/>
  <c r="AD406" i="3"/>
  <c r="P406" i="3"/>
  <c r="M406" i="3"/>
  <c r="V406" i="3"/>
  <c r="O406" i="3"/>
  <c r="AF406" i="3"/>
  <c r="AE406" i="3"/>
  <c r="U406" i="3"/>
  <c r="D406" i="3"/>
  <c r="G406" i="3"/>
  <c r="H406" i="3" s="1"/>
  <c r="F406" i="3"/>
  <c r="BM406" i="3" s="1"/>
  <c r="T406" i="3"/>
  <c r="AX404" i="3"/>
  <c r="AH405" i="3"/>
  <c r="X405" i="3"/>
  <c r="AV404" i="3" l="1"/>
  <c r="AY404" i="3"/>
  <c r="BG402" i="3"/>
  <c r="BH402" i="3" s="1"/>
  <c r="BI402" i="3" s="1"/>
  <c r="AX405" i="3"/>
  <c r="BC403" i="3"/>
  <c r="BG403" i="3" s="1"/>
  <c r="BH403" i="3" s="1"/>
  <c r="BI403" i="3" s="1"/>
  <c r="AG406" i="3"/>
  <c r="AN406" i="3"/>
  <c r="AH406" i="3"/>
  <c r="X406" i="3"/>
  <c r="Y406" i="3"/>
  <c r="Z406" i="3" s="1"/>
  <c r="BN406" i="3"/>
  <c r="AO406" i="3"/>
  <c r="BA404" i="3"/>
  <c r="AT405" i="3"/>
  <c r="A408" i="3"/>
  <c r="B407" i="3"/>
  <c r="AR407" i="3"/>
  <c r="AQ407" i="3"/>
  <c r="C407" i="3"/>
  <c r="AM407" i="3"/>
  <c r="Q407" i="3"/>
  <c r="AK407" i="3"/>
  <c r="S407" i="3"/>
  <c r="AD407" i="3"/>
  <c r="T407" i="3"/>
  <c r="R407" i="3"/>
  <c r="P407" i="3"/>
  <c r="O407" i="3"/>
  <c r="U407" i="3"/>
  <c r="M407" i="3"/>
  <c r="AE407" i="3"/>
  <c r="AF407" i="3"/>
  <c r="V407" i="3"/>
  <c r="D407" i="3"/>
  <c r="G407" i="3"/>
  <c r="H407" i="3" s="1"/>
  <c r="F407" i="3"/>
  <c r="BB403" i="3"/>
  <c r="BF403" i="3"/>
  <c r="BJ402" i="3" s="1"/>
  <c r="BK402" i="3" s="1"/>
  <c r="BQ403" i="3"/>
  <c r="AU405" i="3"/>
  <c r="AW405" i="3"/>
  <c r="BC404" i="3" l="1"/>
  <c r="BD404" i="3" s="1"/>
  <c r="AO407" i="3"/>
  <c r="BD403" i="3"/>
  <c r="BN407" i="3"/>
  <c r="AY405" i="3"/>
  <c r="AU406" i="3"/>
  <c r="AW406" i="3"/>
  <c r="AG407" i="3"/>
  <c r="AR408" i="3"/>
  <c r="B408" i="3"/>
  <c r="AQ408" i="3"/>
  <c r="A409" i="3"/>
  <c r="AM408" i="3"/>
  <c r="S408" i="3"/>
  <c r="AK408" i="3"/>
  <c r="D408" i="3"/>
  <c r="Q408" i="3"/>
  <c r="T408" i="3"/>
  <c r="R408" i="3"/>
  <c r="AD408" i="3"/>
  <c r="P408" i="3"/>
  <c r="O408" i="3"/>
  <c r="AE408" i="3"/>
  <c r="AF408" i="3"/>
  <c r="M408" i="3"/>
  <c r="U408" i="3"/>
  <c r="V408" i="3"/>
  <c r="C408" i="3"/>
  <c r="G408" i="3"/>
  <c r="H408" i="3" s="1"/>
  <c r="F408" i="3"/>
  <c r="BM408" i="3" s="1"/>
  <c r="Y407" i="3"/>
  <c r="Z407" i="3" s="1"/>
  <c r="BA405" i="3"/>
  <c r="AV405" i="3"/>
  <c r="BM407" i="3"/>
  <c r="AH407" i="3"/>
  <c r="AN407" i="3"/>
  <c r="AT406" i="3"/>
  <c r="BF404" i="3"/>
  <c r="BJ403" i="3" s="1"/>
  <c r="BK403" i="3" s="1"/>
  <c r="BB404" i="3"/>
  <c r="BQ404" i="3"/>
  <c r="X407" i="3"/>
  <c r="AX406" i="3"/>
  <c r="BG404" i="3" l="1"/>
  <c r="BH404" i="3" s="1"/>
  <c r="BI404" i="3" s="1"/>
  <c r="AO408" i="3"/>
  <c r="AY406" i="3"/>
  <c r="BC405" i="3"/>
  <c r="BG405" i="3" s="1"/>
  <c r="BH405" i="3" s="1"/>
  <c r="BI405" i="3" s="1"/>
  <c r="BN408" i="3"/>
  <c r="AU407" i="3"/>
  <c r="AG408" i="3"/>
  <c r="AN408" i="3"/>
  <c r="AW407" i="3"/>
  <c r="Y408" i="3"/>
  <c r="Z408" i="3" s="1"/>
  <c r="AR409" i="3"/>
  <c r="B409" i="3"/>
  <c r="AQ409" i="3"/>
  <c r="A410" i="3"/>
  <c r="AM409" i="3"/>
  <c r="T409" i="3"/>
  <c r="S409" i="3"/>
  <c r="AK409" i="3"/>
  <c r="Q409" i="3"/>
  <c r="P409" i="3"/>
  <c r="AD409" i="3"/>
  <c r="O409" i="3"/>
  <c r="AE409" i="3"/>
  <c r="AF409" i="3"/>
  <c r="V409" i="3"/>
  <c r="M409" i="3"/>
  <c r="U409" i="3"/>
  <c r="R409" i="3"/>
  <c r="F409" i="3"/>
  <c r="C409" i="3"/>
  <c r="D409" i="3"/>
  <c r="G409" i="3"/>
  <c r="H409" i="3" s="1"/>
  <c r="AX407" i="3"/>
  <c r="AT407" i="3"/>
  <c r="X408" i="3"/>
  <c r="AH408" i="3"/>
  <c r="AV406" i="3"/>
  <c r="BA406" i="3"/>
  <c r="BB405" i="3"/>
  <c r="BF405" i="3"/>
  <c r="BQ405" i="3"/>
  <c r="BD405" i="3" l="1"/>
  <c r="BC406" i="3"/>
  <c r="BG406" i="3" s="1"/>
  <c r="BH406" i="3" s="1"/>
  <c r="BI406" i="3" s="1"/>
  <c r="AY407" i="3"/>
  <c r="BN409" i="3"/>
  <c r="AX408" i="3"/>
  <c r="AO409" i="3"/>
  <c r="AW408" i="3"/>
  <c r="AT408" i="3"/>
  <c r="X409" i="3"/>
  <c r="BJ404" i="3"/>
  <c r="BK404" i="3" s="1"/>
  <c r="BF406" i="3"/>
  <c r="BJ405" i="3" s="1"/>
  <c r="BK405" i="3" s="1"/>
  <c r="BB406" i="3"/>
  <c r="BQ406" i="3"/>
  <c r="AV407" i="3"/>
  <c r="BA407" i="3"/>
  <c r="Y409" i="3"/>
  <c r="Z409" i="3" s="1"/>
  <c r="AU408" i="3"/>
  <c r="BM409" i="3"/>
  <c r="AG409" i="3"/>
  <c r="AH409" i="3"/>
  <c r="AN409" i="3"/>
  <c r="AQ410" i="3"/>
  <c r="B410" i="3"/>
  <c r="A411" i="3"/>
  <c r="AR410" i="3"/>
  <c r="D410" i="3"/>
  <c r="C410" i="3"/>
  <c r="AK410" i="3"/>
  <c r="AM410" i="3"/>
  <c r="T410" i="3"/>
  <c r="Q410" i="3"/>
  <c r="S410" i="3"/>
  <c r="R410" i="3"/>
  <c r="AD410" i="3"/>
  <c r="P410" i="3"/>
  <c r="O410" i="3"/>
  <c r="AE410" i="3"/>
  <c r="AF410" i="3"/>
  <c r="M410" i="3"/>
  <c r="U410" i="3"/>
  <c r="V410" i="3"/>
  <c r="F410" i="3"/>
  <c r="G410" i="3"/>
  <c r="H410" i="3" s="1"/>
  <c r="BD406" i="3" l="1"/>
  <c r="AY408" i="3"/>
  <c r="BN410" i="3"/>
  <c r="BC407" i="3"/>
  <c r="BD407" i="3" s="1"/>
  <c r="AN410" i="3"/>
  <c r="BM410" i="3"/>
  <c r="AU409" i="3"/>
  <c r="BA408" i="3"/>
  <c r="BQ408" i="3" s="1"/>
  <c r="AG410" i="3"/>
  <c r="AT409" i="3"/>
  <c r="AV408" i="3"/>
  <c r="BB407" i="3"/>
  <c r="BQ407" i="3"/>
  <c r="BF407" i="3"/>
  <c r="BJ406" i="3" s="1"/>
  <c r="BK406" i="3" s="1"/>
  <c r="X410" i="3"/>
  <c r="AW409" i="3"/>
  <c r="Y410" i="3"/>
  <c r="Z410" i="3" s="1"/>
  <c r="A412" i="3"/>
  <c r="B411" i="3"/>
  <c r="AR411" i="3"/>
  <c r="AQ411" i="3"/>
  <c r="AM411" i="3"/>
  <c r="AK411" i="3"/>
  <c r="AD411" i="3"/>
  <c r="P411" i="3"/>
  <c r="S411" i="3"/>
  <c r="R411" i="3"/>
  <c r="Q411" i="3"/>
  <c r="O411" i="3"/>
  <c r="AE411" i="3"/>
  <c r="U411" i="3"/>
  <c r="AF411" i="3"/>
  <c r="M411" i="3"/>
  <c r="V411" i="3"/>
  <c r="C411" i="3"/>
  <c r="D411" i="3"/>
  <c r="F411" i="3"/>
  <c r="BM411" i="3" s="1"/>
  <c r="G411" i="3"/>
  <c r="H411" i="3" s="1"/>
  <c r="BN411" i="3" s="1"/>
  <c r="T411" i="3"/>
  <c r="AH410" i="3"/>
  <c r="AO410" i="3"/>
  <c r="AX409" i="3"/>
  <c r="BC408" i="3" l="1"/>
  <c r="BD408" i="3" s="1"/>
  <c r="BG407" i="3"/>
  <c r="BH407" i="3" s="1"/>
  <c r="BI407" i="3" s="1"/>
  <c r="BB408" i="3"/>
  <c r="AV409" i="3"/>
  <c r="BF408" i="3"/>
  <c r="BJ407" i="3" s="1"/>
  <c r="BK407" i="3" s="1"/>
  <c r="AO411" i="3"/>
  <c r="Y411" i="3"/>
  <c r="Z411" i="3" s="1"/>
  <c r="AR412" i="3"/>
  <c r="B412" i="3"/>
  <c r="AQ412" i="3"/>
  <c r="A413" i="3"/>
  <c r="AM412" i="3"/>
  <c r="AK412" i="3"/>
  <c r="T412" i="3"/>
  <c r="S412" i="3"/>
  <c r="Q412" i="3"/>
  <c r="AD412" i="3"/>
  <c r="P412" i="3"/>
  <c r="O412" i="3"/>
  <c r="M412" i="3"/>
  <c r="AE412" i="3"/>
  <c r="AF412" i="3"/>
  <c r="V412" i="3"/>
  <c r="U412" i="3"/>
  <c r="R412" i="3"/>
  <c r="C412" i="3"/>
  <c r="G412" i="3"/>
  <c r="H412" i="3" s="1"/>
  <c r="F412" i="3"/>
  <c r="BM412" i="3" s="1"/>
  <c r="D412" i="3"/>
  <c r="X411" i="3"/>
  <c r="AX410" i="3"/>
  <c r="AG411" i="3"/>
  <c r="AH411" i="3"/>
  <c r="AN411" i="3"/>
  <c r="AW410" i="3"/>
  <c r="BA409" i="3"/>
  <c r="AY409" i="3"/>
  <c r="AT410" i="3"/>
  <c r="AU410" i="3"/>
  <c r="BG408" i="3" l="1"/>
  <c r="BH408" i="3" s="1"/>
  <c r="BI408" i="3" s="1"/>
  <c r="AY410" i="3"/>
  <c r="BC409" i="3"/>
  <c r="BD409" i="3" s="1"/>
  <c r="AT411" i="3"/>
  <c r="AN412" i="3"/>
  <c r="AU411" i="3"/>
  <c r="AX411" i="3"/>
  <c r="AV410" i="3"/>
  <c r="BA410" i="3"/>
  <c r="X412" i="3"/>
  <c r="BQ409" i="3"/>
  <c r="BF409" i="3"/>
  <c r="BJ408" i="3" s="1"/>
  <c r="BK408" i="3" s="1"/>
  <c r="BB409" i="3"/>
  <c r="Y412" i="3"/>
  <c r="Z412" i="3" s="1"/>
  <c r="AR413" i="3"/>
  <c r="B413" i="3"/>
  <c r="AQ413" i="3"/>
  <c r="A414" i="3"/>
  <c r="S413" i="3"/>
  <c r="Q413" i="3"/>
  <c r="D413" i="3"/>
  <c r="AM413" i="3"/>
  <c r="AK413" i="3"/>
  <c r="C413" i="3"/>
  <c r="R413" i="3"/>
  <c r="AD413" i="3"/>
  <c r="P413" i="3"/>
  <c r="M413" i="3"/>
  <c r="AE413" i="3"/>
  <c r="AF413" i="3"/>
  <c r="O413" i="3"/>
  <c r="V413" i="3"/>
  <c r="U413" i="3"/>
  <c r="G413" i="3"/>
  <c r="H413" i="3" s="1"/>
  <c r="F413" i="3"/>
  <c r="T413" i="3"/>
  <c r="AW411" i="3"/>
  <c r="BN412" i="3"/>
  <c r="AG412" i="3"/>
  <c r="AH412" i="3"/>
  <c r="AO412" i="3"/>
  <c r="AV411" i="3" l="1"/>
  <c r="BC410" i="3"/>
  <c r="BD410" i="3" s="1"/>
  <c r="AY411" i="3"/>
  <c r="BN413" i="3"/>
  <c r="BG409" i="3"/>
  <c r="BH409" i="3" s="1"/>
  <c r="BI409" i="3" s="1"/>
  <c r="AN413" i="3"/>
  <c r="AH413" i="3"/>
  <c r="Y413" i="3"/>
  <c r="Z413" i="3" s="1"/>
  <c r="X413" i="3"/>
  <c r="AX412" i="3"/>
  <c r="BM413" i="3"/>
  <c r="AG413" i="3"/>
  <c r="AO413" i="3"/>
  <c r="AT412" i="3"/>
  <c r="BA411" i="3"/>
  <c r="AQ414" i="3"/>
  <c r="B414" i="3"/>
  <c r="A415" i="3"/>
  <c r="AR414" i="3"/>
  <c r="D414" i="3"/>
  <c r="AM414" i="3"/>
  <c r="AK414" i="3"/>
  <c r="S414" i="3"/>
  <c r="R414" i="3"/>
  <c r="Q414" i="3"/>
  <c r="AD414" i="3"/>
  <c r="P414" i="3"/>
  <c r="O414" i="3"/>
  <c r="AE414" i="3"/>
  <c r="M414" i="3"/>
  <c r="AF414" i="3"/>
  <c r="V414" i="3"/>
  <c r="U414" i="3"/>
  <c r="F414" i="3"/>
  <c r="C414" i="3"/>
  <c r="G414" i="3"/>
  <c r="H414" i="3" s="1"/>
  <c r="T414" i="3"/>
  <c r="BQ410" i="3"/>
  <c r="BF410" i="3"/>
  <c r="BJ409" i="3" s="1"/>
  <c r="BK409" i="3" s="1"/>
  <c r="BB410" i="3"/>
  <c r="AW412" i="3"/>
  <c r="AU412" i="3"/>
  <c r="BC411" i="3" l="1"/>
  <c r="BD411" i="3" s="1"/>
  <c r="BN414" i="3"/>
  <c r="AV412" i="3"/>
  <c r="BG410" i="3"/>
  <c r="BH410" i="3" s="1"/>
  <c r="BI410" i="3" s="1"/>
  <c r="AY412" i="3"/>
  <c r="AT413" i="3"/>
  <c r="AN414" i="3"/>
  <c r="AW413" i="3"/>
  <c r="AX413" i="3"/>
  <c r="Y414" i="3"/>
  <c r="Z414" i="3" s="1"/>
  <c r="X414" i="3"/>
  <c r="A416" i="3"/>
  <c r="B415" i="3"/>
  <c r="AR415" i="3"/>
  <c r="AQ415" i="3"/>
  <c r="C415" i="3"/>
  <c r="AK415" i="3"/>
  <c r="AM415" i="3"/>
  <c r="S415" i="3"/>
  <c r="Q415" i="3"/>
  <c r="AD415" i="3"/>
  <c r="O415" i="3"/>
  <c r="M415" i="3"/>
  <c r="AF415" i="3"/>
  <c r="P415" i="3"/>
  <c r="AE415" i="3"/>
  <c r="V415" i="3"/>
  <c r="U415" i="3"/>
  <c r="R415" i="3"/>
  <c r="G415" i="3"/>
  <c r="H415" i="3" s="1"/>
  <c r="D415" i="3"/>
  <c r="F415" i="3"/>
  <c r="BM415" i="3" s="1"/>
  <c r="T415" i="3"/>
  <c r="BM414" i="3"/>
  <c r="AH414" i="3"/>
  <c r="AO414" i="3"/>
  <c r="BA412" i="3"/>
  <c r="AU413" i="3"/>
  <c r="BB411" i="3"/>
  <c r="BQ411" i="3"/>
  <c r="BF411" i="3"/>
  <c r="BJ410" i="3" s="1"/>
  <c r="BK410" i="3" s="1"/>
  <c r="AG414" i="3"/>
  <c r="BG411" i="3" l="1"/>
  <c r="BH411" i="3" s="1"/>
  <c r="BI411" i="3" s="1"/>
  <c r="BC412" i="3"/>
  <c r="BD412" i="3" s="1"/>
  <c r="AO415" i="3"/>
  <c r="AY413" i="3"/>
  <c r="AV413" i="3"/>
  <c r="AT414" i="3"/>
  <c r="BA413" i="3"/>
  <c r="BB413" i="3" s="1"/>
  <c r="AX414" i="3"/>
  <c r="AH415" i="3"/>
  <c r="Y415" i="3"/>
  <c r="Z415" i="3" s="1"/>
  <c r="A417" i="3"/>
  <c r="B416" i="3"/>
  <c r="AQ416" i="3"/>
  <c r="AR416" i="3"/>
  <c r="AM416" i="3"/>
  <c r="AK416" i="3"/>
  <c r="R416" i="3"/>
  <c r="S416" i="3"/>
  <c r="Q416" i="3"/>
  <c r="AD416" i="3"/>
  <c r="P416" i="3"/>
  <c r="O416" i="3"/>
  <c r="AE416" i="3"/>
  <c r="AF416" i="3"/>
  <c r="V416" i="3"/>
  <c r="M416" i="3"/>
  <c r="U416" i="3"/>
  <c r="D416" i="3"/>
  <c r="F416" i="3"/>
  <c r="C416" i="3"/>
  <c r="G416" i="3"/>
  <c r="H416" i="3" s="1"/>
  <c r="T416" i="3"/>
  <c r="AW414" i="3"/>
  <c r="AU414" i="3"/>
  <c r="BN415" i="3"/>
  <c r="AG415" i="3"/>
  <c r="AN415" i="3"/>
  <c r="X415" i="3"/>
  <c r="BF412" i="3"/>
  <c r="BJ411" i="3" s="1"/>
  <c r="BK411" i="3" s="1"/>
  <c r="BQ412" i="3"/>
  <c r="BB412" i="3"/>
  <c r="BG412" i="3" l="1"/>
  <c r="BH412" i="3" s="1"/>
  <c r="BI412" i="3" s="1"/>
  <c r="BC413" i="3"/>
  <c r="BD413" i="3" s="1"/>
  <c r="BN416" i="3"/>
  <c r="BM416" i="3"/>
  <c r="AY414" i="3"/>
  <c r="BF413" i="3"/>
  <c r="BJ412" i="3" s="1"/>
  <c r="BK412" i="3" s="1"/>
  <c r="AV414" i="3"/>
  <c r="AX415" i="3"/>
  <c r="BQ413" i="3"/>
  <c r="AN416" i="3"/>
  <c r="BA414" i="3"/>
  <c r="BB414" i="3" s="1"/>
  <c r="AG416" i="3"/>
  <c r="AT415" i="3"/>
  <c r="AW415" i="3"/>
  <c r="AU415" i="3"/>
  <c r="Y416" i="3"/>
  <c r="Z416" i="3" s="1"/>
  <c r="X416" i="3"/>
  <c r="AH416" i="3"/>
  <c r="AO416" i="3"/>
  <c r="AR417" i="3"/>
  <c r="B417" i="3"/>
  <c r="AQ417" i="3"/>
  <c r="A418" i="3"/>
  <c r="C417" i="3"/>
  <c r="AK417" i="3"/>
  <c r="AM417" i="3"/>
  <c r="S417" i="3"/>
  <c r="Q417" i="3"/>
  <c r="T417" i="3"/>
  <c r="R417" i="3"/>
  <c r="AD417" i="3"/>
  <c r="O417" i="3"/>
  <c r="AE417" i="3"/>
  <c r="M417" i="3"/>
  <c r="P417" i="3"/>
  <c r="U417" i="3"/>
  <c r="AF417" i="3"/>
  <c r="V417" i="3"/>
  <c r="D417" i="3"/>
  <c r="G417" i="3"/>
  <c r="H417" i="3" s="1"/>
  <c r="F417" i="3"/>
  <c r="BC414" i="3" l="1"/>
  <c r="BD414" i="3" s="1"/>
  <c r="BG413" i="3"/>
  <c r="BH413" i="3" s="1"/>
  <c r="BI413" i="3" s="1"/>
  <c r="BM417" i="3"/>
  <c r="AO417" i="3"/>
  <c r="AT416" i="3"/>
  <c r="AU416" i="3"/>
  <c r="AY415" i="3"/>
  <c r="BQ414" i="3"/>
  <c r="AW416" i="3"/>
  <c r="BF414" i="3"/>
  <c r="BJ413" i="3" s="1"/>
  <c r="BK413" i="3" s="1"/>
  <c r="BN417" i="3"/>
  <c r="AN417" i="3"/>
  <c r="X417" i="3"/>
  <c r="AX416" i="3"/>
  <c r="BA415" i="3"/>
  <c r="AV415" i="3"/>
  <c r="Y417" i="3"/>
  <c r="Z417" i="3" s="1"/>
  <c r="AR418" i="3"/>
  <c r="A419" i="3"/>
  <c r="B418" i="3"/>
  <c r="AQ418" i="3"/>
  <c r="D418" i="3"/>
  <c r="S418" i="3"/>
  <c r="R418" i="3"/>
  <c r="Q418" i="3"/>
  <c r="AK418" i="3"/>
  <c r="AM418" i="3"/>
  <c r="P418" i="3"/>
  <c r="AD418" i="3"/>
  <c r="O418" i="3"/>
  <c r="AE418" i="3"/>
  <c r="U418" i="3"/>
  <c r="M418" i="3"/>
  <c r="AF418" i="3"/>
  <c r="V418" i="3"/>
  <c r="C418" i="3"/>
  <c r="G418" i="3"/>
  <c r="H418" i="3" s="1"/>
  <c r="F418" i="3"/>
  <c r="BM418" i="3" s="1"/>
  <c r="T418" i="3"/>
  <c r="AG417" i="3"/>
  <c r="AH417" i="3"/>
  <c r="BG414" i="3" l="1"/>
  <c r="BH414" i="3" s="1"/>
  <c r="BI414" i="3" s="1"/>
  <c r="BN418" i="3"/>
  <c r="AV416" i="3"/>
  <c r="BC415" i="3"/>
  <c r="BG415" i="3" s="1"/>
  <c r="BH415" i="3" s="1"/>
  <c r="BI415" i="3" s="1"/>
  <c r="BA416" i="3"/>
  <c r="BB416" i="3" s="1"/>
  <c r="AO418" i="3"/>
  <c r="Y418" i="3"/>
  <c r="Z418" i="3" s="1"/>
  <c r="AN418" i="3"/>
  <c r="AW417" i="3"/>
  <c r="AH418" i="3"/>
  <c r="A420" i="3"/>
  <c r="B419" i="3"/>
  <c r="AR419" i="3"/>
  <c r="AQ419" i="3"/>
  <c r="C419" i="3"/>
  <c r="AM419" i="3"/>
  <c r="T419" i="3"/>
  <c r="AK419" i="3"/>
  <c r="S419" i="3"/>
  <c r="R419" i="3"/>
  <c r="Q419" i="3"/>
  <c r="AD419" i="3"/>
  <c r="P419" i="3"/>
  <c r="M419" i="3"/>
  <c r="V419" i="3"/>
  <c r="U419" i="3"/>
  <c r="O419" i="3"/>
  <c r="AF419" i="3"/>
  <c r="AE419" i="3"/>
  <c r="D419" i="3"/>
  <c r="G419" i="3"/>
  <c r="H419" i="3" s="1"/>
  <c r="F419" i="3"/>
  <c r="AX417" i="3"/>
  <c r="AG418" i="3"/>
  <c r="AU417" i="3"/>
  <c r="AY416" i="3"/>
  <c r="BQ415" i="3"/>
  <c r="BF415" i="3"/>
  <c r="BJ414" i="3" s="1"/>
  <c r="BK414" i="3" s="1"/>
  <c r="BB415" i="3"/>
  <c r="X418" i="3"/>
  <c r="AT417" i="3"/>
  <c r="AO419" i="3" l="1"/>
  <c r="BD415" i="3"/>
  <c r="BQ416" i="3"/>
  <c r="BC416" i="3"/>
  <c r="BD416" i="3" s="1"/>
  <c r="BM419" i="3"/>
  <c r="BN419" i="3"/>
  <c r="AY417" i="3"/>
  <c r="BF416" i="3"/>
  <c r="BJ415" i="3" s="1"/>
  <c r="BK415" i="3" s="1"/>
  <c r="AT418" i="3"/>
  <c r="AW418" i="3"/>
  <c r="BA417" i="3"/>
  <c r="AV417" i="3"/>
  <c r="Y419" i="3"/>
  <c r="Z419" i="3" s="1"/>
  <c r="AH419" i="3"/>
  <c r="AN419" i="3"/>
  <c r="A421" i="3"/>
  <c r="B420" i="3"/>
  <c r="AQ420" i="3"/>
  <c r="AR420" i="3"/>
  <c r="C420" i="3"/>
  <c r="AM420" i="3"/>
  <c r="AK420" i="3"/>
  <c r="T420" i="3"/>
  <c r="S420" i="3"/>
  <c r="R420" i="3"/>
  <c r="Q420" i="3"/>
  <c r="AD420" i="3"/>
  <c r="P420" i="3"/>
  <c r="M420" i="3"/>
  <c r="AF420" i="3"/>
  <c r="V420" i="3"/>
  <c r="O420" i="3"/>
  <c r="AE420" i="3"/>
  <c r="U420" i="3"/>
  <c r="G420" i="3"/>
  <c r="H420" i="3" s="1"/>
  <c r="D420" i="3"/>
  <c r="F420" i="3"/>
  <c r="AX418" i="3"/>
  <c r="AU418" i="3"/>
  <c r="AG419" i="3"/>
  <c r="X419" i="3"/>
  <c r="AV418" i="3" l="1"/>
  <c r="BG416" i="3"/>
  <c r="BH416" i="3" s="1"/>
  <c r="BI416" i="3" s="1"/>
  <c r="BM420" i="3"/>
  <c r="BN420" i="3"/>
  <c r="BC417" i="3"/>
  <c r="BG417" i="3" s="1"/>
  <c r="BH417" i="3" s="1"/>
  <c r="BI417" i="3" s="1"/>
  <c r="AG420" i="3"/>
  <c r="AW419" i="3"/>
  <c r="AY418" i="3"/>
  <c r="AO420" i="3"/>
  <c r="AN420" i="3"/>
  <c r="AT419" i="3"/>
  <c r="Y420" i="3"/>
  <c r="Z420" i="3" s="1"/>
  <c r="AR421" i="3"/>
  <c r="B421" i="3"/>
  <c r="AQ421" i="3"/>
  <c r="A422" i="3"/>
  <c r="C421" i="3"/>
  <c r="AK421" i="3"/>
  <c r="AM421" i="3"/>
  <c r="S421" i="3"/>
  <c r="R421" i="3"/>
  <c r="Q421" i="3"/>
  <c r="AD421" i="3"/>
  <c r="P421" i="3"/>
  <c r="O421" i="3"/>
  <c r="M421" i="3"/>
  <c r="AF421" i="3"/>
  <c r="AE421" i="3"/>
  <c r="U421" i="3"/>
  <c r="V421" i="3"/>
  <c r="D421" i="3"/>
  <c r="F421" i="3"/>
  <c r="G421" i="3"/>
  <c r="H421" i="3" s="1"/>
  <c r="T421" i="3"/>
  <c r="BQ417" i="3"/>
  <c r="BF417" i="3"/>
  <c r="BJ416" i="3" s="1"/>
  <c r="BK416" i="3" s="1"/>
  <c r="BB417" i="3"/>
  <c r="X420" i="3"/>
  <c r="BA418" i="3"/>
  <c r="AH420" i="3"/>
  <c r="AU419" i="3"/>
  <c r="AX419" i="3"/>
  <c r="BN421" i="3" l="1"/>
  <c r="BD417" i="3"/>
  <c r="BC418" i="3"/>
  <c r="BD418" i="3" s="1"/>
  <c r="BM421" i="3"/>
  <c r="AY419" i="3"/>
  <c r="AX420" i="3"/>
  <c r="AV419" i="3"/>
  <c r="AN421" i="3"/>
  <c r="BB418" i="3"/>
  <c r="BF418" i="3"/>
  <c r="BJ417" i="3" s="1"/>
  <c r="BK417" i="3" s="1"/>
  <c r="BQ418" i="3"/>
  <c r="AR422" i="3"/>
  <c r="A423" i="3"/>
  <c r="B422" i="3"/>
  <c r="AQ422" i="3"/>
  <c r="AM422" i="3"/>
  <c r="AK422" i="3"/>
  <c r="S422" i="3"/>
  <c r="AD422" i="3"/>
  <c r="T422" i="3"/>
  <c r="Q422" i="3"/>
  <c r="R422" i="3"/>
  <c r="P422" i="3"/>
  <c r="M422" i="3"/>
  <c r="AE422" i="3"/>
  <c r="O422" i="3"/>
  <c r="AF422" i="3"/>
  <c r="U422" i="3"/>
  <c r="V422" i="3"/>
  <c r="C422" i="3"/>
  <c r="F422" i="3"/>
  <c r="D422" i="3"/>
  <c r="G422" i="3"/>
  <c r="H422" i="3" s="1"/>
  <c r="AT420" i="3"/>
  <c r="AW420" i="3"/>
  <c r="Y421" i="3"/>
  <c r="Z421" i="3" s="1"/>
  <c r="AG421" i="3"/>
  <c r="AO421" i="3"/>
  <c r="BA419" i="3"/>
  <c r="AU420" i="3"/>
  <c r="AH421" i="3"/>
  <c r="X421" i="3"/>
  <c r="BG418" i="3" l="1"/>
  <c r="BH418" i="3" s="1"/>
  <c r="BI418" i="3" s="1"/>
  <c r="BC419" i="3"/>
  <c r="BD419" i="3" s="1"/>
  <c r="AY420" i="3"/>
  <c r="BN422" i="3"/>
  <c r="AN422" i="3"/>
  <c r="AX421" i="3"/>
  <c r="AU421" i="3"/>
  <c r="AW421" i="3"/>
  <c r="AT421" i="3"/>
  <c r="X422" i="3"/>
  <c r="BF419" i="3"/>
  <c r="BJ418" i="3" s="1"/>
  <c r="BK418" i="3" s="1"/>
  <c r="BB419" i="3"/>
  <c r="BQ419" i="3"/>
  <c r="A424" i="3"/>
  <c r="B423" i="3"/>
  <c r="AR423" i="3"/>
  <c r="AQ423" i="3"/>
  <c r="AK423" i="3"/>
  <c r="S423" i="3"/>
  <c r="AM423" i="3"/>
  <c r="R423" i="3"/>
  <c r="Q423" i="3"/>
  <c r="P423" i="3"/>
  <c r="AD423" i="3"/>
  <c r="O423" i="3"/>
  <c r="AE423" i="3"/>
  <c r="M423" i="3"/>
  <c r="V423" i="3"/>
  <c r="AF423" i="3"/>
  <c r="U423" i="3"/>
  <c r="D423" i="3"/>
  <c r="G423" i="3"/>
  <c r="H423" i="3" s="1"/>
  <c r="C423" i="3"/>
  <c r="F423" i="3"/>
  <c r="T423" i="3"/>
  <c r="BM422" i="3"/>
  <c r="AG422" i="3"/>
  <c r="AH422" i="3"/>
  <c r="AO422" i="3"/>
  <c r="AV420" i="3"/>
  <c r="BA420" i="3"/>
  <c r="Y422" i="3"/>
  <c r="Z422" i="3" s="1"/>
  <c r="AV421" i="3" l="1"/>
  <c r="AN423" i="3"/>
  <c r="BC420" i="3"/>
  <c r="BD420" i="3" s="1"/>
  <c r="BG419" i="3"/>
  <c r="BH419" i="3" s="1"/>
  <c r="BI419" i="3" s="1"/>
  <c r="AY421" i="3"/>
  <c r="BC421" i="3" s="1"/>
  <c r="AG423" i="3"/>
  <c r="BM423" i="3"/>
  <c r="BN423" i="3"/>
  <c r="BA421" i="3"/>
  <c r="BB421" i="3" s="1"/>
  <c r="A425" i="3"/>
  <c r="B424" i="3"/>
  <c r="AQ424" i="3"/>
  <c r="AR424" i="3"/>
  <c r="C424" i="3"/>
  <c r="D424" i="3"/>
  <c r="AK424" i="3"/>
  <c r="AM424" i="3"/>
  <c r="R424" i="3"/>
  <c r="S424" i="3"/>
  <c r="P424" i="3"/>
  <c r="Q424" i="3"/>
  <c r="AD424" i="3"/>
  <c r="M424" i="3"/>
  <c r="AF424" i="3"/>
  <c r="AE424" i="3"/>
  <c r="U424" i="3"/>
  <c r="V424" i="3"/>
  <c r="O424" i="3"/>
  <c r="G424" i="3"/>
  <c r="H424" i="3" s="1"/>
  <c r="F424" i="3"/>
  <c r="BM424" i="3" s="1"/>
  <c r="T424" i="3"/>
  <c r="AH423" i="3"/>
  <c r="AO423" i="3"/>
  <c r="BB420" i="3"/>
  <c r="BQ420" i="3"/>
  <c r="BF420" i="3"/>
  <c r="BJ419" i="3" s="1"/>
  <c r="BK419" i="3" s="1"/>
  <c r="AW422" i="3"/>
  <c r="AT422" i="3"/>
  <c r="AU422" i="3"/>
  <c r="AX422" i="3"/>
  <c r="Y423" i="3"/>
  <c r="Z423" i="3" s="1"/>
  <c r="X423" i="3"/>
  <c r="AU423" i="3" l="1"/>
  <c r="BN424" i="3"/>
  <c r="BG420" i="3"/>
  <c r="BH420" i="3" s="1"/>
  <c r="BI420" i="3" s="1"/>
  <c r="BD421" i="3"/>
  <c r="BG421" i="3"/>
  <c r="BH421" i="3" s="1"/>
  <c r="BI421" i="3" s="1"/>
  <c r="BQ421" i="3"/>
  <c r="BF421" i="3"/>
  <c r="BJ420" i="3" s="1"/>
  <c r="BK420" i="3" s="1"/>
  <c r="AN424" i="3"/>
  <c r="AW423" i="3"/>
  <c r="AG424" i="3"/>
  <c r="AR425" i="3"/>
  <c r="B425" i="3"/>
  <c r="AQ425" i="3"/>
  <c r="A426" i="3"/>
  <c r="AK425" i="3"/>
  <c r="R425" i="3"/>
  <c r="AM425" i="3"/>
  <c r="AD425" i="3"/>
  <c r="S425" i="3"/>
  <c r="M425" i="3"/>
  <c r="O425" i="3"/>
  <c r="P425" i="3"/>
  <c r="AE425" i="3"/>
  <c r="AF425" i="3"/>
  <c r="V425" i="3"/>
  <c r="U425" i="3"/>
  <c r="Q425" i="3"/>
  <c r="C425" i="3"/>
  <c r="D425" i="3"/>
  <c r="G425" i="3"/>
  <c r="H425" i="3" s="1"/>
  <c r="F425" i="3"/>
  <c r="T425" i="3"/>
  <c r="Y424" i="3"/>
  <c r="Z424" i="3" s="1"/>
  <c r="AV422" i="3"/>
  <c r="AY422" i="3"/>
  <c r="AX423" i="3"/>
  <c r="AH424" i="3"/>
  <c r="AO424" i="3"/>
  <c r="X424" i="3"/>
  <c r="AT423" i="3"/>
  <c r="BA422" i="3"/>
  <c r="AN425" i="3" l="1"/>
  <c r="BM425" i="3"/>
  <c r="AT424" i="3"/>
  <c r="AY423" i="3"/>
  <c r="AO425" i="3"/>
  <c r="AG425" i="3"/>
  <c r="AU424" i="3"/>
  <c r="BC422" i="3"/>
  <c r="BD422" i="3" s="1"/>
  <c r="AV423" i="3"/>
  <c r="BA423" i="3"/>
  <c r="AR426" i="3"/>
  <c r="A427" i="3"/>
  <c r="B426" i="3"/>
  <c r="AQ426" i="3"/>
  <c r="C426" i="3"/>
  <c r="AK426" i="3"/>
  <c r="S426" i="3"/>
  <c r="R426" i="3"/>
  <c r="D426" i="3"/>
  <c r="AM426" i="3"/>
  <c r="AD426" i="3"/>
  <c r="M426" i="3"/>
  <c r="P426" i="3"/>
  <c r="AE426" i="3"/>
  <c r="V426" i="3"/>
  <c r="O426" i="3"/>
  <c r="AF426" i="3"/>
  <c r="U426" i="3"/>
  <c r="Q426" i="3"/>
  <c r="G426" i="3"/>
  <c r="H426" i="3" s="1"/>
  <c r="F426" i="3"/>
  <c r="T426" i="3"/>
  <c r="AX424" i="3"/>
  <c r="AW424" i="3"/>
  <c r="Y425" i="3"/>
  <c r="Z425" i="3" s="1"/>
  <c r="BN425" i="3"/>
  <c r="X425" i="3"/>
  <c r="AH425" i="3"/>
  <c r="BB422" i="3"/>
  <c r="BQ422" i="3"/>
  <c r="BF422" i="3"/>
  <c r="BJ421" i="3" s="1"/>
  <c r="BK421" i="3" s="1"/>
  <c r="BM426" i="3" l="1"/>
  <c r="AV424" i="3"/>
  <c r="BC423" i="3"/>
  <c r="BD423" i="3" s="1"/>
  <c r="AN426" i="3"/>
  <c r="AT425" i="3"/>
  <c r="BG422" i="3"/>
  <c r="BH422" i="3" s="1"/>
  <c r="BI422" i="3" s="1"/>
  <c r="AY424" i="3"/>
  <c r="A428" i="3"/>
  <c r="B427" i="3"/>
  <c r="AR427" i="3"/>
  <c r="AQ427" i="3"/>
  <c r="D427" i="3"/>
  <c r="AM427" i="3"/>
  <c r="AK427" i="3"/>
  <c r="R427" i="3"/>
  <c r="T427" i="3"/>
  <c r="S427" i="3"/>
  <c r="AD427" i="3"/>
  <c r="Q427" i="3"/>
  <c r="O427" i="3"/>
  <c r="AE427" i="3"/>
  <c r="AF427" i="3"/>
  <c r="V427" i="3"/>
  <c r="M427" i="3"/>
  <c r="U427" i="3"/>
  <c r="C427" i="3"/>
  <c r="F427" i="3"/>
  <c r="G427" i="3"/>
  <c r="H427" i="3" s="1"/>
  <c r="P427" i="3"/>
  <c r="BQ423" i="3"/>
  <c r="BB423" i="3"/>
  <c r="BF423" i="3"/>
  <c r="BJ422" i="3" s="1"/>
  <c r="BK422" i="3" s="1"/>
  <c r="AW425" i="3"/>
  <c r="Y426" i="3"/>
  <c r="Z426" i="3" s="1"/>
  <c r="BN426" i="3"/>
  <c r="AG426" i="3"/>
  <c r="AO426" i="3"/>
  <c r="BA424" i="3"/>
  <c r="AU425" i="3"/>
  <c r="AX425" i="3"/>
  <c r="AH426" i="3"/>
  <c r="X426" i="3"/>
  <c r="BN427" i="3" l="1"/>
  <c r="BC424" i="3"/>
  <c r="BD424" i="3" s="1"/>
  <c r="BG423" i="3"/>
  <c r="BH423" i="3" s="1"/>
  <c r="BI423" i="3" s="1"/>
  <c r="BM427" i="3"/>
  <c r="AN427" i="3"/>
  <c r="AG427" i="3"/>
  <c r="BA425" i="3"/>
  <c r="BB425" i="3" s="1"/>
  <c r="Y427" i="3"/>
  <c r="Z427" i="3" s="1"/>
  <c r="AT426" i="3"/>
  <c r="AX426" i="3"/>
  <c r="A429" i="3"/>
  <c r="B428" i="3"/>
  <c r="AQ428" i="3"/>
  <c r="AR428" i="3"/>
  <c r="C428" i="3"/>
  <c r="S428" i="3"/>
  <c r="R428" i="3"/>
  <c r="D428" i="3"/>
  <c r="AK428" i="3"/>
  <c r="AM428" i="3"/>
  <c r="Q428" i="3"/>
  <c r="AD428" i="3"/>
  <c r="O428" i="3"/>
  <c r="AE428" i="3"/>
  <c r="M428" i="3"/>
  <c r="AF428" i="3"/>
  <c r="U428" i="3"/>
  <c r="P428" i="3"/>
  <c r="V428" i="3"/>
  <c r="F428" i="3"/>
  <c r="G428" i="3"/>
  <c r="H428" i="3" s="1"/>
  <c r="T428" i="3"/>
  <c r="AU426" i="3"/>
  <c r="AW426" i="3"/>
  <c r="AY426" i="3" s="1"/>
  <c r="X427" i="3"/>
  <c r="AH427" i="3"/>
  <c r="AO427" i="3"/>
  <c r="AV425" i="3"/>
  <c r="BQ424" i="3"/>
  <c r="BF424" i="3"/>
  <c r="BJ423" i="3" s="1"/>
  <c r="BK423" i="3" s="1"/>
  <c r="BB424" i="3"/>
  <c r="AY425" i="3"/>
  <c r="BG424" i="3" l="1"/>
  <c r="BH424" i="3" s="1"/>
  <c r="BI424" i="3" s="1"/>
  <c r="BQ425" i="3"/>
  <c r="BN428" i="3"/>
  <c r="AU427" i="3"/>
  <c r="AO428" i="3"/>
  <c r="BF425" i="3"/>
  <c r="BJ424" i="3" s="1"/>
  <c r="BK424" i="3" s="1"/>
  <c r="AW427" i="3"/>
  <c r="AT427" i="3"/>
  <c r="BC425" i="3"/>
  <c r="AX427" i="3"/>
  <c r="Y428" i="3"/>
  <c r="Z428" i="3" s="1"/>
  <c r="BM428" i="3"/>
  <c r="AG428" i="3"/>
  <c r="AH428" i="3"/>
  <c r="AN428" i="3"/>
  <c r="BA426" i="3"/>
  <c r="AR429" i="3"/>
  <c r="B429" i="3"/>
  <c r="AQ429" i="3"/>
  <c r="A430" i="3"/>
  <c r="D429" i="3"/>
  <c r="AK429" i="3"/>
  <c r="T429" i="3"/>
  <c r="C429" i="3"/>
  <c r="AM429" i="3"/>
  <c r="S429" i="3"/>
  <c r="Q429" i="3"/>
  <c r="AD429" i="3"/>
  <c r="P429" i="3"/>
  <c r="R429" i="3"/>
  <c r="M429" i="3"/>
  <c r="AE429" i="3"/>
  <c r="O429" i="3"/>
  <c r="V429" i="3"/>
  <c r="AF429" i="3"/>
  <c r="U429" i="3"/>
  <c r="G429" i="3"/>
  <c r="H429" i="3" s="1"/>
  <c r="F429" i="3"/>
  <c r="X428" i="3"/>
  <c r="AV426" i="3"/>
  <c r="BC426" i="3" s="1"/>
  <c r="BN429" i="3" l="1"/>
  <c r="BM429" i="3"/>
  <c r="AV427" i="3"/>
  <c r="AT428" i="3"/>
  <c r="AN429" i="3"/>
  <c r="AU428" i="3"/>
  <c r="BA427" i="3"/>
  <c r="BB427" i="3" s="1"/>
  <c r="BD426" i="3"/>
  <c r="BG426" i="3"/>
  <c r="BH426" i="3" s="1"/>
  <c r="BI426" i="3" s="1"/>
  <c r="AR430" i="3"/>
  <c r="A431" i="3"/>
  <c r="B430" i="3"/>
  <c r="AQ430" i="3"/>
  <c r="C430" i="3"/>
  <c r="AK430" i="3"/>
  <c r="T430" i="3"/>
  <c r="S430" i="3"/>
  <c r="D430" i="3"/>
  <c r="AM430" i="3"/>
  <c r="Q430" i="3"/>
  <c r="R430" i="3"/>
  <c r="AD430" i="3"/>
  <c r="P430" i="3"/>
  <c r="O430" i="3"/>
  <c r="M430" i="3"/>
  <c r="AF430" i="3"/>
  <c r="V430" i="3"/>
  <c r="AE430" i="3"/>
  <c r="U430" i="3"/>
  <c r="G430" i="3"/>
  <c r="H430" i="3" s="1"/>
  <c r="BN430" i="3" s="1"/>
  <c r="F430" i="3"/>
  <c r="AG429" i="3"/>
  <c r="AH429" i="3"/>
  <c r="X429" i="3"/>
  <c r="AO429" i="3"/>
  <c r="AW428" i="3"/>
  <c r="AY427" i="3"/>
  <c r="BC427" i="3" s="1"/>
  <c r="Y429" i="3"/>
  <c r="Z429" i="3" s="1"/>
  <c r="BQ426" i="3"/>
  <c r="BF426" i="3"/>
  <c r="BJ425" i="3" s="1"/>
  <c r="BK425" i="3" s="1"/>
  <c r="BB426" i="3"/>
  <c r="BD425" i="3"/>
  <c r="BG425" i="3"/>
  <c r="BH425" i="3" s="1"/>
  <c r="BI425" i="3" s="1"/>
  <c r="AX428" i="3"/>
  <c r="AV428" i="3" l="1"/>
  <c r="AG430" i="3"/>
  <c r="BM430" i="3"/>
  <c r="AN430" i="3"/>
  <c r="AU429" i="3"/>
  <c r="AT429" i="3"/>
  <c r="BQ427" i="3"/>
  <c r="BF427" i="3"/>
  <c r="BJ426" i="3" s="1"/>
  <c r="BK426" i="3" s="1"/>
  <c r="BD427" i="3"/>
  <c r="BG427" i="3"/>
  <c r="BH427" i="3" s="1"/>
  <c r="BI427" i="3" s="1"/>
  <c r="A432" i="3"/>
  <c r="B431" i="3"/>
  <c r="AR431" i="3"/>
  <c r="AQ431" i="3"/>
  <c r="C431" i="3"/>
  <c r="D431" i="3"/>
  <c r="AM431" i="3"/>
  <c r="S431" i="3"/>
  <c r="R431" i="3"/>
  <c r="AK431" i="3"/>
  <c r="T431" i="3"/>
  <c r="Q431" i="3"/>
  <c r="AD431" i="3"/>
  <c r="P431" i="3"/>
  <c r="M431" i="3"/>
  <c r="AF431" i="3"/>
  <c r="AE431" i="3"/>
  <c r="V431" i="3"/>
  <c r="O431" i="3"/>
  <c r="U431" i="3"/>
  <c r="G431" i="3"/>
  <c r="H431" i="3" s="1"/>
  <c r="F431" i="3"/>
  <c r="AX429" i="3"/>
  <c r="AO430" i="3"/>
  <c r="Y430" i="3"/>
  <c r="Z430" i="3" s="1"/>
  <c r="AY428" i="3"/>
  <c r="AW429" i="3"/>
  <c r="BA428" i="3"/>
  <c r="AH430" i="3"/>
  <c r="X430" i="3"/>
  <c r="BC428" i="3" l="1"/>
  <c r="BD428" i="3" s="1"/>
  <c r="AV429" i="3"/>
  <c r="AX430" i="3"/>
  <c r="BM431" i="3"/>
  <c r="BN431" i="3"/>
  <c r="AO431" i="3"/>
  <c r="AY429" i="3"/>
  <c r="A433" i="3"/>
  <c r="B432" i="3"/>
  <c r="AQ432" i="3"/>
  <c r="AR432" i="3"/>
  <c r="D432" i="3"/>
  <c r="C432" i="3"/>
  <c r="AK432" i="3"/>
  <c r="AM432" i="3"/>
  <c r="T432" i="3"/>
  <c r="Q432" i="3"/>
  <c r="S432" i="3"/>
  <c r="P432" i="3"/>
  <c r="R432" i="3"/>
  <c r="AD432" i="3"/>
  <c r="O432" i="3"/>
  <c r="M432" i="3"/>
  <c r="U432" i="3"/>
  <c r="AE432" i="3"/>
  <c r="AF432" i="3"/>
  <c r="V432" i="3"/>
  <c r="G432" i="3"/>
  <c r="H432" i="3" s="1"/>
  <c r="F432" i="3"/>
  <c r="AT430" i="3"/>
  <c r="AW430" i="3"/>
  <c r="AG431" i="3"/>
  <c r="AH431" i="3"/>
  <c r="AN431" i="3"/>
  <c r="X431" i="3"/>
  <c r="BB428" i="3"/>
  <c r="BF428" i="3"/>
  <c r="BJ427" i="3" s="1"/>
  <c r="BK427" i="3" s="1"/>
  <c r="BQ428" i="3"/>
  <c r="Y431" i="3"/>
  <c r="Z431" i="3" s="1"/>
  <c r="AU430" i="3"/>
  <c r="BA429" i="3"/>
  <c r="BM432" i="3" l="1"/>
  <c r="BN432" i="3"/>
  <c r="AY430" i="3"/>
  <c r="BG428" i="3"/>
  <c r="BH428" i="3" s="1"/>
  <c r="BI428" i="3" s="1"/>
  <c r="BC429" i="3"/>
  <c r="BD429" i="3" s="1"/>
  <c r="AN432" i="3"/>
  <c r="AU431" i="3"/>
  <c r="AG432" i="3"/>
  <c r="AX431" i="3"/>
  <c r="BB429" i="3"/>
  <c r="BQ429" i="3"/>
  <c r="BF429" i="3"/>
  <c r="BJ428" i="3" s="1"/>
  <c r="BK428" i="3" s="1"/>
  <c r="AV430" i="3"/>
  <c r="BA430" i="3"/>
  <c r="Y432" i="3"/>
  <c r="Z432" i="3" s="1"/>
  <c r="AR433" i="3"/>
  <c r="B433" i="3"/>
  <c r="AQ433" i="3"/>
  <c r="A434" i="3"/>
  <c r="C433" i="3"/>
  <c r="D433" i="3"/>
  <c r="AK433" i="3"/>
  <c r="R433" i="3"/>
  <c r="AM433" i="3"/>
  <c r="S433" i="3"/>
  <c r="AD433" i="3"/>
  <c r="P433" i="3"/>
  <c r="Q433" i="3"/>
  <c r="O433" i="3"/>
  <c r="AE433" i="3"/>
  <c r="V433" i="3"/>
  <c r="U433" i="3"/>
  <c r="M433" i="3"/>
  <c r="AF433" i="3"/>
  <c r="F433" i="3"/>
  <c r="G433" i="3"/>
  <c r="H433" i="3" s="1"/>
  <c r="T433" i="3"/>
  <c r="AT431" i="3"/>
  <c r="AW431" i="3"/>
  <c r="AH432" i="3"/>
  <c r="AO432" i="3"/>
  <c r="X432" i="3"/>
  <c r="BG429" i="3" l="1"/>
  <c r="BH429" i="3" s="1"/>
  <c r="BI429" i="3" s="1"/>
  <c r="AY431" i="3"/>
  <c r="AN433" i="3"/>
  <c r="BC430" i="3"/>
  <c r="BG430" i="3" s="1"/>
  <c r="BH430" i="3" s="1"/>
  <c r="BI430" i="3" s="1"/>
  <c r="BM433" i="3"/>
  <c r="BN433" i="3"/>
  <c r="AU432" i="3"/>
  <c r="AX432" i="3"/>
  <c r="BA431" i="3"/>
  <c r="AV431" i="3"/>
  <c r="AR434" i="3"/>
  <c r="A435" i="3"/>
  <c r="B434" i="3"/>
  <c r="AQ434" i="3"/>
  <c r="AM434" i="3"/>
  <c r="T434" i="3"/>
  <c r="D434" i="3"/>
  <c r="AK434" i="3"/>
  <c r="C434" i="3"/>
  <c r="S434" i="3"/>
  <c r="Q434" i="3"/>
  <c r="P434" i="3"/>
  <c r="AD434" i="3"/>
  <c r="O434" i="3"/>
  <c r="AE434" i="3"/>
  <c r="U434" i="3"/>
  <c r="V434" i="3"/>
  <c r="M434" i="3"/>
  <c r="AF434" i="3"/>
  <c r="G434" i="3"/>
  <c r="H434" i="3" s="1"/>
  <c r="R434" i="3"/>
  <c r="F434" i="3"/>
  <c r="BF430" i="3"/>
  <c r="BJ429" i="3" s="1"/>
  <c r="BK429" i="3" s="1"/>
  <c r="BQ430" i="3"/>
  <c r="BB430" i="3"/>
  <c r="AT432" i="3"/>
  <c r="AW432" i="3"/>
  <c r="Y433" i="3"/>
  <c r="Z433" i="3" s="1"/>
  <c r="BD430" i="3"/>
  <c r="AG433" i="3"/>
  <c r="AH433" i="3"/>
  <c r="AO433" i="3"/>
  <c r="X433" i="3"/>
  <c r="BC431" i="3" l="1"/>
  <c r="BD431" i="3" s="1"/>
  <c r="BM434" i="3"/>
  <c r="AO434" i="3"/>
  <c r="BN434" i="3"/>
  <c r="AY432" i="3"/>
  <c r="AH434" i="3"/>
  <c r="AT433" i="3"/>
  <c r="AX433" i="3"/>
  <c r="Y434" i="3"/>
  <c r="Z434" i="3" s="1"/>
  <c r="BF431" i="3"/>
  <c r="BJ430" i="3" s="1"/>
  <c r="BK430" i="3" s="1"/>
  <c r="BB431" i="3"/>
  <c r="BQ431" i="3"/>
  <c r="AU433" i="3"/>
  <c r="AW433" i="3"/>
  <c r="AG434" i="3"/>
  <c r="X434" i="3"/>
  <c r="AN434" i="3"/>
  <c r="AV432" i="3"/>
  <c r="BA432" i="3"/>
  <c r="A436" i="3"/>
  <c r="B435" i="3"/>
  <c r="AR435" i="3"/>
  <c r="AQ435" i="3"/>
  <c r="C435" i="3"/>
  <c r="AK435" i="3"/>
  <c r="AM435" i="3"/>
  <c r="D435" i="3"/>
  <c r="S435" i="3"/>
  <c r="Q435" i="3"/>
  <c r="AD435" i="3"/>
  <c r="R435" i="3"/>
  <c r="P435" i="3"/>
  <c r="AF435" i="3"/>
  <c r="M435" i="3"/>
  <c r="U435" i="3"/>
  <c r="O435" i="3"/>
  <c r="AE435" i="3"/>
  <c r="V435" i="3"/>
  <c r="G435" i="3"/>
  <c r="H435" i="3" s="1"/>
  <c r="F435" i="3"/>
  <c r="T435" i="3"/>
  <c r="BG431" i="3" l="1"/>
  <c r="BH431" i="3" s="1"/>
  <c r="BI431" i="3" s="1"/>
  <c r="BN435" i="3"/>
  <c r="AY433" i="3"/>
  <c r="BM435" i="3"/>
  <c r="BC432" i="3"/>
  <c r="BG432" i="3" s="1"/>
  <c r="BH432" i="3" s="1"/>
  <c r="BI432" i="3" s="1"/>
  <c r="AO435" i="3"/>
  <c r="AX434" i="3"/>
  <c r="AU434" i="3"/>
  <c r="AG435" i="3"/>
  <c r="Y435" i="3"/>
  <c r="Z435" i="3" s="1"/>
  <c r="BA433" i="3"/>
  <c r="BB433" i="3" s="1"/>
  <c r="BF432" i="3"/>
  <c r="BJ431" i="3" s="1"/>
  <c r="BK431" i="3" s="1"/>
  <c r="BB432" i="3"/>
  <c r="BQ432" i="3"/>
  <c r="A437" i="3"/>
  <c r="B436" i="3"/>
  <c r="AQ436" i="3"/>
  <c r="AR436" i="3"/>
  <c r="D436" i="3"/>
  <c r="C436" i="3"/>
  <c r="S436" i="3"/>
  <c r="Q436" i="3"/>
  <c r="AK436" i="3"/>
  <c r="AM436" i="3"/>
  <c r="R436" i="3"/>
  <c r="P436" i="3"/>
  <c r="AD436" i="3"/>
  <c r="O436" i="3"/>
  <c r="M436" i="3"/>
  <c r="AF436" i="3"/>
  <c r="U436" i="3"/>
  <c r="AE436" i="3"/>
  <c r="V436" i="3"/>
  <c r="F436" i="3"/>
  <c r="G436" i="3"/>
  <c r="H436" i="3" s="1"/>
  <c r="BN436" i="3" s="1"/>
  <c r="T436" i="3"/>
  <c r="AH435" i="3"/>
  <c r="AN435" i="3"/>
  <c r="X435" i="3"/>
  <c r="AV433" i="3"/>
  <c r="AT434" i="3"/>
  <c r="AW434" i="3"/>
  <c r="BM436" i="3" l="1"/>
  <c r="BC433" i="3"/>
  <c r="BD433" i="3" s="1"/>
  <c r="AU435" i="3"/>
  <c r="BD432" i="3"/>
  <c r="AN436" i="3"/>
  <c r="AY434" i="3"/>
  <c r="AG436" i="3"/>
  <c r="AX435" i="3"/>
  <c r="BF433" i="3"/>
  <c r="BJ432" i="3" s="1"/>
  <c r="BK432" i="3" s="1"/>
  <c r="BQ433" i="3"/>
  <c r="Y436" i="3"/>
  <c r="Z436" i="3" s="1"/>
  <c r="AV434" i="3"/>
  <c r="BA434" i="3"/>
  <c r="AR437" i="3"/>
  <c r="B437" i="3"/>
  <c r="AQ437" i="3"/>
  <c r="A438" i="3"/>
  <c r="D437" i="3"/>
  <c r="C437" i="3"/>
  <c r="S437" i="3"/>
  <c r="AK437" i="3"/>
  <c r="AM437" i="3"/>
  <c r="T437" i="3"/>
  <c r="Q437" i="3"/>
  <c r="AD437" i="3"/>
  <c r="R437" i="3"/>
  <c r="O437" i="3"/>
  <c r="P437" i="3"/>
  <c r="M437" i="3"/>
  <c r="V437" i="3"/>
  <c r="AE437" i="3"/>
  <c r="AF437" i="3"/>
  <c r="U437" i="3"/>
  <c r="G437" i="3"/>
  <c r="H437" i="3" s="1"/>
  <c r="F437" i="3"/>
  <c r="BM437" i="3" s="1"/>
  <c r="X436" i="3"/>
  <c r="AT435" i="3"/>
  <c r="AW435" i="3"/>
  <c r="AH436" i="3"/>
  <c r="AO436" i="3"/>
  <c r="BG433" i="3" l="1"/>
  <c r="BH433" i="3" s="1"/>
  <c r="BI433" i="3" s="1"/>
  <c r="BC434" i="3"/>
  <c r="BG434" i="3" s="1"/>
  <c r="BH434" i="3" s="1"/>
  <c r="BI434" i="3" s="1"/>
  <c r="BN437" i="3"/>
  <c r="AT436" i="3"/>
  <c r="AG437" i="3"/>
  <c r="AU436" i="3"/>
  <c r="AY435" i="3"/>
  <c r="AO437" i="3"/>
  <c r="AW436" i="3"/>
  <c r="AV435" i="3"/>
  <c r="BA435" i="3"/>
  <c r="Y437" i="3"/>
  <c r="Z437" i="3" s="1"/>
  <c r="AX436" i="3"/>
  <c r="AN437" i="3"/>
  <c r="AR438" i="3"/>
  <c r="A439" i="3"/>
  <c r="B438" i="3"/>
  <c r="AQ438" i="3"/>
  <c r="D438" i="3"/>
  <c r="C438" i="3"/>
  <c r="AM438" i="3"/>
  <c r="AK438" i="3"/>
  <c r="S438" i="3"/>
  <c r="R438" i="3"/>
  <c r="P438" i="3"/>
  <c r="Q438" i="3"/>
  <c r="AD438" i="3"/>
  <c r="O438" i="3"/>
  <c r="M438" i="3"/>
  <c r="AF438" i="3"/>
  <c r="V438" i="3"/>
  <c r="AE438" i="3"/>
  <c r="U438" i="3"/>
  <c r="F438" i="3"/>
  <c r="G438" i="3"/>
  <c r="H438" i="3" s="1"/>
  <c r="T438" i="3"/>
  <c r="BB434" i="3"/>
  <c r="BF434" i="3"/>
  <c r="BJ433" i="3" s="1"/>
  <c r="BK433" i="3" s="1"/>
  <c r="BQ434" i="3"/>
  <c r="AH437" i="3"/>
  <c r="X437" i="3"/>
  <c r="BD434" i="3" l="1"/>
  <c r="BN438" i="3"/>
  <c r="BM438" i="3"/>
  <c r="AY436" i="3"/>
  <c r="AV436" i="3"/>
  <c r="AT437" i="3"/>
  <c r="BC435" i="3"/>
  <c r="BG435" i="3" s="1"/>
  <c r="BH435" i="3" s="1"/>
  <c r="BI435" i="3" s="1"/>
  <c r="AO438" i="3"/>
  <c r="Y438" i="3"/>
  <c r="Z438" i="3" s="1"/>
  <c r="BA436" i="3"/>
  <c r="BF436" i="3" s="1"/>
  <c r="AW437" i="3"/>
  <c r="AH438" i="3"/>
  <c r="AN438" i="3"/>
  <c r="AU437" i="3"/>
  <c r="A440" i="3"/>
  <c r="B439" i="3"/>
  <c r="AR439" i="3"/>
  <c r="AQ439" i="3"/>
  <c r="C439" i="3"/>
  <c r="AK439" i="3"/>
  <c r="AM439" i="3"/>
  <c r="T439" i="3"/>
  <c r="S439" i="3"/>
  <c r="D439" i="3"/>
  <c r="Q439" i="3"/>
  <c r="R439" i="3"/>
  <c r="AD439" i="3"/>
  <c r="P439" i="3"/>
  <c r="O439" i="3"/>
  <c r="AE439" i="3"/>
  <c r="M439" i="3"/>
  <c r="AF439" i="3"/>
  <c r="V439" i="3"/>
  <c r="U439" i="3"/>
  <c r="F439" i="3"/>
  <c r="G439" i="3"/>
  <c r="H439" i="3" s="1"/>
  <c r="BQ435" i="3"/>
  <c r="BB435" i="3"/>
  <c r="BF435" i="3"/>
  <c r="BJ434" i="3" s="1"/>
  <c r="BK434" i="3" s="1"/>
  <c r="AG438" i="3"/>
  <c r="X438" i="3"/>
  <c r="AX437" i="3"/>
  <c r="BM439" i="3" l="1"/>
  <c r="BN439" i="3"/>
  <c r="BD435" i="3"/>
  <c r="BC436" i="3"/>
  <c r="BG436" i="3" s="1"/>
  <c r="BH436" i="3" s="1"/>
  <c r="BI436" i="3" s="1"/>
  <c r="BQ436" i="3"/>
  <c r="AH439" i="3"/>
  <c r="AW438" i="3"/>
  <c r="AN439" i="3"/>
  <c r="AU438" i="3"/>
  <c r="AT438" i="3"/>
  <c r="BB436" i="3"/>
  <c r="BA437" i="3"/>
  <c r="BQ437" i="3" s="1"/>
  <c r="Y439" i="3"/>
  <c r="Z439" i="3" s="1"/>
  <c r="BD436" i="3"/>
  <c r="BJ435" i="3"/>
  <c r="BK435" i="3" s="1"/>
  <c r="AG439" i="3"/>
  <c r="AO439" i="3"/>
  <c r="AY437" i="3"/>
  <c r="AV437" i="3"/>
  <c r="A441" i="3"/>
  <c r="B440" i="3"/>
  <c r="AQ440" i="3"/>
  <c r="AR440" i="3"/>
  <c r="D440" i="3"/>
  <c r="T440" i="3"/>
  <c r="C440" i="3"/>
  <c r="AK440" i="3"/>
  <c r="AM440" i="3"/>
  <c r="S440" i="3"/>
  <c r="R440" i="3"/>
  <c r="AD440" i="3"/>
  <c r="P440" i="3"/>
  <c r="O440" i="3"/>
  <c r="AE440" i="3"/>
  <c r="AF440" i="3"/>
  <c r="U440" i="3"/>
  <c r="M440" i="3"/>
  <c r="V440" i="3"/>
  <c r="Q440" i="3"/>
  <c r="F440" i="3"/>
  <c r="BM440" i="3" s="1"/>
  <c r="G440" i="3"/>
  <c r="H440" i="3" s="1"/>
  <c r="X439" i="3"/>
  <c r="AX438" i="3"/>
  <c r="BN440" i="3" l="1"/>
  <c r="AV438" i="3"/>
  <c r="AU439" i="3"/>
  <c r="AT439" i="3"/>
  <c r="AO440" i="3"/>
  <c r="AW439" i="3"/>
  <c r="BA438" i="3"/>
  <c r="BF438" i="3" s="1"/>
  <c r="BF437" i="3"/>
  <c r="BJ436" i="3" s="1"/>
  <c r="BK436" i="3" s="1"/>
  <c r="BB437" i="3"/>
  <c r="Y440" i="3"/>
  <c r="Z440" i="3" s="1"/>
  <c r="AR441" i="3"/>
  <c r="B441" i="3"/>
  <c r="AQ441" i="3"/>
  <c r="A442" i="3"/>
  <c r="D441" i="3"/>
  <c r="C441" i="3"/>
  <c r="AK441" i="3"/>
  <c r="AM441" i="3"/>
  <c r="Q441" i="3"/>
  <c r="S441" i="3"/>
  <c r="AD441" i="3"/>
  <c r="P441" i="3"/>
  <c r="T441" i="3"/>
  <c r="O441" i="3"/>
  <c r="M441" i="3"/>
  <c r="AE441" i="3"/>
  <c r="AF441" i="3"/>
  <c r="U441" i="3"/>
  <c r="V441" i="3"/>
  <c r="G441" i="3"/>
  <c r="H441" i="3" s="1"/>
  <c r="R441" i="3"/>
  <c r="F441" i="3"/>
  <c r="AH440" i="3"/>
  <c r="AY438" i="3"/>
  <c r="AG440" i="3"/>
  <c r="AN440" i="3"/>
  <c r="X440" i="3"/>
  <c r="BC437" i="3"/>
  <c r="AX439" i="3"/>
  <c r="BC438" i="3" l="1"/>
  <c r="BG438" i="3" s="1"/>
  <c r="BH438" i="3" s="1"/>
  <c r="BI438" i="3" s="1"/>
  <c r="BM441" i="3"/>
  <c r="AV439" i="3"/>
  <c r="BJ437" i="3"/>
  <c r="BK437" i="3" s="1"/>
  <c r="BB438" i="3"/>
  <c r="BQ438" i="3"/>
  <c r="BA439" i="3"/>
  <c r="BB439" i="3" s="1"/>
  <c r="AO441" i="3"/>
  <c r="AT440" i="3"/>
  <c r="AU440" i="3"/>
  <c r="AY439" i="3"/>
  <c r="BD437" i="3"/>
  <c r="BG437" i="3"/>
  <c r="BH437" i="3" s="1"/>
  <c r="BI437" i="3" s="1"/>
  <c r="AR442" i="3"/>
  <c r="AQ442" i="3"/>
  <c r="B442" i="3"/>
  <c r="A443" i="3"/>
  <c r="C442" i="3"/>
  <c r="AK442" i="3"/>
  <c r="S442" i="3"/>
  <c r="AM442" i="3"/>
  <c r="D442" i="3"/>
  <c r="T442" i="3"/>
  <c r="Q442" i="3"/>
  <c r="R442" i="3"/>
  <c r="AD442" i="3"/>
  <c r="P442" i="3"/>
  <c r="O442" i="3"/>
  <c r="U442" i="3"/>
  <c r="AF442" i="3"/>
  <c r="M442" i="3"/>
  <c r="AE442" i="3"/>
  <c r="V442" i="3"/>
  <c r="G442" i="3"/>
  <c r="H442" i="3" s="1"/>
  <c r="F442" i="3"/>
  <c r="AH441" i="3"/>
  <c r="AW440" i="3"/>
  <c r="BN441" i="3"/>
  <c r="AG441" i="3"/>
  <c r="AN441" i="3"/>
  <c r="X441" i="3"/>
  <c r="Y441" i="3"/>
  <c r="Z441" i="3" s="1"/>
  <c r="AX440" i="3"/>
  <c r="BD438" i="3" l="1"/>
  <c r="BC439" i="3"/>
  <c r="BG439" i="3" s="1"/>
  <c r="BH439" i="3" s="1"/>
  <c r="BI439" i="3" s="1"/>
  <c r="BN442" i="3"/>
  <c r="AG442" i="3"/>
  <c r="BQ439" i="3"/>
  <c r="AT441" i="3"/>
  <c r="BF439" i="3"/>
  <c r="BJ438" i="3" s="1"/>
  <c r="BK438" i="3" s="1"/>
  <c r="AV440" i="3"/>
  <c r="AN442" i="3"/>
  <c r="AR443" i="3"/>
  <c r="B443" i="3"/>
  <c r="AQ443" i="3"/>
  <c r="A444" i="3"/>
  <c r="D443" i="3"/>
  <c r="C443" i="3"/>
  <c r="AM443" i="3"/>
  <c r="AK443" i="3"/>
  <c r="S443" i="3"/>
  <c r="R443" i="3"/>
  <c r="Q443" i="3"/>
  <c r="AD443" i="3"/>
  <c r="P443" i="3"/>
  <c r="AE443" i="3"/>
  <c r="O443" i="3"/>
  <c r="U443" i="3"/>
  <c r="M443" i="3"/>
  <c r="AF443" i="3"/>
  <c r="V443" i="3"/>
  <c r="G443" i="3"/>
  <c r="H443" i="3" s="1"/>
  <c r="F443" i="3"/>
  <c r="T443" i="3"/>
  <c r="AX441" i="3"/>
  <c r="AU441" i="3"/>
  <c r="AW441" i="3"/>
  <c r="AY440" i="3"/>
  <c r="BM442" i="3"/>
  <c r="AO442" i="3"/>
  <c r="AH442" i="3"/>
  <c r="Y442" i="3"/>
  <c r="Z442" i="3" s="1"/>
  <c r="X442" i="3"/>
  <c r="BA440" i="3"/>
  <c r="BD439" i="3" l="1"/>
  <c r="AY441" i="3"/>
  <c r="BN443" i="3"/>
  <c r="BC440" i="3"/>
  <c r="BG440" i="3" s="1"/>
  <c r="BH440" i="3" s="1"/>
  <c r="BI440" i="3" s="1"/>
  <c r="AX442" i="3"/>
  <c r="AO443" i="3"/>
  <c r="BA441" i="3"/>
  <c r="BQ441" i="3" s="1"/>
  <c r="AG443" i="3"/>
  <c r="AT442" i="3"/>
  <c r="AW442" i="3"/>
  <c r="AU442" i="3"/>
  <c r="BM443" i="3"/>
  <c r="AN443" i="3"/>
  <c r="AV441" i="3"/>
  <c r="BQ440" i="3"/>
  <c r="BF440" i="3"/>
  <c r="BJ439" i="3" s="1"/>
  <c r="BK439" i="3" s="1"/>
  <c r="BB440" i="3"/>
  <c r="AQ444" i="3"/>
  <c r="AR444" i="3"/>
  <c r="B444" i="3"/>
  <c r="A445" i="3"/>
  <c r="D444" i="3"/>
  <c r="C444" i="3"/>
  <c r="AK444" i="3"/>
  <c r="AM444" i="3"/>
  <c r="T444" i="3"/>
  <c r="S444" i="3"/>
  <c r="Q444" i="3"/>
  <c r="AD444" i="3"/>
  <c r="P444" i="3"/>
  <c r="M444" i="3"/>
  <c r="AE444" i="3"/>
  <c r="AF444" i="3"/>
  <c r="V444" i="3"/>
  <c r="O444" i="3"/>
  <c r="U444" i="3"/>
  <c r="F444" i="3"/>
  <c r="G444" i="3"/>
  <c r="H444" i="3" s="1"/>
  <c r="BN444" i="3" s="1"/>
  <c r="R444" i="3"/>
  <c r="Y443" i="3"/>
  <c r="Z443" i="3" s="1"/>
  <c r="AH443" i="3"/>
  <c r="X443" i="3"/>
  <c r="BC441" i="3" l="1"/>
  <c r="BG441" i="3" s="1"/>
  <c r="BH441" i="3" s="1"/>
  <c r="BI441" i="3" s="1"/>
  <c r="BM444" i="3"/>
  <c r="BD440" i="3"/>
  <c r="AY442" i="3"/>
  <c r="AX443" i="3"/>
  <c r="BF441" i="3"/>
  <c r="BJ440" i="3" s="1"/>
  <c r="BK440" i="3" s="1"/>
  <c r="AH444" i="3"/>
  <c r="BB441" i="3"/>
  <c r="BD441" i="3"/>
  <c r="AN444" i="3"/>
  <c r="AO444" i="3"/>
  <c r="Y444" i="3"/>
  <c r="Z444" i="3" s="1"/>
  <c r="AG444" i="3"/>
  <c r="AU443" i="3"/>
  <c r="AW443" i="3"/>
  <c r="A446" i="3"/>
  <c r="AQ445" i="3"/>
  <c r="B445" i="3"/>
  <c r="AR445" i="3"/>
  <c r="C445" i="3"/>
  <c r="AK445" i="3"/>
  <c r="AM445" i="3"/>
  <c r="S445" i="3"/>
  <c r="D445" i="3"/>
  <c r="R445" i="3"/>
  <c r="Q445" i="3"/>
  <c r="P445" i="3"/>
  <c r="AD445" i="3"/>
  <c r="O445" i="3"/>
  <c r="M445" i="3"/>
  <c r="AE445" i="3"/>
  <c r="U445" i="3"/>
  <c r="AF445" i="3"/>
  <c r="V445" i="3"/>
  <c r="G445" i="3"/>
  <c r="H445" i="3" s="1"/>
  <c r="F445" i="3"/>
  <c r="T445" i="3"/>
  <c r="BA442" i="3"/>
  <c r="AV442" i="3"/>
  <c r="BC442" i="3" s="1"/>
  <c r="X444" i="3"/>
  <c r="AT443" i="3"/>
  <c r="BM445" i="3" l="1"/>
  <c r="AT444" i="3"/>
  <c r="BN445" i="3"/>
  <c r="AY443" i="3"/>
  <c r="AO445" i="3"/>
  <c r="AW444" i="3"/>
  <c r="AN445" i="3"/>
  <c r="Y445" i="3"/>
  <c r="Z445" i="3" s="1"/>
  <c r="BA443" i="3"/>
  <c r="BB443" i="3" s="1"/>
  <c r="BG442" i="3"/>
  <c r="BH442" i="3" s="1"/>
  <c r="BI442" i="3" s="1"/>
  <c r="BD442" i="3"/>
  <c r="AG445" i="3"/>
  <c r="AU444" i="3"/>
  <c r="AX444" i="3"/>
  <c r="BB442" i="3"/>
  <c r="BF442" i="3"/>
  <c r="BJ441" i="3" s="1"/>
  <c r="BK441" i="3" s="1"/>
  <c r="BQ442" i="3"/>
  <c r="B446" i="3"/>
  <c r="A447" i="3"/>
  <c r="AQ446" i="3"/>
  <c r="AR446" i="3"/>
  <c r="C446" i="3"/>
  <c r="D446" i="3"/>
  <c r="S446" i="3"/>
  <c r="R446" i="3"/>
  <c r="AM446" i="3"/>
  <c r="AK446" i="3"/>
  <c r="P446" i="3"/>
  <c r="Q446" i="3"/>
  <c r="AD446" i="3"/>
  <c r="AE446" i="3"/>
  <c r="O446" i="3"/>
  <c r="AF446" i="3"/>
  <c r="M446" i="3"/>
  <c r="V446" i="3"/>
  <c r="U446" i="3"/>
  <c r="G446" i="3"/>
  <c r="H446" i="3" s="1"/>
  <c r="F446" i="3"/>
  <c r="T446" i="3"/>
  <c r="AH445" i="3"/>
  <c r="X445" i="3"/>
  <c r="AV443" i="3"/>
  <c r="BM446" i="3" l="1"/>
  <c r="BN446" i="3"/>
  <c r="BC443" i="3"/>
  <c r="AV444" i="3"/>
  <c r="AY444" i="3"/>
  <c r="BF443" i="3"/>
  <c r="BJ442" i="3" s="1"/>
  <c r="BK442" i="3" s="1"/>
  <c r="AX445" i="3"/>
  <c r="AO446" i="3"/>
  <c r="BQ443" i="3"/>
  <c r="BA444" i="3"/>
  <c r="BQ444" i="3" s="1"/>
  <c r="AH446" i="3"/>
  <c r="Y446" i="3"/>
  <c r="Z446" i="3" s="1"/>
  <c r="BD443" i="3"/>
  <c r="BG443" i="3"/>
  <c r="BH443" i="3" s="1"/>
  <c r="BI443" i="3" s="1"/>
  <c r="B447" i="3"/>
  <c r="AQ447" i="3"/>
  <c r="AR447" i="3"/>
  <c r="A448" i="3"/>
  <c r="C447" i="3"/>
  <c r="D447" i="3"/>
  <c r="S447" i="3"/>
  <c r="Q447" i="3"/>
  <c r="AM447" i="3"/>
  <c r="AK447" i="3"/>
  <c r="AD447" i="3"/>
  <c r="P447" i="3"/>
  <c r="O447" i="3"/>
  <c r="AE447" i="3"/>
  <c r="U447" i="3"/>
  <c r="M447" i="3"/>
  <c r="AF447" i="3"/>
  <c r="V447" i="3"/>
  <c r="F447" i="3"/>
  <c r="R447" i="3"/>
  <c r="G447" i="3"/>
  <c r="H447" i="3" s="1"/>
  <c r="T447" i="3"/>
  <c r="AG446" i="3"/>
  <c r="AU446" i="3" s="1"/>
  <c r="AU445" i="3"/>
  <c r="AW445" i="3"/>
  <c r="AN446" i="3"/>
  <c r="X446" i="3"/>
  <c r="AT445" i="3"/>
  <c r="BM447" i="3" l="1"/>
  <c r="AX446" i="3"/>
  <c r="BC444" i="3"/>
  <c r="BD444" i="3" s="1"/>
  <c r="AO447" i="3"/>
  <c r="AY445" i="3"/>
  <c r="BB444" i="3"/>
  <c r="AT446" i="3"/>
  <c r="AV446" i="3" s="1"/>
  <c r="AG447" i="3"/>
  <c r="BF444" i="3"/>
  <c r="BJ443" i="3" s="1"/>
  <c r="BK443" i="3" s="1"/>
  <c r="Y447" i="3"/>
  <c r="Z447" i="3" s="1"/>
  <c r="AV445" i="3"/>
  <c r="BA445" i="3"/>
  <c r="AW446" i="3"/>
  <c r="BN447" i="3"/>
  <c r="AH447" i="3"/>
  <c r="AN447" i="3"/>
  <c r="X447" i="3"/>
  <c r="AR448" i="3"/>
  <c r="B448" i="3"/>
  <c r="AQ448" i="3"/>
  <c r="A449" i="3"/>
  <c r="AM448" i="3"/>
  <c r="AK448" i="3"/>
  <c r="S448" i="3"/>
  <c r="D448" i="3"/>
  <c r="C448" i="3"/>
  <c r="Q448" i="3"/>
  <c r="R448" i="3"/>
  <c r="AD448" i="3"/>
  <c r="P448" i="3"/>
  <c r="V448" i="3"/>
  <c r="U448" i="3"/>
  <c r="O448" i="3"/>
  <c r="AE448" i="3"/>
  <c r="AF448" i="3"/>
  <c r="M448" i="3"/>
  <c r="G448" i="3"/>
  <c r="H448" i="3" s="1"/>
  <c r="BN448" i="3" s="1"/>
  <c r="F448" i="3"/>
  <c r="BM448" i="3" s="1"/>
  <c r="T448" i="3"/>
  <c r="AT447" i="3" l="1"/>
  <c r="AY446" i="3"/>
  <c r="BC446" i="3" s="1"/>
  <c r="BD446" i="3" s="1"/>
  <c r="BC445" i="3"/>
  <c r="BG445" i="3" s="1"/>
  <c r="BH445" i="3" s="1"/>
  <c r="BI445" i="3" s="1"/>
  <c r="BG444" i="3"/>
  <c r="BH444" i="3" s="1"/>
  <c r="BI444" i="3" s="1"/>
  <c r="AO448" i="3"/>
  <c r="AW447" i="3"/>
  <c r="AU447" i="3"/>
  <c r="AV447" i="3" s="1"/>
  <c r="Y448" i="3"/>
  <c r="Z448" i="3" s="1"/>
  <c r="AH448" i="3"/>
  <c r="AG448" i="3"/>
  <c r="X448" i="3"/>
  <c r="AN448" i="3"/>
  <c r="AX447" i="3"/>
  <c r="BA446" i="3"/>
  <c r="AQ449" i="3"/>
  <c r="B449" i="3"/>
  <c r="A450" i="3"/>
  <c r="AR449" i="3"/>
  <c r="C449" i="3"/>
  <c r="AK449" i="3"/>
  <c r="T449" i="3"/>
  <c r="Q449" i="3"/>
  <c r="D449" i="3"/>
  <c r="AM449" i="3"/>
  <c r="R449" i="3"/>
  <c r="S449" i="3"/>
  <c r="AD449" i="3"/>
  <c r="P449" i="3"/>
  <c r="AE449" i="3"/>
  <c r="M449" i="3"/>
  <c r="AF449" i="3"/>
  <c r="U449" i="3"/>
  <c r="O449" i="3"/>
  <c r="V449" i="3"/>
  <c r="G449" i="3"/>
  <c r="H449" i="3" s="1"/>
  <c r="F449" i="3"/>
  <c r="BB445" i="3"/>
  <c r="BF445" i="3"/>
  <c r="BJ444" i="3" s="1"/>
  <c r="BK444" i="3" s="1"/>
  <c r="BQ445" i="3"/>
  <c r="BN449" i="3" l="1"/>
  <c r="BD445" i="3"/>
  <c r="AU448" i="3"/>
  <c r="AX448" i="3"/>
  <c r="AN449" i="3"/>
  <c r="BM449" i="3"/>
  <c r="AH449" i="3"/>
  <c r="AT448" i="3"/>
  <c r="BA447" i="3"/>
  <c r="BB447" i="3" s="1"/>
  <c r="AY447" i="3"/>
  <c r="BC447" i="3" s="1"/>
  <c r="BD447" i="3" s="1"/>
  <c r="BG446" i="3"/>
  <c r="BH446" i="3" s="1"/>
  <c r="BI446" i="3" s="1"/>
  <c r="Y449" i="3"/>
  <c r="Z449" i="3" s="1"/>
  <c r="AQ450" i="3"/>
  <c r="B450" i="3"/>
  <c r="A451" i="3"/>
  <c r="AR450" i="3"/>
  <c r="C450" i="3"/>
  <c r="D450" i="3"/>
  <c r="S450" i="3"/>
  <c r="AM450" i="3"/>
  <c r="AK450" i="3"/>
  <c r="Q450" i="3"/>
  <c r="R450" i="3"/>
  <c r="AD450" i="3"/>
  <c r="P450" i="3"/>
  <c r="M450" i="3"/>
  <c r="O450" i="3"/>
  <c r="AF450" i="3"/>
  <c r="AE450" i="3"/>
  <c r="U450" i="3"/>
  <c r="V450" i="3"/>
  <c r="F450" i="3"/>
  <c r="G450" i="3"/>
  <c r="H450" i="3" s="1"/>
  <c r="T450" i="3"/>
  <c r="AG449" i="3"/>
  <c r="X449" i="3"/>
  <c r="BQ446" i="3"/>
  <c r="BF446" i="3"/>
  <c r="BJ445" i="3" s="1"/>
  <c r="BK445" i="3" s="1"/>
  <c r="BB446" i="3"/>
  <c r="AO449" i="3"/>
  <c r="AW448" i="3"/>
  <c r="AT449" i="3" l="1"/>
  <c r="AV448" i="3"/>
  <c r="AY448" i="3"/>
  <c r="BN450" i="3"/>
  <c r="BG447" i="3"/>
  <c r="BH447" i="3" s="1"/>
  <c r="BI447" i="3" s="1"/>
  <c r="BF447" i="3"/>
  <c r="BJ446" i="3" s="1"/>
  <c r="BK446" i="3" s="1"/>
  <c r="BQ447" i="3"/>
  <c r="AX449" i="3"/>
  <c r="AO450" i="3"/>
  <c r="AU449" i="3"/>
  <c r="AG450" i="3"/>
  <c r="BA448" i="3"/>
  <c r="BB448" i="3" s="1"/>
  <c r="AW449" i="3"/>
  <c r="Y450" i="3"/>
  <c r="Z450" i="3" s="1"/>
  <c r="BM450" i="3"/>
  <c r="AH450" i="3"/>
  <c r="AN450" i="3"/>
  <c r="AR451" i="3"/>
  <c r="B451" i="3"/>
  <c r="AQ451" i="3"/>
  <c r="A452" i="3"/>
  <c r="D451" i="3"/>
  <c r="C451" i="3"/>
  <c r="AK451" i="3"/>
  <c r="AM451" i="3"/>
  <c r="S451" i="3"/>
  <c r="Q451" i="3"/>
  <c r="R451" i="3"/>
  <c r="T451" i="3"/>
  <c r="AD451" i="3"/>
  <c r="P451" i="3"/>
  <c r="O451" i="3"/>
  <c r="AE451" i="3"/>
  <c r="AF451" i="3"/>
  <c r="V451" i="3"/>
  <c r="U451" i="3"/>
  <c r="M451" i="3"/>
  <c r="F451" i="3"/>
  <c r="G451" i="3"/>
  <c r="H451" i="3" s="1"/>
  <c r="X450" i="3"/>
  <c r="AV449" i="3" l="1"/>
  <c r="BC448" i="3"/>
  <c r="BG448" i="3" s="1"/>
  <c r="BH448" i="3" s="1"/>
  <c r="BI448" i="3" s="1"/>
  <c r="BF448" i="3"/>
  <c r="BJ447" i="3" s="1"/>
  <c r="BK447" i="3" s="1"/>
  <c r="BM451" i="3"/>
  <c r="AO451" i="3"/>
  <c r="BQ448" i="3"/>
  <c r="AT450" i="3"/>
  <c r="AY449" i="3"/>
  <c r="AU450" i="3"/>
  <c r="AW450" i="3"/>
  <c r="Y451" i="3"/>
  <c r="Z451" i="3" s="1"/>
  <c r="AQ452" i="3"/>
  <c r="AR452" i="3"/>
  <c r="B452" i="3"/>
  <c r="A453" i="3"/>
  <c r="D452" i="3"/>
  <c r="C452" i="3"/>
  <c r="AM452" i="3"/>
  <c r="AK452" i="3"/>
  <c r="Q452" i="3"/>
  <c r="R452" i="3"/>
  <c r="T452" i="3"/>
  <c r="S452" i="3"/>
  <c r="AD452" i="3"/>
  <c r="P452" i="3"/>
  <c r="O452" i="3"/>
  <c r="AE452" i="3"/>
  <c r="M452" i="3"/>
  <c r="AF452" i="3"/>
  <c r="U452" i="3"/>
  <c r="V452" i="3"/>
  <c r="G452" i="3"/>
  <c r="H452" i="3" s="1"/>
  <c r="F452" i="3"/>
  <c r="BM452" i="3" s="1"/>
  <c r="AH451" i="3"/>
  <c r="BN451" i="3"/>
  <c r="AG451" i="3"/>
  <c r="AN451" i="3"/>
  <c r="X451" i="3"/>
  <c r="AX450" i="3"/>
  <c r="BA449" i="3"/>
  <c r="BC449" i="3" l="1"/>
  <c r="BN452" i="3"/>
  <c r="BD448" i="3"/>
  <c r="AV450" i="3"/>
  <c r="BG449" i="3"/>
  <c r="BH449" i="3" s="1"/>
  <c r="BI449" i="3" s="1"/>
  <c r="BD449" i="3"/>
  <c r="AO452" i="3"/>
  <c r="BA450" i="3"/>
  <c r="BQ450" i="3" s="1"/>
  <c r="AG452" i="3"/>
  <c r="AU451" i="3"/>
  <c r="A454" i="3"/>
  <c r="AQ453" i="3"/>
  <c r="B453" i="3"/>
  <c r="AR453" i="3"/>
  <c r="C453" i="3"/>
  <c r="S453" i="3"/>
  <c r="R453" i="3"/>
  <c r="D453" i="3"/>
  <c r="AK453" i="3"/>
  <c r="AM453" i="3"/>
  <c r="AD453" i="3"/>
  <c r="Q453" i="3"/>
  <c r="P453" i="3"/>
  <c r="AE453" i="3"/>
  <c r="O453" i="3"/>
  <c r="M453" i="3"/>
  <c r="AF453" i="3"/>
  <c r="U453" i="3"/>
  <c r="V453" i="3"/>
  <c r="F453" i="3"/>
  <c r="G453" i="3"/>
  <c r="H453" i="3" s="1"/>
  <c r="T453" i="3"/>
  <c r="Y452" i="3"/>
  <c r="Z452" i="3" s="1"/>
  <c r="AH452" i="3"/>
  <c r="AY450" i="3"/>
  <c r="AN452" i="3"/>
  <c r="BF449" i="3"/>
  <c r="BJ448" i="3" s="1"/>
  <c r="BK448" i="3" s="1"/>
  <c r="BB449" i="3"/>
  <c r="BQ449" i="3"/>
  <c r="AT451" i="3"/>
  <c r="AW451" i="3"/>
  <c r="AX451" i="3"/>
  <c r="X452" i="3"/>
  <c r="BC450" i="3" l="1"/>
  <c r="BD450" i="3" s="1"/>
  <c r="BN453" i="3"/>
  <c r="BM453" i="3"/>
  <c r="BF450" i="3"/>
  <c r="BJ449" i="3" s="1"/>
  <c r="BK449" i="3" s="1"/>
  <c r="BB450" i="3"/>
  <c r="AX452" i="3"/>
  <c r="AU452" i="3"/>
  <c r="AO453" i="3"/>
  <c r="AT452" i="3"/>
  <c r="AW452" i="3"/>
  <c r="AY451" i="3"/>
  <c r="AV451" i="3"/>
  <c r="BA451" i="3"/>
  <c r="Y453" i="3"/>
  <c r="Z453" i="3" s="1"/>
  <c r="AG453" i="3"/>
  <c r="AN453" i="3"/>
  <c r="B454" i="3"/>
  <c r="A455" i="3"/>
  <c r="AQ454" i="3"/>
  <c r="AR454" i="3"/>
  <c r="C454" i="3"/>
  <c r="D454" i="3"/>
  <c r="AK454" i="3"/>
  <c r="T454" i="3"/>
  <c r="AM454" i="3"/>
  <c r="S454" i="3"/>
  <c r="R454" i="3"/>
  <c r="Q454" i="3"/>
  <c r="AD454" i="3"/>
  <c r="P454" i="3"/>
  <c r="M454" i="3"/>
  <c r="AE454" i="3"/>
  <c r="O454" i="3"/>
  <c r="AF454" i="3"/>
  <c r="U454" i="3"/>
  <c r="V454" i="3"/>
  <c r="F454" i="3"/>
  <c r="G454" i="3"/>
  <c r="H454" i="3" s="1"/>
  <c r="AH453" i="3"/>
  <c r="X453" i="3"/>
  <c r="BM454" i="3" l="1"/>
  <c r="BN454" i="3"/>
  <c r="AV452" i="3"/>
  <c r="AY452" i="3"/>
  <c r="BG450" i="3"/>
  <c r="BH450" i="3" s="1"/>
  <c r="BI450" i="3" s="1"/>
  <c r="BA452" i="3"/>
  <c r="BF452" i="3" s="1"/>
  <c r="AN454" i="3"/>
  <c r="BC451" i="3"/>
  <c r="BG451" i="3" s="1"/>
  <c r="BH451" i="3" s="1"/>
  <c r="BI451" i="3" s="1"/>
  <c r="AU453" i="3"/>
  <c r="AX453" i="3"/>
  <c r="AH454" i="3"/>
  <c r="AO454" i="3"/>
  <c r="X454" i="3"/>
  <c r="AW453" i="3"/>
  <c r="Y454" i="3"/>
  <c r="Z454" i="3" s="1"/>
  <c r="B455" i="3"/>
  <c r="AQ455" i="3"/>
  <c r="AR455" i="3"/>
  <c r="A456" i="3"/>
  <c r="AK455" i="3"/>
  <c r="S455" i="3"/>
  <c r="D455" i="3"/>
  <c r="C455" i="3"/>
  <c r="AM455" i="3"/>
  <c r="R455" i="3"/>
  <c r="AD455" i="3"/>
  <c r="P455" i="3"/>
  <c r="O455" i="3"/>
  <c r="AE455" i="3"/>
  <c r="V455" i="3"/>
  <c r="AF455" i="3"/>
  <c r="M455" i="3"/>
  <c r="U455" i="3"/>
  <c r="Q455" i="3"/>
  <c r="G455" i="3"/>
  <c r="H455" i="3" s="1"/>
  <c r="F455" i="3"/>
  <c r="T455" i="3"/>
  <c r="BB451" i="3"/>
  <c r="BQ451" i="3"/>
  <c r="BF451" i="3"/>
  <c r="BJ450" i="3" s="1"/>
  <c r="BK450" i="3" s="1"/>
  <c r="AG454" i="3"/>
  <c r="AT453" i="3"/>
  <c r="BC452" i="3" l="1"/>
  <c r="BD452" i="3" s="1"/>
  <c r="AN455" i="3"/>
  <c r="BM455" i="3"/>
  <c r="BN455" i="3"/>
  <c r="BB452" i="3"/>
  <c r="BQ452" i="3"/>
  <c r="BD451" i="3"/>
  <c r="AW454" i="3"/>
  <c r="AH455" i="3"/>
  <c r="BA453" i="3"/>
  <c r="AV453" i="3"/>
  <c r="AR456" i="3"/>
  <c r="B456" i="3"/>
  <c r="AQ456" i="3"/>
  <c r="A457" i="3"/>
  <c r="C456" i="3"/>
  <c r="D456" i="3"/>
  <c r="AK456" i="3"/>
  <c r="S456" i="3"/>
  <c r="R456" i="3"/>
  <c r="AM456" i="3"/>
  <c r="Q456" i="3"/>
  <c r="AD456" i="3"/>
  <c r="P456" i="3"/>
  <c r="O456" i="3"/>
  <c r="M456" i="3"/>
  <c r="V456" i="3"/>
  <c r="AE456" i="3"/>
  <c r="AF456" i="3"/>
  <c r="U456" i="3"/>
  <c r="G456" i="3"/>
  <c r="H456" i="3" s="1"/>
  <c r="BN456" i="3" s="1"/>
  <c r="F456" i="3"/>
  <c r="BM456" i="3" s="1"/>
  <c r="T456" i="3"/>
  <c r="AT454" i="3"/>
  <c r="BJ451" i="3"/>
  <c r="BK451" i="3" s="1"/>
  <c r="Y455" i="3"/>
  <c r="Z455" i="3" s="1"/>
  <c r="AG455" i="3"/>
  <c r="X455" i="3"/>
  <c r="AX454" i="3"/>
  <c r="AO455" i="3"/>
  <c r="AU454" i="3"/>
  <c r="AY453" i="3"/>
  <c r="BG452" i="3" l="1"/>
  <c r="BH452" i="3" s="1"/>
  <c r="BI452" i="3" s="1"/>
  <c r="AU455" i="3"/>
  <c r="AO456" i="3"/>
  <c r="AY454" i="3"/>
  <c r="Y456" i="3"/>
  <c r="Z456" i="3" s="1"/>
  <c r="AT455" i="3"/>
  <c r="AV455" i="3" s="1"/>
  <c r="AX455" i="3"/>
  <c r="AG456" i="3"/>
  <c r="BQ453" i="3"/>
  <c r="BB453" i="3"/>
  <c r="BF453" i="3"/>
  <c r="BJ452" i="3" s="1"/>
  <c r="BK452" i="3" s="1"/>
  <c r="AV454" i="3"/>
  <c r="X456" i="3"/>
  <c r="AQ457" i="3"/>
  <c r="B457" i="3"/>
  <c r="A458" i="3"/>
  <c r="AR457" i="3"/>
  <c r="D457" i="3"/>
  <c r="AK457" i="3"/>
  <c r="C457" i="3"/>
  <c r="AM457" i="3"/>
  <c r="S457" i="3"/>
  <c r="Q457" i="3"/>
  <c r="R457" i="3"/>
  <c r="AD457" i="3"/>
  <c r="P457" i="3"/>
  <c r="O457" i="3"/>
  <c r="AE457" i="3"/>
  <c r="AF457" i="3"/>
  <c r="M457" i="3"/>
  <c r="V457" i="3"/>
  <c r="U457" i="3"/>
  <c r="F457" i="3"/>
  <c r="G457" i="3"/>
  <c r="H457" i="3" s="1"/>
  <c r="T457" i="3"/>
  <c r="BA454" i="3"/>
  <c r="AW455" i="3"/>
  <c r="AH456" i="3"/>
  <c r="AN456" i="3"/>
  <c r="BC453" i="3"/>
  <c r="AN457" i="3" l="1"/>
  <c r="BN457" i="3"/>
  <c r="BM457" i="3"/>
  <c r="BC454" i="3"/>
  <c r="BG454" i="3" s="1"/>
  <c r="BH454" i="3" s="1"/>
  <c r="BI454" i="3" s="1"/>
  <c r="AY455" i="3"/>
  <c r="BC455" i="3" s="1"/>
  <c r="BG455" i="3" s="1"/>
  <c r="BH455" i="3" s="1"/>
  <c r="BI455" i="3" s="1"/>
  <c r="Y457" i="3"/>
  <c r="Z457" i="3" s="1"/>
  <c r="AT456" i="3"/>
  <c r="BD454" i="3"/>
  <c r="BD453" i="3"/>
  <c r="BG453" i="3"/>
  <c r="BH453" i="3" s="1"/>
  <c r="BI453" i="3" s="1"/>
  <c r="AH457" i="3"/>
  <c r="AO457" i="3"/>
  <c r="BA455" i="3"/>
  <c r="BF454" i="3"/>
  <c r="BJ453" i="3" s="1"/>
  <c r="BK453" i="3" s="1"/>
  <c r="BQ454" i="3"/>
  <c r="BB454" i="3"/>
  <c r="AQ458" i="3"/>
  <c r="B458" i="3"/>
  <c r="A459" i="3"/>
  <c r="AR458" i="3"/>
  <c r="C458" i="3"/>
  <c r="D458" i="3"/>
  <c r="S458" i="3"/>
  <c r="R458" i="3"/>
  <c r="AK458" i="3"/>
  <c r="AM458" i="3"/>
  <c r="Q458" i="3"/>
  <c r="AD458" i="3"/>
  <c r="P458" i="3"/>
  <c r="M458" i="3"/>
  <c r="AE458" i="3"/>
  <c r="V458" i="3"/>
  <c r="O458" i="3"/>
  <c r="AF458" i="3"/>
  <c r="U458" i="3"/>
  <c r="G458" i="3"/>
  <c r="H458" i="3" s="1"/>
  <c r="F458" i="3"/>
  <c r="T458" i="3"/>
  <c r="AX456" i="3"/>
  <c r="AG457" i="3"/>
  <c r="X457" i="3"/>
  <c r="AU456" i="3"/>
  <c r="AW456" i="3"/>
  <c r="BM458" i="3" l="1"/>
  <c r="BN458" i="3"/>
  <c r="BD455" i="3"/>
  <c r="AO458" i="3"/>
  <c r="AG458" i="3"/>
  <c r="AU457" i="3"/>
  <c r="AY456" i="3"/>
  <c r="AW457" i="3"/>
  <c r="BA456" i="3"/>
  <c r="BF456" i="3" s="1"/>
  <c r="AR459" i="3"/>
  <c r="B459" i="3"/>
  <c r="AQ459" i="3"/>
  <c r="A460" i="3"/>
  <c r="D459" i="3"/>
  <c r="C459" i="3"/>
  <c r="AM459" i="3"/>
  <c r="AK459" i="3"/>
  <c r="T459" i="3"/>
  <c r="R459" i="3"/>
  <c r="S459" i="3"/>
  <c r="Q459" i="3"/>
  <c r="AD459" i="3"/>
  <c r="O459" i="3"/>
  <c r="AE459" i="3"/>
  <c r="V459" i="3"/>
  <c r="P459" i="3"/>
  <c r="M459" i="3"/>
  <c r="AF459" i="3"/>
  <c r="U459" i="3"/>
  <c r="G459" i="3"/>
  <c r="H459" i="3" s="1"/>
  <c r="F459" i="3"/>
  <c r="Y458" i="3"/>
  <c r="Z458" i="3" s="1"/>
  <c r="AH458" i="3"/>
  <c r="AN458" i="3"/>
  <c r="AT457" i="3"/>
  <c r="AX457" i="3"/>
  <c r="AV456" i="3"/>
  <c r="BB455" i="3"/>
  <c r="BF455" i="3"/>
  <c r="BJ454" i="3" s="1"/>
  <c r="BK454" i="3" s="1"/>
  <c r="BQ455" i="3"/>
  <c r="X458" i="3"/>
  <c r="BN459" i="3" l="1"/>
  <c r="BM459" i="3"/>
  <c r="AY457" i="3"/>
  <c r="BC456" i="3"/>
  <c r="BD456" i="3" s="1"/>
  <c r="AN459" i="3"/>
  <c r="AH459" i="3"/>
  <c r="AX458" i="3"/>
  <c r="BB456" i="3"/>
  <c r="BQ456" i="3"/>
  <c r="BA457" i="3"/>
  <c r="AV457" i="3"/>
  <c r="Y459" i="3"/>
  <c r="Z459" i="3" s="1"/>
  <c r="AQ460" i="3"/>
  <c r="AR460" i="3"/>
  <c r="B460" i="3"/>
  <c r="A461" i="3"/>
  <c r="C460" i="3"/>
  <c r="D460" i="3"/>
  <c r="AM460" i="3"/>
  <c r="AK460" i="3"/>
  <c r="Q460" i="3"/>
  <c r="S460" i="3"/>
  <c r="R460" i="3"/>
  <c r="P460" i="3"/>
  <c r="AD460" i="3"/>
  <c r="O460" i="3"/>
  <c r="AF460" i="3"/>
  <c r="M460" i="3"/>
  <c r="AE460" i="3"/>
  <c r="V460" i="3"/>
  <c r="U460" i="3"/>
  <c r="G460" i="3"/>
  <c r="H460" i="3" s="1"/>
  <c r="BN460" i="3" s="1"/>
  <c r="F460" i="3"/>
  <c r="BM460" i="3" s="1"/>
  <c r="T460" i="3"/>
  <c r="AU458" i="3"/>
  <c r="AW458" i="3"/>
  <c r="AT458" i="3"/>
  <c r="AO459" i="3"/>
  <c r="X459" i="3"/>
  <c r="BJ455" i="3"/>
  <c r="BK455" i="3" s="1"/>
  <c r="AG459" i="3"/>
  <c r="BC457" i="3" l="1"/>
  <c r="BD457" i="3" s="1"/>
  <c r="AG460" i="3"/>
  <c r="BG456" i="3"/>
  <c r="BH456" i="3" s="1"/>
  <c r="BI456" i="3" s="1"/>
  <c r="AO460" i="3"/>
  <c r="AY458" i="3"/>
  <c r="AW459" i="3"/>
  <c r="AV458" i="3"/>
  <c r="BA458" i="3"/>
  <c r="BF457" i="3"/>
  <c r="BJ456" i="3" s="1"/>
  <c r="BK456" i="3" s="1"/>
  <c r="BB457" i="3"/>
  <c r="BQ457" i="3"/>
  <c r="Y460" i="3"/>
  <c r="Z460" i="3" s="1"/>
  <c r="AU459" i="3"/>
  <c r="AX459" i="3"/>
  <c r="AH460" i="3"/>
  <c r="AN460" i="3"/>
  <c r="X460" i="3"/>
  <c r="A462" i="3"/>
  <c r="AQ461" i="3"/>
  <c r="B461" i="3"/>
  <c r="AR461" i="3"/>
  <c r="C461" i="3"/>
  <c r="Q461" i="3"/>
  <c r="AM461" i="3"/>
  <c r="D461" i="3"/>
  <c r="AK461" i="3"/>
  <c r="T461" i="3"/>
  <c r="R461" i="3"/>
  <c r="AD461" i="3"/>
  <c r="S461" i="3"/>
  <c r="P461" i="3"/>
  <c r="AE461" i="3"/>
  <c r="AF461" i="3"/>
  <c r="V461" i="3"/>
  <c r="U461" i="3"/>
  <c r="O461" i="3"/>
  <c r="M461" i="3"/>
  <c r="G461" i="3"/>
  <c r="H461" i="3" s="1"/>
  <c r="F461" i="3"/>
  <c r="AT459" i="3"/>
  <c r="AY459" i="3" l="1"/>
  <c r="AO461" i="3"/>
  <c r="BG457" i="3"/>
  <c r="BH457" i="3" s="1"/>
  <c r="BI457" i="3" s="1"/>
  <c r="AT460" i="3"/>
  <c r="BM461" i="3"/>
  <c r="BC458" i="3"/>
  <c r="BG458" i="3" s="1"/>
  <c r="BH458" i="3" s="1"/>
  <c r="BI458" i="3" s="1"/>
  <c r="BN461" i="3"/>
  <c r="AG461" i="3"/>
  <c r="AX460" i="3"/>
  <c r="B462" i="3"/>
  <c r="A463" i="3"/>
  <c r="AQ462" i="3"/>
  <c r="AR462" i="3"/>
  <c r="D462" i="3"/>
  <c r="AM462" i="3"/>
  <c r="S462" i="3"/>
  <c r="Q462" i="3"/>
  <c r="AK462" i="3"/>
  <c r="C462" i="3"/>
  <c r="R462" i="3"/>
  <c r="T462" i="3"/>
  <c r="AD462" i="3"/>
  <c r="P462" i="3"/>
  <c r="AE462" i="3"/>
  <c r="M462" i="3"/>
  <c r="O462" i="3"/>
  <c r="V462" i="3"/>
  <c r="AF462" i="3"/>
  <c r="U462" i="3"/>
  <c r="F462" i="3"/>
  <c r="G462" i="3"/>
  <c r="H462" i="3" s="1"/>
  <c r="AN461" i="3"/>
  <c r="X461" i="3"/>
  <c r="AV459" i="3"/>
  <c r="BA459" i="3"/>
  <c r="Y461" i="3"/>
  <c r="Z461" i="3" s="1"/>
  <c r="BQ458" i="3"/>
  <c r="BF458" i="3"/>
  <c r="BJ457" i="3" s="1"/>
  <c r="BK457" i="3" s="1"/>
  <c r="BB458" i="3"/>
  <c r="AH461" i="3"/>
  <c r="AU460" i="3"/>
  <c r="AW460" i="3"/>
  <c r="BC459" i="3" l="1"/>
  <c r="BG459" i="3" s="1"/>
  <c r="BH459" i="3" s="1"/>
  <c r="BI459" i="3" s="1"/>
  <c r="BD458" i="3"/>
  <c r="AV460" i="3"/>
  <c r="AX461" i="3"/>
  <c r="AO462" i="3"/>
  <c r="BM462" i="3"/>
  <c r="AY460" i="3"/>
  <c r="AU461" i="3"/>
  <c r="BD459" i="3"/>
  <c r="BF459" i="3"/>
  <c r="BJ458" i="3" s="1"/>
  <c r="BK458" i="3" s="1"/>
  <c r="BQ459" i="3"/>
  <c r="BB459" i="3"/>
  <c r="B463" i="3"/>
  <c r="AQ463" i="3"/>
  <c r="AR463" i="3"/>
  <c r="A464" i="3"/>
  <c r="C463" i="3"/>
  <c r="D463" i="3"/>
  <c r="AK463" i="3"/>
  <c r="AM463" i="3"/>
  <c r="T463" i="3"/>
  <c r="Q463" i="3"/>
  <c r="S463" i="3"/>
  <c r="R463" i="3"/>
  <c r="AD463" i="3"/>
  <c r="O463" i="3"/>
  <c r="P463" i="3"/>
  <c r="AE463" i="3"/>
  <c r="AF463" i="3"/>
  <c r="U463" i="3"/>
  <c r="V463" i="3"/>
  <c r="M463" i="3"/>
  <c r="G463" i="3"/>
  <c r="H463" i="3" s="1"/>
  <c r="F463" i="3"/>
  <c r="AG462" i="3"/>
  <c r="AT461" i="3"/>
  <c r="BN462" i="3"/>
  <c r="X462" i="3"/>
  <c r="AN462" i="3"/>
  <c r="Y462" i="3"/>
  <c r="Z462" i="3" s="1"/>
  <c r="BA460" i="3"/>
  <c r="AW461" i="3"/>
  <c r="AH462" i="3"/>
  <c r="BC460" i="3" l="1"/>
  <c r="AY461" i="3"/>
  <c r="AO463" i="3"/>
  <c r="BN463" i="3"/>
  <c r="AH463" i="3"/>
  <c r="AX462" i="3"/>
  <c r="AV461" i="3"/>
  <c r="BD460" i="3"/>
  <c r="BG460" i="3"/>
  <c r="BH460" i="3" s="1"/>
  <c r="BI460" i="3" s="1"/>
  <c r="Y463" i="3"/>
  <c r="Z463" i="3" s="1"/>
  <c r="AR464" i="3"/>
  <c r="B464" i="3"/>
  <c r="AQ464" i="3"/>
  <c r="A465" i="3"/>
  <c r="D464" i="3"/>
  <c r="C464" i="3"/>
  <c r="T464" i="3"/>
  <c r="Q464" i="3"/>
  <c r="AM464" i="3"/>
  <c r="AK464" i="3"/>
  <c r="R464" i="3"/>
  <c r="AD464" i="3"/>
  <c r="S464" i="3"/>
  <c r="O464" i="3"/>
  <c r="AE464" i="3"/>
  <c r="AF464" i="3"/>
  <c r="U464" i="3"/>
  <c r="P464" i="3"/>
  <c r="M464" i="3"/>
  <c r="V464" i="3"/>
  <c r="G464" i="3"/>
  <c r="H464" i="3" s="1"/>
  <c r="F464" i="3"/>
  <c r="BM464" i="3" s="1"/>
  <c r="AU462" i="3"/>
  <c r="AT462" i="3"/>
  <c r="BA461" i="3"/>
  <c r="BM463" i="3"/>
  <c r="AG463" i="3"/>
  <c r="AN463" i="3"/>
  <c r="BQ460" i="3"/>
  <c r="BF460" i="3"/>
  <c r="BJ459" i="3" s="1"/>
  <c r="BK459" i="3" s="1"/>
  <c r="BB460" i="3"/>
  <c r="AW462" i="3"/>
  <c r="X463" i="3"/>
  <c r="BN464" i="3" l="1"/>
  <c r="BC461" i="3"/>
  <c r="BG461" i="3" s="1"/>
  <c r="BH461" i="3" s="1"/>
  <c r="BI461" i="3" s="1"/>
  <c r="AW463" i="3"/>
  <c r="AN464" i="3"/>
  <c r="AG464" i="3"/>
  <c r="AO464" i="3"/>
  <c r="AU463" i="3"/>
  <c r="BA462" i="3"/>
  <c r="AY462" i="3"/>
  <c r="BB461" i="3"/>
  <c r="BF461" i="3"/>
  <c r="BQ461" i="3"/>
  <c r="Y464" i="3"/>
  <c r="Z464" i="3" s="1"/>
  <c r="AQ465" i="3"/>
  <c r="B465" i="3"/>
  <c r="A466" i="3"/>
  <c r="AR465" i="3"/>
  <c r="D465" i="3"/>
  <c r="AK465" i="3"/>
  <c r="R465" i="3"/>
  <c r="C465" i="3"/>
  <c r="AM465" i="3"/>
  <c r="S465" i="3"/>
  <c r="Q465" i="3"/>
  <c r="P465" i="3"/>
  <c r="AD465" i="3"/>
  <c r="O465" i="3"/>
  <c r="AE465" i="3"/>
  <c r="V465" i="3"/>
  <c r="U465" i="3"/>
  <c r="AF465" i="3"/>
  <c r="M465" i="3"/>
  <c r="F465" i="3"/>
  <c r="G465" i="3"/>
  <c r="H465" i="3" s="1"/>
  <c r="T465" i="3"/>
  <c r="AT463" i="3"/>
  <c r="AX463" i="3"/>
  <c r="AV462" i="3"/>
  <c r="AH464" i="3"/>
  <c r="X464" i="3"/>
  <c r="BM465" i="3" l="1"/>
  <c r="BD461" i="3"/>
  <c r="BN465" i="3"/>
  <c r="AY463" i="3"/>
  <c r="AX464" i="3"/>
  <c r="AG465" i="3"/>
  <c r="AV463" i="3"/>
  <c r="AN465" i="3"/>
  <c r="BC462" i="3"/>
  <c r="BD462" i="3" s="1"/>
  <c r="BF462" i="3"/>
  <c r="BJ461" i="3" s="1"/>
  <c r="BK461" i="3" s="1"/>
  <c r="BB462" i="3"/>
  <c r="BQ462" i="3"/>
  <c r="BA463" i="3"/>
  <c r="AH465" i="3"/>
  <c r="Y465" i="3"/>
  <c r="Z465" i="3" s="1"/>
  <c r="X465" i="3"/>
  <c r="AO465" i="3"/>
  <c r="AT464" i="3"/>
  <c r="AW464" i="3"/>
  <c r="AQ466" i="3"/>
  <c r="B466" i="3"/>
  <c r="A467" i="3"/>
  <c r="AR466" i="3"/>
  <c r="D466" i="3"/>
  <c r="C466" i="3"/>
  <c r="AM466" i="3"/>
  <c r="Q466" i="3"/>
  <c r="AK466" i="3"/>
  <c r="S466" i="3"/>
  <c r="T466" i="3"/>
  <c r="AD466" i="3"/>
  <c r="P466" i="3"/>
  <c r="AF466" i="3"/>
  <c r="V466" i="3"/>
  <c r="O466" i="3"/>
  <c r="M466" i="3"/>
  <c r="AE466" i="3"/>
  <c r="U466" i="3"/>
  <c r="R466" i="3"/>
  <c r="G466" i="3"/>
  <c r="H466" i="3" s="1"/>
  <c r="F466" i="3"/>
  <c r="BM466" i="3" s="1"/>
  <c r="BJ460" i="3"/>
  <c r="BK460" i="3" s="1"/>
  <c r="AU464" i="3"/>
  <c r="BN466" i="3" l="1"/>
  <c r="BC463" i="3"/>
  <c r="BD463" i="3" s="1"/>
  <c r="AY464" i="3"/>
  <c r="AG466" i="3"/>
  <c r="AX465" i="3"/>
  <c r="AU465" i="3"/>
  <c r="AT465" i="3"/>
  <c r="BG462" i="3"/>
  <c r="BH462" i="3" s="1"/>
  <c r="BI462" i="3" s="1"/>
  <c r="AO466" i="3"/>
  <c r="AN466" i="3"/>
  <c r="Y466" i="3"/>
  <c r="Z466" i="3" s="1"/>
  <c r="AR467" i="3"/>
  <c r="B467" i="3"/>
  <c r="AQ467" i="3"/>
  <c r="A468" i="3"/>
  <c r="D467" i="3"/>
  <c r="AM467" i="3"/>
  <c r="S467" i="3"/>
  <c r="C467" i="3"/>
  <c r="AK467" i="3"/>
  <c r="R467" i="3"/>
  <c r="Q467" i="3"/>
  <c r="AD467" i="3"/>
  <c r="P467" i="3"/>
  <c r="M467" i="3"/>
  <c r="AE467" i="3"/>
  <c r="O467" i="3"/>
  <c r="U467" i="3"/>
  <c r="AF467" i="3"/>
  <c r="V467" i="3"/>
  <c r="G467" i="3"/>
  <c r="H467" i="3" s="1"/>
  <c r="F467" i="3"/>
  <c r="T467" i="3"/>
  <c r="AV464" i="3"/>
  <c r="BA464" i="3"/>
  <c r="AW465" i="3"/>
  <c r="BF463" i="3"/>
  <c r="BJ462" i="3" s="1"/>
  <c r="BK462" i="3" s="1"/>
  <c r="BB463" i="3"/>
  <c r="BQ463" i="3"/>
  <c r="AH466" i="3"/>
  <c r="X466" i="3"/>
  <c r="BG463" i="3" l="1"/>
  <c r="BH463" i="3" s="1"/>
  <c r="BI463" i="3" s="1"/>
  <c r="BC464" i="3"/>
  <c r="BD464" i="3" s="1"/>
  <c r="BN467" i="3"/>
  <c r="AY465" i="3"/>
  <c r="AV465" i="3"/>
  <c r="AX466" i="3"/>
  <c r="AN467" i="3"/>
  <c r="AW466" i="3"/>
  <c r="AT466" i="3"/>
  <c r="BF464" i="3"/>
  <c r="BJ463" i="3" s="1"/>
  <c r="BK463" i="3" s="1"/>
  <c r="BQ464" i="3"/>
  <c r="BB464" i="3"/>
  <c r="BA465" i="3"/>
  <c r="Y467" i="3"/>
  <c r="Z467" i="3" s="1"/>
  <c r="AU466" i="3"/>
  <c r="BM467" i="3"/>
  <c r="AG467" i="3"/>
  <c r="AO467" i="3"/>
  <c r="AQ468" i="3"/>
  <c r="AR468" i="3"/>
  <c r="B468" i="3"/>
  <c r="A469" i="3"/>
  <c r="D468" i="3"/>
  <c r="AK468" i="3"/>
  <c r="S468" i="3"/>
  <c r="C468" i="3"/>
  <c r="AM468" i="3"/>
  <c r="AD468" i="3"/>
  <c r="P468" i="3"/>
  <c r="Q468" i="3"/>
  <c r="R468" i="3"/>
  <c r="M468" i="3"/>
  <c r="O468" i="3"/>
  <c r="AE468" i="3"/>
  <c r="U468" i="3"/>
  <c r="AF468" i="3"/>
  <c r="V468" i="3"/>
  <c r="F468" i="3"/>
  <c r="BM468" i="3" s="1"/>
  <c r="G468" i="3"/>
  <c r="H468" i="3" s="1"/>
  <c r="T468" i="3"/>
  <c r="AH467" i="3"/>
  <c r="X467" i="3"/>
  <c r="BN468" i="3" l="1"/>
  <c r="BG464" i="3"/>
  <c r="BH464" i="3" s="1"/>
  <c r="BI464" i="3" s="1"/>
  <c r="AY466" i="3"/>
  <c r="BC465" i="3"/>
  <c r="BD465" i="3" s="1"/>
  <c r="AN468" i="3"/>
  <c r="AV466" i="3"/>
  <c r="Y468" i="3"/>
  <c r="Z468" i="3" s="1"/>
  <c r="AT467" i="3"/>
  <c r="AX467" i="3"/>
  <c r="BQ465" i="3"/>
  <c r="BB465" i="3"/>
  <c r="BF465" i="3"/>
  <c r="BJ464" i="3" s="1"/>
  <c r="BK464" i="3" s="1"/>
  <c r="AW467" i="3"/>
  <c r="BA466" i="3"/>
  <c r="A470" i="3"/>
  <c r="AQ469" i="3"/>
  <c r="B469" i="3"/>
  <c r="AR469" i="3"/>
  <c r="C469" i="3"/>
  <c r="D469" i="3"/>
  <c r="AM469" i="3"/>
  <c r="T469" i="3"/>
  <c r="AK469" i="3"/>
  <c r="R469" i="3"/>
  <c r="S469" i="3"/>
  <c r="AD469" i="3"/>
  <c r="AE469" i="3"/>
  <c r="M469" i="3"/>
  <c r="O469" i="3"/>
  <c r="AF469" i="3"/>
  <c r="U469" i="3"/>
  <c r="V469" i="3"/>
  <c r="P469" i="3"/>
  <c r="Q469" i="3"/>
  <c r="G469" i="3"/>
  <c r="H469" i="3" s="1"/>
  <c r="F469" i="3"/>
  <c r="AG468" i="3"/>
  <c r="AH468" i="3"/>
  <c r="X468" i="3"/>
  <c r="AO468" i="3"/>
  <c r="AU467" i="3"/>
  <c r="BC466" i="3" l="1"/>
  <c r="AO469" i="3"/>
  <c r="BN469" i="3"/>
  <c r="AG469" i="3"/>
  <c r="BG465" i="3"/>
  <c r="BH465" i="3" s="1"/>
  <c r="BI465" i="3" s="1"/>
  <c r="AY467" i="3"/>
  <c r="AW468" i="3"/>
  <c r="AT468" i="3"/>
  <c r="AX468" i="3"/>
  <c r="Y469" i="3"/>
  <c r="Z469" i="3" s="1"/>
  <c r="BF466" i="3"/>
  <c r="BJ465" i="3" s="1"/>
  <c r="BK465" i="3" s="1"/>
  <c r="BQ466" i="3"/>
  <c r="BB466" i="3"/>
  <c r="BA467" i="3"/>
  <c r="AV467" i="3"/>
  <c r="AN469" i="3"/>
  <c r="BM469" i="3"/>
  <c r="AH469" i="3"/>
  <c r="AU468" i="3"/>
  <c r="B470" i="3"/>
  <c r="A471" i="3"/>
  <c r="AQ470" i="3"/>
  <c r="AR470" i="3"/>
  <c r="D470" i="3"/>
  <c r="C470" i="3"/>
  <c r="AM470" i="3"/>
  <c r="AK470" i="3"/>
  <c r="R470" i="3"/>
  <c r="AD470" i="3"/>
  <c r="P470" i="3"/>
  <c r="S470" i="3"/>
  <c r="Q470" i="3"/>
  <c r="O470" i="3"/>
  <c r="M470" i="3"/>
  <c r="V470" i="3"/>
  <c r="AF470" i="3"/>
  <c r="AE470" i="3"/>
  <c r="G470" i="3"/>
  <c r="H470" i="3" s="1"/>
  <c r="U470" i="3"/>
  <c r="F470" i="3"/>
  <c r="T470" i="3"/>
  <c r="X469" i="3"/>
  <c r="BN470" i="3" l="1"/>
  <c r="AX469" i="3"/>
  <c r="BG466" i="3"/>
  <c r="BH466" i="3" s="1"/>
  <c r="BI466" i="3" s="1"/>
  <c r="BD466" i="3"/>
  <c r="AN470" i="3"/>
  <c r="BM470" i="3"/>
  <c r="BC467" i="3"/>
  <c r="BD467" i="3" s="1"/>
  <c r="AY468" i="3"/>
  <c r="BC468" i="3" s="1"/>
  <c r="BB467" i="3"/>
  <c r="BQ467" i="3"/>
  <c r="BF467" i="3"/>
  <c r="BJ466" i="3" s="1"/>
  <c r="BK466" i="3" s="1"/>
  <c r="B471" i="3"/>
  <c r="AQ471" i="3"/>
  <c r="AR471" i="3"/>
  <c r="A472" i="3"/>
  <c r="C471" i="3"/>
  <c r="AK471" i="3"/>
  <c r="S471" i="3"/>
  <c r="D471" i="3"/>
  <c r="AM471" i="3"/>
  <c r="T471" i="3"/>
  <c r="R471" i="3"/>
  <c r="Q471" i="3"/>
  <c r="AD471" i="3"/>
  <c r="P471" i="3"/>
  <c r="O471" i="3"/>
  <c r="M471" i="3"/>
  <c r="AE471" i="3"/>
  <c r="U471" i="3"/>
  <c r="AF471" i="3"/>
  <c r="V471" i="3"/>
  <c r="F471" i="3"/>
  <c r="BM471" i="3" s="1"/>
  <c r="G471" i="3"/>
  <c r="H471" i="3" s="1"/>
  <c r="AV468" i="3"/>
  <c r="BA468" i="3"/>
  <c r="AU469" i="3"/>
  <c r="Y470" i="3"/>
  <c r="Z470" i="3" s="1"/>
  <c r="AG470" i="3"/>
  <c r="AH470" i="3"/>
  <c r="AO470" i="3"/>
  <c r="X470" i="3"/>
  <c r="AT469" i="3"/>
  <c r="AW469" i="3"/>
  <c r="AV469" i="3" l="1"/>
  <c r="BN471" i="3"/>
  <c r="BG467" i="3"/>
  <c r="BH467" i="3" s="1"/>
  <c r="BI467" i="3" s="1"/>
  <c r="AG471" i="3"/>
  <c r="AN471" i="3"/>
  <c r="AX470" i="3"/>
  <c r="BD468" i="3"/>
  <c r="BG468" i="3"/>
  <c r="BH468" i="3" s="1"/>
  <c r="BI468" i="3" s="1"/>
  <c r="BA469" i="3"/>
  <c r="AY469" i="3"/>
  <c r="AT470" i="3"/>
  <c r="AW470" i="3"/>
  <c r="BQ468" i="3"/>
  <c r="BF468" i="3"/>
  <c r="BJ467" i="3" s="1"/>
  <c r="BK467" i="3" s="1"/>
  <c r="BB468" i="3"/>
  <c r="Y471" i="3"/>
  <c r="Z471" i="3" s="1"/>
  <c r="AR472" i="3"/>
  <c r="B472" i="3"/>
  <c r="AQ472" i="3"/>
  <c r="A473" i="3"/>
  <c r="D472" i="3"/>
  <c r="C472" i="3"/>
  <c r="S472" i="3"/>
  <c r="AM472" i="3"/>
  <c r="AK472" i="3"/>
  <c r="T472" i="3"/>
  <c r="Q472" i="3"/>
  <c r="R472" i="3"/>
  <c r="P472" i="3"/>
  <c r="AD472" i="3"/>
  <c r="O472" i="3"/>
  <c r="AF472" i="3"/>
  <c r="AE472" i="3"/>
  <c r="M472" i="3"/>
  <c r="U472" i="3"/>
  <c r="V472" i="3"/>
  <c r="G472" i="3"/>
  <c r="H472" i="3" s="1"/>
  <c r="F472" i="3"/>
  <c r="AU470" i="3"/>
  <c r="AH471" i="3"/>
  <c r="AO471" i="3"/>
  <c r="X471" i="3"/>
  <c r="BN472" i="3" l="1"/>
  <c r="BC469" i="3"/>
  <c r="BG469" i="3" s="1"/>
  <c r="BH469" i="3" s="1"/>
  <c r="BI469" i="3" s="1"/>
  <c r="BM472" i="3"/>
  <c r="AY470" i="3"/>
  <c r="AO472" i="3"/>
  <c r="AX471" i="3"/>
  <c r="AG472" i="3"/>
  <c r="Y472" i="3"/>
  <c r="Z472" i="3" s="1"/>
  <c r="AQ473" i="3"/>
  <c r="B473" i="3"/>
  <c r="A474" i="3"/>
  <c r="AR473" i="3"/>
  <c r="C473" i="3"/>
  <c r="D473" i="3"/>
  <c r="AM473" i="3"/>
  <c r="AK473" i="3"/>
  <c r="T473" i="3"/>
  <c r="S473" i="3"/>
  <c r="AD473" i="3"/>
  <c r="P473" i="3"/>
  <c r="Q473" i="3"/>
  <c r="O473" i="3"/>
  <c r="AE473" i="3"/>
  <c r="M473" i="3"/>
  <c r="V473" i="3"/>
  <c r="AF473" i="3"/>
  <c r="U473" i="3"/>
  <c r="R473" i="3"/>
  <c r="G473" i="3"/>
  <c r="H473" i="3" s="1"/>
  <c r="F473" i="3"/>
  <c r="BA470" i="3"/>
  <c r="AV470" i="3"/>
  <c r="BC470" i="3" s="1"/>
  <c r="BF469" i="3"/>
  <c r="BJ468" i="3" s="1"/>
  <c r="BK468" i="3" s="1"/>
  <c r="BQ469" i="3"/>
  <c r="BB469" i="3"/>
  <c r="AW471" i="3"/>
  <c r="AH472" i="3"/>
  <c r="AN472" i="3"/>
  <c r="X472" i="3"/>
  <c r="AT471" i="3"/>
  <c r="AU471" i="3"/>
  <c r="BD469" i="3" l="1"/>
  <c r="AU472" i="3"/>
  <c r="AY471" i="3"/>
  <c r="BN473" i="3"/>
  <c r="BM473" i="3"/>
  <c r="AO473" i="3"/>
  <c r="BA471" i="3"/>
  <c r="BF471" i="3" s="1"/>
  <c r="BQ470" i="3"/>
  <c r="BB470" i="3"/>
  <c r="BF470" i="3"/>
  <c r="BJ469" i="3" s="1"/>
  <c r="BK469" i="3" s="1"/>
  <c r="AQ474" i="3"/>
  <c r="B474" i="3"/>
  <c r="A475" i="3"/>
  <c r="AR474" i="3"/>
  <c r="C474" i="3"/>
  <c r="AM474" i="3"/>
  <c r="T474" i="3"/>
  <c r="S474" i="3"/>
  <c r="D474" i="3"/>
  <c r="AK474" i="3"/>
  <c r="Q474" i="3"/>
  <c r="R474" i="3"/>
  <c r="AD474" i="3"/>
  <c r="O474" i="3"/>
  <c r="AE474" i="3"/>
  <c r="M474" i="3"/>
  <c r="AF474" i="3"/>
  <c r="P474" i="3"/>
  <c r="U474" i="3"/>
  <c r="V474" i="3"/>
  <c r="F474" i="3"/>
  <c r="BM474" i="3" s="1"/>
  <c r="G474" i="3"/>
  <c r="H474" i="3" s="1"/>
  <c r="AX472" i="3"/>
  <c r="AT472" i="3"/>
  <c r="AG473" i="3"/>
  <c r="AH473" i="3"/>
  <c r="AN473" i="3"/>
  <c r="X473" i="3"/>
  <c r="BD470" i="3"/>
  <c r="BG470" i="3"/>
  <c r="BH470" i="3" s="1"/>
  <c r="BI470" i="3" s="1"/>
  <c r="Y473" i="3"/>
  <c r="Z473" i="3" s="1"/>
  <c r="AV471" i="3"/>
  <c r="AW472" i="3"/>
  <c r="AO474" i="3" l="1"/>
  <c r="BC471" i="3"/>
  <c r="BD471" i="3" s="1"/>
  <c r="BQ471" i="3"/>
  <c r="BN474" i="3"/>
  <c r="BB471" i="3"/>
  <c r="AU473" i="3"/>
  <c r="AT473" i="3"/>
  <c r="BJ470" i="3"/>
  <c r="BK470" i="3" s="1"/>
  <c r="AW473" i="3"/>
  <c r="BA472" i="3"/>
  <c r="AV472" i="3"/>
  <c r="AY472" i="3"/>
  <c r="AX473" i="3"/>
  <c r="AN474" i="3"/>
  <c r="Y474" i="3"/>
  <c r="Z474" i="3" s="1"/>
  <c r="AR475" i="3"/>
  <c r="B475" i="3"/>
  <c r="AQ475" i="3"/>
  <c r="A476" i="3"/>
  <c r="C475" i="3"/>
  <c r="D475" i="3"/>
  <c r="AK475" i="3"/>
  <c r="AM475" i="3"/>
  <c r="S475" i="3"/>
  <c r="R475" i="3"/>
  <c r="Q475" i="3"/>
  <c r="AD475" i="3"/>
  <c r="P475" i="3"/>
  <c r="O475" i="3"/>
  <c r="AF475" i="3"/>
  <c r="M475" i="3"/>
  <c r="AE475" i="3"/>
  <c r="V475" i="3"/>
  <c r="U475" i="3"/>
  <c r="G475" i="3"/>
  <c r="H475" i="3" s="1"/>
  <c r="F475" i="3"/>
  <c r="T475" i="3"/>
  <c r="AG474" i="3"/>
  <c r="AH474" i="3"/>
  <c r="X474" i="3"/>
  <c r="BM475" i="3" l="1"/>
  <c r="BN475" i="3"/>
  <c r="BG471" i="3"/>
  <c r="BH471" i="3" s="1"/>
  <c r="BI471" i="3" s="1"/>
  <c r="AV473" i="3"/>
  <c r="AO475" i="3"/>
  <c r="AW474" i="3"/>
  <c r="AG475" i="3"/>
  <c r="Y475" i="3"/>
  <c r="Z475" i="3" s="1"/>
  <c r="BA473" i="3"/>
  <c r="BF473" i="3" s="1"/>
  <c r="BF472" i="3"/>
  <c r="BJ471" i="3" s="1"/>
  <c r="BK471" i="3" s="1"/>
  <c r="BB472" i="3"/>
  <c r="BQ472" i="3"/>
  <c r="X475" i="3"/>
  <c r="AY473" i="3"/>
  <c r="BC473" i="3" s="1"/>
  <c r="B476" i="3"/>
  <c r="AQ476" i="3"/>
  <c r="AR476" i="3"/>
  <c r="A477" i="3"/>
  <c r="D476" i="3"/>
  <c r="AM476" i="3"/>
  <c r="C476" i="3"/>
  <c r="AK476" i="3"/>
  <c r="T476" i="3"/>
  <c r="S476" i="3"/>
  <c r="AD476" i="3"/>
  <c r="Q476" i="3"/>
  <c r="P476" i="3"/>
  <c r="O476" i="3"/>
  <c r="M476" i="3"/>
  <c r="V476" i="3"/>
  <c r="U476" i="3"/>
  <c r="AE476" i="3"/>
  <c r="AF476" i="3"/>
  <c r="R476" i="3"/>
  <c r="G476" i="3"/>
  <c r="H476" i="3" s="1"/>
  <c r="BN476" i="3" s="1"/>
  <c r="F476" i="3"/>
  <c r="AU474" i="3"/>
  <c r="AX474" i="3"/>
  <c r="AH475" i="3"/>
  <c r="AN475" i="3"/>
  <c r="AT474" i="3"/>
  <c r="BC472" i="3"/>
  <c r="AO476" i="3" l="1"/>
  <c r="BM476" i="3"/>
  <c r="BB473" i="3"/>
  <c r="AY474" i="3"/>
  <c r="AW475" i="3"/>
  <c r="BQ473" i="3"/>
  <c r="BD473" i="3"/>
  <c r="BG473" i="3"/>
  <c r="BH473" i="3" s="1"/>
  <c r="BI473" i="3" s="1"/>
  <c r="AV474" i="3"/>
  <c r="BA474" i="3"/>
  <c r="AQ477" i="3"/>
  <c r="B477" i="3"/>
  <c r="A478" i="3"/>
  <c r="AR477" i="3"/>
  <c r="C477" i="3"/>
  <c r="D477" i="3"/>
  <c r="AK477" i="3"/>
  <c r="AM477" i="3"/>
  <c r="S477" i="3"/>
  <c r="Q477" i="3"/>
  <c r="R477" i="3"/>
  <c r="AD477" i="3"/>
  <c r="P477" i="3"/>
  <c r="M477" i="3"/>
  <c r="AE477" i="3"/>
  <c r="AF477" i="3"/>
  <c r="U477" i="3"/>
  <c r="O477" i="3"/>
  <c r="V477" i="3"/>
  <c r="G477" i="3"/>
  <c r="H477" i="3" s="1"/>
  <c r="F477" i="3"/>
  <c r="T477" i="3"/>
  <c r="AG476" i="3"/>
  <c r="AN476" i="3"/>
  <c r="AU475" i="3"/>
  <c r="BJ472" i="3"/>
  <c r="BK472" i="3" s="1"/>
  <c r="BD472" i="3"/>
  <c r="BG472" i="3"/>
  <c r="BH472" i="3" s="1"/>
  <c r="BI472" i="3" s="1"/>
  <c r="Y476" i="3"/>
  <c r="Z476" i="3" s="1"/>
  <c r="AX475" i="3"/>
  <c r="AH476" i="3"/>
  <c r="X476" i="3"/>
  <c r="AT475" i="3"/>
  <c r="BM477" i="3" l="1"/>
  <c r="BN477" i="3"/>
  <c r="AX476" i="3"/>
  <c r="AY475" i="3"/>
  <c r="AN477" i="3"/>
  <c r="BC474" i="3"/>
  <c r="BD474" i="3" s="1"/>
  <c r="Y477" i="3"/>
  <c r="Z477" i="3" s="1"/>
  <c r="AV475" i="3"/>
  <c r="BA475" i="3"/>
  <c r="AT476" i="3"/>
  <c r="AW476" i="3"/>
  <c r="BF474" i="3"/>
  <c r="BJ473" i="3" s="1"/>
  <c r="BK473" i="3" s="1"/>
  <c r="BB474" i="3"/>
  <c r="BQ474" i="3"/>
  <c r="B478" i="3"/>
  <c r="A479" i="3"/>
  <c r="AQ478" i="3"/>
  <c r="AR478" i="3"/>
  <c r="C478" i="3"/>
  <c r="D478" i="3"/>
  <c r="S478" i="3"/>
  <c r="R478" i="3"/>
  <c r="AK478" i="3"/>
  <c r="AM478" i="3"/>
  <c r="Q478" i="3"/>
  <c r="AD478" i="3"/>
  <c r="P478" i="3"/>
  <c r="O478" i="3"/>
  <c r="AE478" i="3"/>
  <c r="AF478" i="3"/>
  <c r="M478" i="3"/>
  <c r="V478" i="3"/>
  <c r="U478" i="3"/>
  <c r="G478" i="3"/>
  <c r="H478" i="3" s="1"/>
  <c r="F478" i="3"/>
  <c r="T478" i="3"/>
  <c r="AU476" i="3"/>
  <c r="AH477" i="3"/>
  <c r="AG477" i="3"/>
  <c r="AO477" i="3"/>
  <c r="X477" i="3"/>
  <c r="BM478" i="3" l="1"/>
  <c r="AY476" i="3"/>
  <c r="BN478" i="3"/>
  <c r="BC475" i="3"/>
  <c r="BD475" i="3" s="1"/>
  <c r="AO478" i="3"/>
  <c r="BG474" i="3"/>
  <c r="BH474" i="3" s="1"/>
  <c r="BI474" i="3" s="1"/>
  <c r="AU477" i="3"/>
  <c r="AG478" i="3"/>
  <c r="BB475" i="3"/>
  <c r="BF475" i="3"/>
  <c r="BJ474" i="3" s="1"/>
  <c r="BK474" i="3" s="1"/>
  <c r="BQ475" i="3"/>
  <c r="AR479" i="3"/>
  <c r="B479" i="3"/>
  <c r="AQ479" i="3"/>
  <c r="A480" i="3"/>
  <c r="C479" i="3"/>
  <c r="AM479" i="3"/>
  <c r="S479" i="3"/>
  <c r="D479" i="3"/>
  <c r="AK479" i="3"/>
  <c r="Q479" i="3"/>
  <c r="AD479" i="3"/>
  <c r="P479" i="3"/>
  <c r="O479" i="3"/>
  <c r="AF479" i="3"/>
  <c r="M479" i="3"/>
  <c r="AE479" i="3"/>
  <c r="U479" i="3"/>
  <c r="V479" i="3"/>
  <c r="R479" i="3"/>
  <c r="G479" i="3"/>
  <c r="H479" i="3" s="1"/>
  <c r="BN479" i="3" s="1"/>
  <c r="F479" i="3"/>
  <c r="BM479" i="3" s="1"/>
  <c r="T479" i="3"/>
  <c r="AV476" i="3"/>
  <c r="BC476" i="3" s="1"/>
  <c r="BA476" i="3"/>
  <c r="X478" i="3"/>
  <c r="AW477" i="3"/>
  <c r="AT477" i="3"/>
  <c r="AX477" i="3"/>
  <c r="Y478" i="3"/>
  <c r="Z478" i="3" s="1"/>
  <c r="AH478" i="3"/>
  <c r="AN478" i="3"/>
  <c r="BG475" i="3" l="1"/>
  <c r="BH475" i="3" s="1"/>
  <c r="BI475" i="3" s="1"/>
  <c r="AO479" i="3"/>
  <c r="AX478" i="3"/>
  <c r="AH479" i="3"/>
  <c r="BD476" i="3"/>
  <c r="BG476" i="3"/>
  <c r="BH476" i="3" s="1"/>
  <c r="BI476" i="3" s="1"/>
  <c r="AV477" i="3"/>
  <c r="BA477" i="3"/>
  <c r="BQ476" i="3"/>
  <c r="BF476" i="3"/>
  <c r="BJ475" i="3" s="1"/>
  <c r="BK475" i="3" s="1"/>
  <c r="BB476" i="3"/>
  <c r="B480" i="3"/>
  <c r="AQ480" i="3"/>
  <c r="AR480" i="3"/>
  <c r="A481" i="3"/>
  <c r="C480" i="3"/>
  <c r="D480" i="3"/>
  <c r="AK480" i="3"/>
  <c r="Q480" i="3"/>
  <c r="AM480" i="3"/>
  <c r="R480" i="3"/>
  <c r="S480" i="3"/>
  <c r="AD480" i="3"/>
  <c r="P480" i="3"/>
  <c r="O480" i="3"/>
  <c r="AE480" i="3"/>
  <c r="V480" i="3"/>
  <c r="M480" i="3"/>
  <c r="AF480" i="3"/>
  <c r="U480" i="3"/>
  <c r="F480" i="3"/>
  <c r="G480" i="3"/>
  <c r="H480" i="3" s="1"/>
  <c r="T480" i="3"/>
  <c r="AT478" i="3"/>
  <c r="Y479" i="3"/>
  <c r="Z479" i="3" s="1"/>
  <c r="AG479" i="3"/>
  <c r="AN479" i="3"/>
  <c r="AY477" i="3"/>
  <c r="AU478" i="3"/>
  <c r="AW478" i="3"/>
  <c r="X479" i="3"/>
  <c r="AN480" i="3" l="1"/>
  <c r="BN480" i="3"/>
  <c r="AY478" i="3"/>
  <c r="BC477" i="3"/>
  <c r="BD477" i="3" s="1"/>
  <c r="AG480" i="3"/>
  <c r="AX479" i="3"/>
  <c r="AU479" i="3"/>
  <c r="AW479" i="3"/>
  <c r="AV478" i="3"/>
  <c r="BA478" i="3"/>
  <c r="AQ481" i="3"/>
  <c r="B481" i="3"/>
  <c r="A482" i="3"/>
  <c r="AR481" i="3"/>
  <c r="D481" i="3"/>
  <c r="AM481" i="3"/>
  <c r="S481" i="3"/>
  <c r="Q481" i="3"/>
  <c r="C481" i="3"/>
  <c r="AK481" i="3"/>
  <c r="R481" i="3"/>
  <c r="T481" i="3"/>
  <c r="AD481" i="3"/>
  <c r="P481" i="3"/>
  <c r="M481" i="3"/>
  <c r="AE481" i="3"/>
  <c r="O481" i="3"/>
  <c r="AF481" i="3"/>
  <c r="V481" i="3"/>
  <c r="U481" i="3"/>
  <c r="G481" i="3"/>
  <c r="H481" i="3" s="1"/>
  <c r="F481" i="3"/>
  <c r="AO480" i="3"/>
  <c r="X480" i="3"/>
  <c r="AT479" i="3"/>
  <c r="Y480" i="3"/>
  <c r="Z480" i="3" s="1"/>
  <c r="BM480" i="3"/>
  <c r="AH480" i="3"/>
  <c r="BF477" i="3"/>
  <c r="BJ476" i="3" s="1"/>
  <c r="BK476" i="3" s="1"/>
  <c r="BB477" i="3"/>
  <c r="BQ477" i="3"/>
  <c r="BN481" i="3" l="1"/>
  <c r="AO481" i="3"/>
  <c r="AY479" i="3"/>
  <c r="BC478" i="3"/>
  <c r="BG478" i="3" s="1"/>
  <c r="BH478" i="3" s="1"/>
  <c r="BI478" i="3" s="1"/>
  <c r="AU480" i="3"/>
  <c r="BM481" i="3"/>
  <c r="BG477" i="3"/>
  <c r="BH477" i="3" s="1"/>
  <c r="BI477" i="3" s="1"/>
  <c r="AT480" i="3"/>
  <c r="Y481" i="3"/>
  <c r="Z481" i="3" s="1"/>
  <c r="B482" i="3"/>
  <c r="A483" i="3"/>
  <c r="AQ482" i="3"/>
  <c r="AR482" i="3"/>
  <c r="C482" i="3"/>
  <c r="AM482" i="3"/>
  <c r="S482" i="3"/>
  <c r="R482" i="3"/>
  <c r="D482" i="3"/>
  <c r="AK482" i="3"/>
  <c r="Q482" i="3"/>
  <c r="AD482" i="3"/>
  <c r="P482" i="3"/>
  <c r="M482" i="3"/>
  <c r="AF482" i="3"/>
  <c r="O482" i="3"/>
  <c r="AE482" i="3"/>
  <c r="V482" i="3"/>
  <c r="U482" i="3"/>
  <c r="F482" i="3"/>
  <c r="G482" i="3"/>
  <c r="H482" i="3" s="1"/>
  <c r="BN482" i="3" s="1"/>
  <c r="T482" i="3"/>
  <c r="AX480" i="3"/>
  <c r="AW480" i="3"/>
  <c r="AH481" i="3"/>
  <c r="X481" i="3"/>
  <c r="AV479" i="3"/>
  <c r="BA479" i="3"/>
  <c r="BQ478" i="3"/>
  <c r="BF478" i="3"/>
  <c r="BJ477" i="3" s="1"/>
  <c r="BK477" i="3" s="1"/>
  <c r="BB478" i="3"/>
  <c r="AG481" i="3"/>
  <c r="AN481" i="3"/>
  <c r="BD478" i="3" l="1"/>
  <c r="BC479" i="3"/>
  <c r="BD479" i="3" s="1"/>
  <c r="AO482" i="3"/>
  <c r="AV480" i="3"/>
  <c r="BM482" i="3"/>
  <c r="AT481" i="3"/>
  <c r="Y482" i="3"/>
  <c r="Z482" i="3" s="1"/>
  <c r="AH482" i="3"/>
  <c r="AY480" i="3"/>
  <c r="AG482" i="3"/>
  <c r="BF479" i="3"/>
  <c r="BJ478" i="3" s="1"/>
  <c r="BK478" i="3" s="1"/>
  <c r="BB479" i="3"/>
  <c r="BQ479" i="3"/>
  <c r="AW481" i="3"/>
  <c r="AU481" i="3"/>
  <c r="AX481" i="3"/>
  <c r="X482" i="3"/>
  <c r="BA480" i="3"/>
  <c r="AR483" i="3"/>
  <c r="B483" i="3"/>
  <c r="AQ483" i="3"/>
  <c r="A484" i="3"/>
  <c r="C483" i="3"/>
  <c r="AK483" i="3"/>
  <c r="T483" i="3"/>
  <c r="Q483" i="3"/>
  <c r="D483" i="3"/>
  <c r="AM483" i="3"/>
  <c r="R483" i="3"/>
  <c r="AD483" i="3"/>
  <c r="S483" i="3"/>
  <c r="P483" i="3"/>
  <c r="O483" i="3"/>
  <c r="AF483" i="3"/>
  <c r="AE483" i="3"/>
  <c r="V483" i="3"/>
  <c r="M483" i="3"/>
  <c r="U483" i="3"/>
  <c r="G483" i="3"/>
  <c r="H483" i="3" s="1"/>
  <c r="BN483" i="3" s="1"/>
  <c r="F483" i="3"/>
  <c r="AN482" i="3"/>
  <c r="BG479" i="3" l="1"/>
  <c r="BH479" i="3" s="1"/>
  <c r="BI479" i="3" s="1"/>
  <c r="AU482" i="3"/>
  <c r="AT482" i="3"/>
  <c r="AN483" i="3"/>
  <c r="BC480" i="3"/>
  <c r="BD480" i="3" s="1"/>
  <c r="BM483" i="3"/>
  <c r="AW482" i="3"/>
  <c r="AG483" i="3"/>
  <c r="BA481" i="3"/>
  <c r="BQ481" i="3" s="1"/>
  <c r="B484" i="3"/>
  <c r="AQ484" i="3"/>
  <c r="AR484" i="3"/>
  <c r="A485" i="3"/>
  <c r="C484" i="3"/>
  <c r="D484" i="3"/>
  <c r="AM484" i="3"/>
  <c r="T484" i="3"/>
  <c r="AK484" i="3"/>
  <c r="S484" i="3"/>
  <c r="R484" i="3"/>
  <c r="Q484" i="3"/>
  <c r="AD484" i="3"/>
  <c r="P484" i="3"/>
  <c r="O484" i="3"/>
  <c r="M484" i="3"/>
  <c r="AE484" i="3"/>
  <c r="V484" i="3"/>
  <c r="AF484" i="3"/>
  <c r="U484" i="3"/>
  <c r="G484" i="3"/>
  <c r="H484" i="3" s="1"/>
  <c r="F484" i="3"/>
  <c r="BQ480" i="3"/>
  <c r="BF480" i="3"/>
  <c r="BJ479" i="3" s="1"/>
  <c r="BK479" i="3" s="1"/>
  <c r="BB480" i="3"/>
  <c r="AH483" i="3"/>
  <c r="AO483" i="3"/>
  <c r="AX482" i="3"/>
  <c r="AV481" i="3"/>
  <c r="Y483" i="3"/>
  <c r="Z483" i="3" s="1"/>
  <c r="X483" i="3"/>
  <c r="AY481" i="3"/>
  <c r="AV482" i="3" l="1"/>
  <c r="AY482" i="3"/>
  <c r="BG480" i="3"/>
  <c r="BH480" i="3" s="1"/>
  <c r="BI480" i="3" s="1"/>
  <c r="BN484" i="3"/>
  <c r="BM484" i="3"/>
  <c r="AT483" i="3"/>
  <c r="AW483" i="3"/>
  <c r="AU483" i="3"/>
  <c r="AX483" i="3"/>
  <c r="BC481" i="3"/>
  <c r="BG481" i="3" s="1"/>
  <c r="BH481" i="3" s="1"/>
  <c r="BI481" i="3" s="1"/>
  <c r="BF481" i="3"/>
  <c r="BJ480" i="3" s="1"/>
  <c r="BK480" i="3" s="1"/>
  <c r="BB481" i="3"/>
  <c r="BA482" i="3"/>
  <c r="BF482" i="3" s="1"/>
  <c r="AO484" i="3"/>
  <c r="AN484" i="3"/>
  <c r="AG484" i="3"/>
  <c r="AH484" i="3"/>
  <c r="X484" i="3"/>
  <c r="Y484" i="3"/>
  <c r="Z484" i="3" s="1"/>
  <c r="AQ485" i="3"/>
  <c r="B485" i="3"/>
  <c r="A486" i="3"/>
  <c r="AR485" i="3"/>
  <c r="D485" i="3"/>
  <c r="C485" i="3"/>
  <c r="AK485" i="3"/>
  <c r="S485" i="3"/>
  <c r="R485" i="3"/>
  <c r="AM485" i="3"/>
  <c r="Q485" i="3"/>
  <c r="AD485" i="3"/>
  <c r="P485" i="3"/>
  <c r="AE485" i="3"/>
  <c r="M485" i="3"/>
  <c r="U485" i="3"/>
  <c r="O485" i="3"/>
  <c r="AF485" i="3"/>
  <c r="V485" i="3"/>
  <c r="G485" i="3"/>
  <c r="H485" i="3" s="1"/>
  <c r="F485" i="3"/>
  <c r="T485" i="3"/>
  <c r="BC482" i="3" l="1"/>
  <c r="BG482" i="3" s="1"/>
  <c r="BH482" i="3" s="1"/>
  <c r="BI482" i="3" s="1"/>
  <c r="AY483" i="3"/>
  <c r="BJ481" i="3"/>
  <c r="BK481" i="3" s="1"/>
  <c r="BD481" i="3"/>
  <c r="BM485" i="3"/>
  <c r="BA483" i="3"/>
  <c r="BF483" i="3" s="1"/>
  <c r="BJ482" i="3" s="1"/>
  <c r="BK482" i="3" s="1"/>
  <c r="AV483" i="3"/>
  <c r="AO485" i="3"/>
  <c r="AT484" i="3"/>
  <c r="AU484" i="3"/>
  <c r="BQ482" i="3"/>
  <c r="BB482" i="3"/>
  <c r="B486" i="3"/>
  <c r="A487" i="3"/>
  <c r="AQ486" i="3"/>
  <c r="AR486" i="3"/>
  <c r="D486" i="3"/>
  <c r="C486" i="3"/>
  <c r="AM486" i="3"/>
  <c r="AK486" i="3"/>
  <c r="T486" i="3"/>
  <c r="S486" i="3"/>
  <c r="R486" i="3"/>
  <c r="AD486" i="3"/>
  <c r="P486" i="3"/>
  <c r="O486" i="3"/>
  <c r="M486" i="3"/>
  <c r="AE486" i="3"/>
  <c r="U486" i="3"/>
  <c r="AF486" i="3"/>
  <c r="V486" i="3"/>
  <c r="G486" i="3"/>
  <c r="H486" i="3" s="1"/>
  <c r="Q486" i="3"/>
  <c r="F486" i="3"/>
  <c r="BM486" i="3" s="1"/>
  <c r="Y485" i="3"/>
  <c r="Z485" i="3" s="1"/>
  <c r="BN485" i="3"/>
  <c r="AG485" i="3"/>
  <c r="AH485" i="3"/>
  <c r="AN485" i="3"/>
  <c r="X485" i="3"/>
  <c r="AX484" i="3"/>
  <c r="AW484" i="3"/>
  <c r="BC483" i="3" l="1"/>
  <c r="BG483" i="3" s="1"/>
  <c r="BH483" i="3" s="1"/>
  <c r="BI483" i="3" s="1"/>
  <c r="BD482" i="3"/>
  <c r="AH486" i="3"/>
  <c r="AO486" i="3"/>
  <c r="BN486" i="3"/>
  <c r="BQ483" i="3"/>
  <c r="BB483" i="3"/>
  <c r="AV484" i="3"/>
  <c r="AY484" i="3"/>
  <c r="AW485" i="3"/>
  <c r="AU485" i="3"/>
  <c r="AT485" i="3"/>
  <c r="AR487" i="3"/>
  <c r="B487" i="3"/>
  <c r="AQ487" i="3"/>
  <c r="A488" i="3"/>
  <c r="D487" i="3"/>
  <c r="AK487" i="3"/>
  <c r="S487" i="3"/>
  <c r="C487" i="3"/>
  <c r="AM487" i="3"/>
  <c r="R487" i="3"/>
  <c r="Q487" i="3"/>
  <c r="P487" i="3"/>
  <c r="AD487" i="3"/>
  <c r="AE487" i="3"/>
  <c r="AF487" i="3"/>
  <c r="V487" i="3"/>
  <c r="O487" i="3"/>
  <c r="M487" i="3"/>
  <c r="U487" i="3"/>
  <c r="G487" i="3"/>
  <c r="H487" i="3" s="1"/>
  <c r="F487" i="3"/>
  <c r="T487" i="3"/>
  <c r="AG486" i="3"/>
  <c r="X486" i="3"/>
  <c r="BA484" i="3"/>
  <c r="Y486" i="3"/>
  <c r="Z486" i="3" s="1"/>
  <c r="AX485" i="3"/>
  <c r="AN486" i="3"/>
  <c r="AU486" i="3" l="1"/>
  <c r="AT486" i="3"/>
  <c r="BD483" i="3"/>
  <c r="BC484" i="3"/>
  <c r="BG484" i="3" s="1"/>
  <c r="BH484" i="3" s="1"/>
  <c r="BI484" i="3" s="1"/>
  <c r="BM487" i="3"/>
  <c r="AY485" i="3"/>
  <c r="AN487" i="3"/>
  <c r="Y487" i="3"/>
  <c r="Z487" i="3" s="1"/>
  <c r="BN487" i="3"/>
  <c r="AX486" i="3"/>
  <c r="AV485" i="3"/>
  <c r="BA485" i="3"/>
  <c r="AW486" i="3"/>
  <c r="AH487" i="3"/>
  <c r="BQ484" i="3"/>
  <c r="BB484" i="3"/>
  <c r="BF484" i="3"/>
  <c r="BJ483" i="3" s="1"/>
  <c r="BK483" i="3" s="1"/>
  <c r="B488" i="3"/>
  <c r="AQ488" i="3"/>
  <c r="AR488" i="3"/>
  <c r="A489" i="3"/>
  <c r="C488" i="3"/>
  <c r="D488" i="3"/>
  <c r="AK488" i="3"/>
  <c r="S488" i="3"/>
  <c r="R488" i="3"/>
  <c r="AM488" i="3"/>
  <c r="Q488" i="3"/>
  <c r="AD488" i="3"/>
  <c r="P488" i="3"/>
  <c r="O488" i="3"/>
  <c r="M488" i="3"/>
  <c r="AF488" i="3"/>
  <c r="U488" i="3"/>
  <c r="V488" i="3"/>
  <c r="AE488" i="3"/>
  <c r="F488" i="3"/>
  <c r="G488" i="3"/>
  <c r="H488" i="3" s="1"/>
  <c r="T488" i="3"/>
  <c r="AG487" i="3"/>
  <c r="X487" i="3"/>
  <c r="AO487" i="3"/>
  <c r="BD484" i="3" l="1"/>
  <c r="AV486" i="3"/>
  <c r="BC485" i="3"/>
  <c r="BD485" i="3" s="1"/>
  <c r="BM488" i="3"/>
  <c r="Y488" i="3"/>
  <c r="Z488" i="3" s="1"/>
  <c r="AN488" i="3"/>
  <c r="AY486" i="3"/>
  <c r="AT487" i="3"/>
  <c r="BA486" i="3"/>
  <c r="BB486" i="3" s="1"/>
  <c r="BB485" i="3"/>
  <c r="BF485" i="3"/>
  <c r="BJ484" i="3" s="1"/>
  <c r="BK484" i="3" s="1"/>
  <c r="BQ485" i="3"/>
  <c r="AH488" i="3"/>
  <c r="BN488" i="3"/>
  <c r="AG488" i="3"/>
  <c r="AO488" i="3"/>
  <c r="X488" i="3"/>
  <c r="AQ489" i="3"/>
  <c r="B489" i="3"/>
  <c r="A490" i="3"/>
  <c r="AR489" i="3"/>
  <c r="D489" i="3"/>
  <c r="S489" i="3"/>
  <c r="R489" i="3"/>
  <c r="C489" i="3"/>
  <c r="AM489" i="3"/>
  <c r="AK489" i="3"/>
  <c r="Q489" i="3"/>
  <c r="AD489" i="3"/>
  <c r="P489" i="3"/>
  <c r="AE489" i="3"/>
  <c r="M489" i="3"/>
  <c r="U489" i="3"/>
  <c r="O489" i="3"/>
  <c r="AF489" i="3"/>
  <c r="V489" i="3"/>
  <c r="F489" i="3"/>
  <c r="G489" i="3"/>
  <c r="H489" i="3" s="1"/>
  <c r="BN489" i="3" s="1"/>
  <c r="T489" i="3"/>
  <c r="AW487" i="3"/>
  <c r="AU487" i="3"/>
  <c r="AX487" i="3"/>
  <c r="BM489" i="3" l="1"/>
  <c r="BG485" i="3"/>
  <c r="BH485" i="3" s="1"/>
  <c r="BI485" i="3" s="1"/>
  <c r="BC486" i="3"/>
  <c r="BD486" i="3" s="1"/>
  <c r="AO489" i="3"/>
  <c r="AV487" i="3"/>
  <c r="AH489" i="3"/>
  <c r="AT488" i="3"/>
  <c r="BQ486" i="3"/>
  <c r="BF486" i="3"/>
  <c r="BJ485" i="3" s="1"/>
  <c r="BK485" i="3" s="1"/>
  <c r="AY487" i="3"/>
  <c r="Y489" i="3"/>
  <c r="Z489" i="3" s="1"/>
  <c r="AG489" i="3"/>
  <c r="X489" i="3"/>
  <c r="AX488" i="3"/>
  <c r="BA487" i="3"/>
  <c r="B490" i="3"/>
  <c r="A491" i="3"/>
  <c r="AQ490" i="3"/>
  <c r="AR490" i="3"/>
  <c r="D490" i="3"/>
  <c r="AK490" i="3"/>
  <c r="AM490" i="3"/>
  <c r="R490" i="3"/>
  <c r="C490" i="3"/>
  <c r="Q490" i="3"/>
  <c r="AD490" i="3"/>
  <c r="S490" i="3"/>
  <c r="P490" i="3"/>
  <c r="O490" i="3"/>
  <c r="AE490" i="3"/>
  <c r="AF490" i="3"/>
  <c r="V490" i="3"/>
  <c r="U490" i="3"/>
  <c r="M490" i="3"/>
  <c r="F490" i="3"/>
  <c r="G490" i="3"/>
  <c r="H490" i="3" s="1"/>
  <c r="T490" i="3"/>
  <c r="AN489" i="3"/>
  <c r="AW488" i="3"/>
  <c r="AU488" i="3"/>
  <c r="BN490" i="3" l="1"/>
  <c r="BG486" i="3"/>
  <c r="BH486" i="3" s="1"/>
  <c r="BI486" i="3" s="1"/>
  <c r="AU489" i="3"/>
  <c r="BC487" i="3"/>
  <c r="BD487" i="3" s="1"/>
  <c r="BM490" i="3"/>
  <c r="AT489" i="3"/>
  <c r="AY488" i="3"/>
  <c r="AO490" i="3"/>
  <c r="AX489" i="3"/>
  <c r="Y490" i="3"/>
  <c r="Z490" i="3" s="1"/>
  <c r="BA488" i="3"/>
  <c r="BQ488" i="3" s="1"/>
  <c r="AG490" i="3"/>
  <c r="AH490" i="3"/>
  <c r="X490" i="3"/>
  <c r="AN490" i="3"/>
  <c r="AV488" i="3"/>
  <c r="AR491" i="3"/>
  <c r="B491" i="3"/>
  <c r="AQ491" i="3"/>
  <c r="A492" i="3"/>
  <c r="D491" i="3"/>
  <c r="AK491" i="3"/>
  <c r="R491" i="3"/>
  <c r="AM491" i="3"/>
  <c r="C491" i="3"/>
  <c r="T491" i="3"/>
  <c r="S491" i="3"/>
  <c r="Q491" i="3"/>
  <c r="AD491" i="3"/>
  <c r="AE491" i="3"/>
  <c r="P491" i="3"/>
  <c r="O491" i="3"/>
  <c r="V491" i="3"/>
  <c r="M491" i="3"/>
  <c r="AF491" i="3"/>
  <c r="U491" i="3"/>
  <c r="F491" i="3"/>
  <c r="G491" i="3"/>
  <c r="H491" i="3" s="1"/>
  <c r="BQ487" i="3"/>
  <c r="BB487" i="3"/>
  <c r="BF487" i="3"/>
  <c r="BJ486" i="3" s="1"/>
  <c r="BK486" i="3" s="1"/>
  <c r="AW489" i="3"/>
  <c r="BM491" i="3" l="1"/>
  <c r="AN491" i="3"/>
  <c r="AV489" i="3"/>
  <c r="BC488" i="3"/>
  <c r="BG488" i="3" s="1"/>
  <c r="BH488" i="3" s="1"/>
  <c r="BI488" i="3" s="1"/>
  <c r="BG487" i="3"/>
  <c r="BH487" i="3" s="1"/>
  <c r="BI487" i="3" s="1"/>
  <c r="AY489" i="3"/>
  <c r="BN491" i="3"/>
  <c r="AU490" i="3"/>
  <c r="AT490" i="3"/>
  <c r="BB488" i="3"/>
  <c r="BF488" i="3"/>
  <c r="BJ487" i="3" s="1"/>
  <c r="BK487" i="3" s="1"/>
  <c r="B492" i="3"/>
  <c r="AQ492" i="3"/>
  <c r="AR492" i="3"/>
  <c r="A493" i="3"/>
  <c r="D492" i="3"/>
  <c r="C492" i="3"/>
  <c r="S492" i="3"/>
  <c r="R492" i="3"/>
  <c r="AM492" i="3"/>
  <c r="AK492" i="3"/>
  <c r="Q492" i="3"/>
  <c r="P492" i="3"/>
  <c r="AD492" i="3"/>
  <c r="O492" i="3"/>
  <c r="AE492" i="3"/>
  <c r="M492" i="3"/>
  <c r="U492" i="3"/>
  <c r="AF492" i="3"/>
  <c r="V492" i="3"/>
  <c r="G492" i="3"/>
  <c r="H492" i="3" s="1"/>
  <c r="F492" i="3"/>
  <c r="T492" i="3"/>
  <c r="AX490" i="3"/>
  <c r="AW490" i="3"/>
  <c r="AG491" i="3"/>
  <c r="AO491" i="3"/>
  <c r="Y491" i="3"/>
  <c r="Z491" i="3" s="1"/>
  <c r="BA489" i="3"/>
  <c r="AH491" i="3"/>
  <c r="X491" i="3"/>
  <c r="BD488" i="3" l="1"/>
  <c r="BC489" i="3"/>
  <c r="BG489" i="3" s="1"/>
  <c r="BH489" i="3" s="1"/>
  <c r="BI489" i="3" s="1"/>
  <c r="BN492" i="3"/>
  <c r="AV490" i="3"/>
  <c r="AO492" i="3"/>
  <c r="BA490" i="3"/>
  <c r="BQ490" i="3" s="1"/>
  <c r="AX491" i="3"/>
  <c r="AY490" i="3"/>
  <c r="BF489" i="3"/>
  <c r="BJ488" i="3" s="1"/>
  <c r="BK488" i="3" s="1"/>
  <c r="BQ489" i="3"/>
  <c r="BB489" i="3"/>
  <c r="Y492" i="3"/>
  <c r="Z492" i="3" s="1"/>
  <c r="AT491" i="3"/>
  <c r="BM492" i="3"/>
  <c r="AG492" i="3"/>
  <c r="AH492" i="3"/>
  <c r="AN492" i="3"/>
  <c r="AQ493" i="3"/>
  <c r="B493" i="3"/>
  <c r="A494" i="3"/>
  <c r="AR493" i="3"/>
  <c r="C493" i="3"/>
  <c r="D493" i="3"/>
  <c r="T493" i="3"/>
  <c r="S493" i="3"/>
  <c r="Q493" i="3"/>
  <c r="AM493" i="3"/>
  <c r="AK493" i="3"/>
  <c r="AD493" i="3"/>
  <c r="R493" i="3"/>
  <c r="P493" i="3"/>
  <c r="AE493" i="3"/>
  <c r="O493" i="3"/>
  <c r="AF493" i="3"/>
  <c r="V493" i="3"/>
  <c r="M493" i="3"/>
  <c r="U493" i="3"/>
  <c r="G493" i="3"/>
  <c r="H493" i="3" s="1"/>
  <c r="F493" i="3"/>
  <c r="AU491" i="3"/>
  <c r="AW491" i="3"/>
  <c r="X492" i="3"/>
  <c r="BD489" i="3" l="1"/>
  <c r="BB490" i="3"/>
  <c r="BC490" i="3"/>
  <c r="BD490" i="3" s="1"/>
  <c r="AO493" i="3"/>
  <c r="BN493" i="3"/>
  <c r="BM493" i="3"/>
  <c r="AY491" i="3"/>
  <c r="AT492" i="3"/>
  <c r="BF490" i="3"/>
  <c r="BJ489" i="3" s="1"/>
  <c r="BK489" i="3" s="1"/>
  <c r="AN493" i="3"/>
  <c r="B494" i="3"/>
  <c r="A495" i="3"/>
  <c r="AQ494" i="3"/>
  <c r="AR494" i="3"/>
  <c r="C494" i="3"/>
  <c r="D494" i="3"/>
  <c r="AM494" i="3"/>
  <c r="AK494" i="3"/>
  <c r="T494" i="3"/>
  <c r="S494" i="3"/>
  <c r="R494" i="3"/>
  <c r="Q494" i="3"/>
  <c r="AD494" i="3"/>
  <c r="P494" i="3"/>
  <c r="AE494" i="3"/>
  <c r="O494" i="3"/>
  <c r="V494" i="3"/>
  <c r="AF494" i="3"/>
  <c r="M494" i="3"/>
  <c r="U494" i="3"/>
  <c r="F494" i="3"/>
  <c r="BM494" i="3" s="1"/>
  <c r="G494" i="3"/>
  <c r="H494" i="3" s="1"/>
  <c r="AV491" i="3"/>
  <c r="BA491" i="3"/>
  <c r="AG493" i="3"/>
  <c r="X493" i="3"/>
  <c r="AW492" i="3"/>
  <c r="Y493" i="3"/>
  <c r="Z493" i="3" s="1"/>
  <c r="AU492" i="3"/>
  <c r="AX492" i="3"/>
  <c r="AH493" i="3"/>
  <c r="BN494" i="3" l="1"/>
  <c r="BG490" i="3"/>
  <c r="BH490" i="3" s="1"/>
  <c r="BI490" i="3" s="1"/>
  <c r="AV492" i="3"/>
  <c r="AO494" i="3"/>
  <c r="BC491" i="3"/>
  <c r="BD491" i="3" s="1"/>
  <c r="AX493" i="3"/>
  <c r="AH494" i="3"/>
  <c r="AY492" i="3"/>
  <c r="BA492" i="3"/>
  <c r="AT493" i="3"/>
  <c r="AU493" i="3"/>
  <c r="AW493" i="3"/>
  <c r="AG494" i="3"/>
  <c r="AN494" i="3"/>
  <c r="X494" i="3"/>
  <c r="BQ491" i="3"/>
  <c r="BB491" i="3"/>
  <c r="BF491" i="3"/>
  <c r="BJ490" i="3" s="1"/>
  <c r="BK490" i="3" s="1"/>
  <c r="Y494" i="3"/>
  <c r="Z494" i="3" s="1"/>
  <c r="AR495" i="3"/>
  <c r="B495" i="3"/>
  <c r="AQ495" i="3"/>
  <c r="A496" i="3"/>
  <c r="D495" i="3"/>
  <c r="C495" i="3"/>
  <c r="AK495" i="3"/>
  <c r="R495" i="3"/>
  <c r="Q495" i="3"/>
  <c r="AM495" i="3"/>
  <c r="T495" i="3"/>
  <c r="S495" i="3"/>
  <c r="AD495" i="3"/>
  <c r="O495" i="3"/>
  <c r="AE495" i="3"/>
  <c r="M495" i="3"/>
  <c r="V495" i="3"/>
  <c r="P495" i="3"/>
  <c r="AF495" i="3"/>
  <c r="U495" i="3"/>
  <c r="G495" i="3"/>
  <c r="H495" i="3" s="1"/>
  <c r="F495" i="3"/>
  <c r="BN495" i="3" l="1"/>
  <c r="BM495" i="3"/>
  <c r="BC492" i="3"/>
  <c r="BD492" i="3" s="1"/>
  <c r="BG491" i="3"/>
  <c r="BH491" i="3" s="1"/>
  <c r="BI491" i="3" s="1"/>
  <c r="AY493" i="3"/>
  <c r="AO495" i="3"/>
  <c r="AX494" i="3"/>
  <c r="AT494" i="3"/>
  <c r="Y495" i="3"/>
  <c r="Z495" i="3" s="1"/>
  <c r="B496" i="3"/>
  <c r="AQ496" i="3"/>
  <c r="AR496" i="3"/>
  <c r="A497" i="3"/>
  <c r="C496" i="3"/>
  <c r="S496" i="3"/>
  <c r="AM496" i="3"/>
  <c r="D496" i="3"/>
  <c r="AK496" i="3"/>
  <c r="T496" i="3"/>
  <c r="AD496" i="3"/>
  <c r="Q496" i="3"/>
  <c r="R496" i="3"/>
  <c r="P496" i="3"/>
  <c r="O496" i="3"/>
  <c r="AE496" i="3"/>
  <c r="M496" i="3"/>
  <c r="AF496" i="3"/>
  <c r="V496" i="3"/>
  <c r="U496" i="3"/>
  <c r="F496" i="3"/>
  <c r="G496" i="3"/>
  <c r="H496" i="3" s="1"/>
  <c r="AV493" i="3"/>
  <c r="BA493" i="3"/>
  <c r="AH495" i="3"/>
  <c r="AN495" i="3"/>
  <c r="X495" i="3"/>
  <c r="AU494" i="3"/>
  <c r="AW494" i="3"/>
  <c r="BB492" i="3"/>
  <c r="BQ492" i="3"/>
  <c r="BF492" i="3"/>
  <c r="BJ491" i="3" s="1"/>
  <c r="BK491" i="3" s="1"/>
  <c r="AG495" i="3"/>
  <c r="BM496" i="3" l="1"/>
  <c r="BN496" i="3"/>
  <c r="AO496" i="3"/>
  <c r="BG492" i="3"/>
  <c r="BH492" i="3" s="1"/>
  <c r="BI492" i="3" s="1"/>
  <c r="BC493" i="3"/>
  <c r="BD493" i="3" s="1"/>
  <c r="AW495" i="3"/>
  <c r="AY494" i="3"/>
  <c r="AH496" i="3"/>
  <c r="BA494" i="3"/>
  <c r="BQ494" i="3" s="1"/>
  <c r="AT495" i="3"/>
  <c r="AX495" i="3"/>
  <c r="AN496" i="3"/>
  <c r="X496" i="3"/>
  <c r="AV494" i="3"/>
  <c r="BF493" i="3"/>
  <c r="BJ492" i="3" s="1"/>
  <c r="BK492" i="3" s="1"/>
  <c r="BQ493" i="3"/>
  <c r="BB493" i="3"/>
  <c r="Y496" i="3"/>
  <c r="Z496" i="3" s="1"/>
  <c r="AQ497" i="3"/>
  <c r="B497" i="3"/>
  <c r="A498" i="3"/>
  <c r="AR497" i="3"/>
  <c r="C497" i="3"/>
  <c r="AM497" i="3"/>
  <c r="R497" i="3"/>
  <c r="D497" i="3"/>
  <c r="AK497" i="3"/>
  <c r="Q497" i="3"/>
  <c r="AD497" i="3"/>
  <c r="P497" i="3"/>
  <c r="S497" i="3"/>
  <c r="O497" i="3"/>
  <c r="AE497" i="3"/>
  <c r="AF497" i="3"/>
  <c r="V497" i="3"/>
  <c r="M497" i="3"/>
  <c r="U497" i="3"/>
  <c r="F497" i="3"/>
  <c r="G497" i="3"/>
  <c r="H497" i="3" s="1"/>
  <c r="T497" i="3"/>
  <c r="AU495" i="3"/>
  <c r="AG496" i="3"/>
  <c r="BG493" i="3" l="1"/>
  <c r="BH493" i="3" s="1"/>
  <c r="BI493" i="3" s="1"/>
  <c r="AG497" i="3"/>
  <c r="BN497" i="3"/>
  <c r="AO497" i="3"/>
  <c r="AY495" i="3"/>
  <c r="AW496" i="3"/>
  <c r="BC494" i="3"/>
  <c r="BD494" i="3" s="1"/>
  <c r="BB494" i="3"/>
  <c r="AU496" i="3"/>
  <c r="AX496" i="3"/>
  <c r="BF494" i="3"/>
  <c r="BJ493" i="3" s="1"/>
  <c r="BK493" i="3" s="1"/>
  <c r="Y497" i="3"/>
  <c r="Z497" i="3" s="1"/>
  <c r="BM497" i="3"/>
  <c r="AN497" i="3"/>
  <c r="AT496" i="3"/>
  <c r="AV495" i="3"/>
  <c r="B498" i="3"/>
  <c r="A499" i="3"/>
  <c r="AQ498" i="3"/>
  <c r="AR498" i="3"/>
  <c r="C498" i="3"/>
  <c r="AM498" i="3"/>
  <c r="AK498" i="3"/>
  <c r="T498" i="3"/>
  <c r="S498" i="3"/>
  <c r="D498" i="3"/>
  <c r="Q498" i="3"/>
  <c r="AD498" i="3"/>
  <c r="P498" i="3"/>
  <c r="M498" i="3"/>
  <c r="AF498" i="3"/>
  <c r="AE498" i="3"/>
  <c r="V498" i="3"/>
  <c r="O498" i="3"/>
  <c r="G498" i="3"/>
  <c r="H498" i="3" s="1"/>
  <c r="U498" i="3"/>
  <c r="R498" i="3"/>
  <c r="F498" i="3"/>
  <c r="AH497" i="3"/>
  <c r="X497" i="3"/>
  <c r="BA495" i="3"/>
  <c r="AY496" i="3" l="1"/>
  <c r="BC495" i="3"/>
  <c r="BD495" i="3" s="1"/>
  <c r="BM498" i="3"/>
  <c r="AW497" i="3"/>
  <c r="BG494" i="3"/>
  <c r="BH494" i="3" s="1"/>
  <c r="BI494" i="3" s="1"/>
  <c r="AU497" i="3"/>
  <c r="AN498" i="3"/>
  <c r="AV496" i="3"/>
  <c r="BF495" i="3"/>
  <c r="BJ494" i="3" s="1"/>
  <c r="BK494" i="3" s="1"/>
  <c r="BB495" i="3"/>
  <c r="BQ495" i="3"/>
  <c r="Y498" i="3"/>
  <c r="Z498" i="3" s="1"/>
  <c r="AX497" i="3"/>
  <c r="BN498" i="3"/>
  <c r="AO498" i="3"/>
  <c r="X498" i="3"/>
  <c r="AT497" i="3"/>
  <c r="BA496" i="3"/>
  <c r="AH498" i="3"/>
  <c r="AG498" i="3"/>
  <c r="AR499" i="3"/>
  <c r="B499" i="3"/>
  <c r="AQ499" i="3"/>
  <c r="A500" i="3"/>
  <c r="D499" i="3"/>
  <c r="C499" i="3"/>
  <c r="AM499" i="3"/>
  <c r="AK499" i="3"/>
  <c r="Q499" i="3"/>
  <c r="P499" i="3"/>
  <c r="S499" i="3"/>
  <c r="R499" i="3"/>
  <c r="AD499" i="3"/>
  <c r="O499" i="3"/>
  <c r="M499" i="3"/>
  <c r="U499" i="3"/>
  <c r="AE499" i="3"/>
  <c r="AF499" i="3"/>
  <c r="V499" i="3"/>
  <c r="F499" i="3"/>
  <c r="BM499" i="3" s="1"/>
  <c r="G499" i="3"/>
  <c r="H499" i="3" s="1"/>
  <c r="BN499" i="3" s="1"/>
  <c r="T499" i="3"/>
  <c r="BC496" i="3" l="1"/>
  <c r="BD496" i="3" s="1"/>
  <c r="BG495" i="3"/>
  <c r="BH495" i="3" s="1"/>
  <c r="BI495" i="3" s="1"/>
  <c r="AY497" i="3"/>
  <c r="AG499" i="3"/>
  <c r="AO499" i="3"/>
  <c r="AN499" i="3"/>
  <c r="AW498" i="3"/>
  <c r="AT498" i="3"/>
  <c r="AU498" i="3"/>
  <c r="B500" i="3"/>
  <c r="AQ500" i="3"/>
  <c r="AR500" i="3"/>
  <c r="A501" i="3"/>
  <c r="D500" i="3"/>
  <c r="C500" i="3"/>
  <c r="AM500" i="3"/>
  <c r="S500" i="3"/>
  <c r="AK500" i="3"/>
  <c r="R500" i="3"/>
  <c r="Q500" i="3"/>
  <c r="P500" i="3"/>
  <c r="AD500" i="3"/>
  <c r="M500" i="3"/>
  <c r="AE500" i="3"/>
  <c r="O500" i="3"/>
  <c r="AF500" i="3"/>
  <c r="U500" i="3"/>
  <c r="V500" i="3"/>
  <c r="G500" i="3"/>
  <c r="H500" i="3" s="1"/>
  <c r="F500" i="3"/>
  <c r="T500" i="3"/>
  <c r="BF496" i="3"/>
  <c r="BJ495" i="3" s="1"/>
  <c r="BK495" i="3" s="1"/>
  <c r="BB496" i="3"/>
  <c r="BQ496" i="3"/>
  <c r="Y499" i="3"/>
  <c r="Z499" i="3" s="1"/>
  <c r="X499" i="3"/>
  <c r="BA497" i="3"/>
  <c r="AV497" i="3"/>
  <c r="AH499" i="3"/>
  <c r="AX498" i="3"/>
  <c r="AO500" i="3" l="1"/>
  <c r="BC497" i="3"/>
  <c r="BG497" i="3" s="1"/>
  <c r="BH497" i="3" s="1"/>
  <c r="BI497" i="3" s="1"/>
  <c r="BG496" i="3"/>
  <c r="BH496" i="3" s="1"/>
  <c r="BI496" i="3" s="1"/>
  <c r="AX499" i="3"/>
  <c r="BN500" i="3"/>
  <c r="AH500" i="3"/>
  <c r="AY498" i="3"/>
  <c r="BA498" i="3"/>
  <c r="BB498" i="3" s="1"/>
  <c r="Y500" i="3"/>
  <c r="Z500" i="3" s="1"/>
  <c r="AV498" i="3"/>
  <c r="AU499" i="3"/>
  <c r="AW499" i="3"/>
  <c r="AT499" i="3"/>
  <c r="BD497" i="3"/>
  <c r="BM500" i="3"/>
  <c r="AG500" i="3"/>
  <c r="AN500" i="3"/>
  <c r="BF497" i="3"/>
  <c r="BJ496" i="3" s="1"/>
  <c r="BK496" i="3" s="1"/>
  <c r="BB497" i="3"/>
  <c r="BQ497" i="3"/>
  <c r="AQ501" i="3"/>
  <c r="B501" i="3"/>
  <c r="A502" i="3"/>
  <c r="AR501" i="3"/>
  <c r="C501" i="3"/>
  <c r="AK501" i="3"/>
  <c r="AM501" i="3"/>
  <c r="D501" i="3"/>
  <c r="T501" i="3"/>
  <c r="S501" i="3"/>
  <c r="R501" i="3"/>
  <c r="AD501" i="3"/>
  <c r="Q501" i="3"/>
  <c r="P501" i="3"/>
  <c r="AF501" i="3"/>
  <c r="AE501" i="3"/>
  <c r="U501" i="3"/>
  <c r="V501" i="3"/>
  <c r="O501" i="3"/>
  <c r="M501" i="3"/>
  <c r="F501" i="3"/>
  <c r="BM501" i="3" s="1"/>
  <c r="G501" i="3"/>
  <c r="H501" i="3" s="1"/>
  <c r="X500" i="3"/>
  <c r="BN501" i="3" l="1"/>
  <c r="AY499" i="3"/>
  <c r="AU500" i="3"/>
  <c r="AV499" i="3"/>
  <c r="AT500" i="3"/>
  <c r="AG501" i="3"/>
  <c r="BC498" i="3"/>
  <c r="BG498" i="3" s="1"/>
  <c r="BH498" i="3" s="1"/>
  <c r="BI498" i="3" s="1"/>
  <c r="BQ498" i="3"/>
  <c r="BF498" i="3"/>
  <c r="BJ497" i="3" s="1"/>
  <c r="BK497" i="3" s="1"/>
  <c r="BA499" i="3"/>
  <c r="BQ499" i="3" s="1"/>
  <c r="AX500" i="3"/>
  <c r="B502" i="3"/>
  <c r="A503" i="3"/>
  <c r="AQ502" i="3"/>
  <c r="AR502" i="3"/>
  <c r="C502" i="3"/>
  <c r="D502" i="3"/>
  <c r="AK502" i="3"/>
  <c r="AM502" i="3"/>
  <c r="S502" i="3"/>
  <c r="R502" i="3"/>
  <c r="AD502" i="3"/>
  <c r="P502" i="3"/>
  <c r="M502" i="3"/>
  <c r="O502" i="3"/>
  <c r="U502" i="3"/>
  <c r="V502" i="3"/>
  <c r="AF502" i="3"/>
  <c r="AE502" i="3"/>
  <c r="G502" i="3"/>
  <c r="H502" i="3" s="1"/>
  <c r="F502" i="3"/>
  <c r="Q502" i="3"/>
  <c r="T502" i="3"/>
  <c r="X501" i="3"/>
  <c r="AW500" i="3"/>
  <c r="Y501" i="3"/>
  <c r="Z501" i="3" s="1"/>
  <c r="AN501" i="3"/>
  <c r="AO501" i="3"/>
  <c r="AH501" i="3"/>
  <c r="BC499" i="3" l="1"/>
  <c r="BG499" i="3" s="1"/>
  <c r="BH499" i="3" s="1"/>
  <c r="BI499" i="3" s="1"/>
  <c r="AV500" i="3"/>
  <c r="BF499" i="3"/>
  <c r="BJ498" i="3" s="1"/>
  <c r="BK498" i="3" s="1"/>
  <c r="BD498" i="3"/>
  <c r="BM502" i="3"/>
  <c r="AU501" i="3"/>
  <c r="BB499" i="3"/>
  <c r="AY500" i="3"/>
  <c r="AN502" i="3"/>
  <c r="AW501" i="3"/>
  <c r="AT501" i="3"/>
  <c r="AG502" i="3"/>
  <c r="BA500" i="3"/>
  <c r="BF500" i="3" s="1"/>
  <c r="Y502" i="3"/>
  <c r="Z502" i="3" s="1"/>
  <c r="AX501" i="3"/>
  <c r="BN502" i="3"/>
  <c r="AH502" i="3"/>
  <c r="AO502" i="3"/>
  <c r="X502" i="3"/>
  <c r="AR503" i="3"/>
  <c r="B503" i="3"/>
  <c r="AQ503" i="3"/>
  <c r="A504" i="3"/>
  <c r="C503" i="3"/>
  <c r="T503" i="3"/>
  <c r="S503" i="3"/>
  <c r="AK503" i="3"/>
  <c r="D503" i="3"/>
  <c r="AM503" i="3"/>
  <c r="Q503" i="3"/>
  <c r="R503" i="3"/>
  <c r="AD503" i="3"/>
  <c r="P503" i="3"/>
  <c r="O503" i="3"/>
  <c r="M503" i="3"/>
  <c r="AF503" i="3"/>
  <c r="U503" i="3"/>
  <c r="AE503" i="3"/>
  <c r="V503" i="3"/>
  <c r="G503" i="3"/>
  <c r="H503" i="3" s="1"/>
  <c r="F503" i="3"/>
  <c r="BD499" i="3" l="1"/>
  <c r="BN503" i="3"/>
  <c r="BC500" i="3"/>
  <c r="BG500" i="3" s="1"/>
  <c r="BH500" i="3" s="1"/>
  <c r="BI500" i="3" s="1"/>
  <c r="AU502" i="3"/>
  <c r="AV501" i="3"/>
  <c r="BJ499" i="3"/>
  <c r="BK499" i="3" s="1"/>
  <c r="AN503" i="3"/>
  <c r="BM503" i="3"/>
  <c r="AG503" i="3"/>
  <c r="BA501" i="3"/>
  <c r="BB501" i="3" s="1"/>
  <c r="AT502" i="3"/>
  <c r="AW502" i="3"/>
  <c r="BQ500" i="3"/>
  <c r="AY501" i="3"/>
  <c r="BB500" i="3"/>
  <c r="Y503" i="3"/>
  <c r="Z503" i="3" s="1"/>
  <c r="AH503" i="3"/>
  <c r="X503" i="3"/>
  <c r="AX502" i="3"/>
  <c r="B504" i="3"/>
  <c r="AQ504" i="3"/>
  <c r="AR504" i="3"/>
  <c r="A505" i="3"/>
  <c r="D504" i="3"/>
  <c r="AM504" i="3"/>
  <c r="T504" i="3"/>
  <c r="C504" i="3"/>
  <c r="AK504" i="3"/>
  <c r="R504" i="3"/>
  <c r="Q504" i="3"/>
  <c r="AD504" i="3"/>
  <c r="P504" i="3"/>
  <c r="S504" i="3"/>
  <c r="M504" i="3"/>
  <c r="AE504" i="3"/>
  <c r="O504" i="3"/>
  <c r="U504" i="3"/>
  <c r="AF504" i="3"/>
  <c r="V504" i="3"/>
  <c r="G504" i="3"/>
  <c r="H504" i="3" s="1"/>
  <c r="F504" i="3"/>
  <c r="AO503" i="3"/>
  <c r="BD500" i="3" l="1"/>
  <c r="BN504" i="3"/>
  <c r="BM504" i="3"/>
  <c r="BF501" i="3"/>
  <c r="BJ500" i="3" s="1"/>
  <c r="BK500" i="3" s="1"/>
  <c r="AV502" i="3"/>
  <c r="BC501" i="3"/>
  <c r="BD501" i="3" s="1"/>
  <c r="AU503" i="3"/>
  <c r="AT503" i="3"/>
  <c r="BQ501" i="3"/>
  <c r="BA502" i="3"/>
  <c r="BQ502" i="3" s="1"/>
  <c r="AW503" i="3"/>
  <c r="AY502" i="3"/>
  <c r="AO504" i="3"/>
  <c r="AQ505" i="3"/>
  <c r="B505" i="3"/>
  <c r="A506" i="3"/>
  <c r="AR505" i="3"/>
  <c r="D505" i="3"/>
  <c r="C505" i="3"/>
  <c r="AK505" i="3"/>
  <c r="AM505" i="3"/>
  <c r="T505" i="3"/>
  <c r="P505" i="3"/>
  <c r="S505" i="3"/>
  <c r="Q505" i="3"/>
  <c r="AD505" i="3"/>
  <c r="M505" i="3"/>
  <c r="AE505" i="3"/>
  <c r="V505" i="3"/>
  <c r="U505" i="3"/>
  <c r="O505" i="3"/>
  <c r="AF505" i="3"/>
  <c r="G505" i="3"/>
  <c r="H505" i="3" s="1"/>
  <c r="F505" i="3"/>
  <c r="R505" i="3"/>
  <c r="AG504" i="3"/>
  <c r="AH504" i="3"/>
  <c r="X504" i="3"/>
  <c r="AN504" i="3"/>
  <c r="AX503" i="3"/>
  <c r="Y504" i="3"/>
  <c r="Z504" i="3" s="1"/>
  <c r="BG501" i="3" l="1"/>
  <c r="BH501" i="3" s="1"/>
  <c r="BI501" i="3" s="1"/>
  <c r="BC502" i="3"/>
  <c r="BD502" i="3" s="1"/>
  <c r="AV503" i="3"/>
  <c r="BM505" i="3"/>
  <c r="BF502" i="3"/>
  <c r="BJ501" i="3" s="1"/>
  <c r="BK501" i="3" s="1"/>
  <c r="BB502" i="3"/>
  <c r="AY503" i="3"/>
  <c r="BC503" i="3" s="1"/>
  <c r="BG503" i="3" s="1"/>
  <c r="BH503" i="3" s="1"/>
  <c r="BI503" i="3" s="1"/>
  <c r="AT504" i="3"/>
  <c r="AO505" i="3"/>
  <c r="BA503" i="3"/>
  <c r="BF503" i="3" s="1"/>
  <c r="AX504" i="3"/>
  <c r="AH505" i="3"/>
  <c r="AU504" i="3"/>
  <c r="AW504" i="3"/>
  <c r="BN505" i="3"/>
  <c r="AN505" i="3"/>
  <c r="X505" i="3"/>
  <c r="Y505" i="3"/>
  <c r="Z505" i="3" s="1"/>
  <c r="B506" i="3"/>
  <c r="A507" i="3"/>
  <c r="AQ506" i="3"/>
  <c r="AR506" i="3"/>
  <c r="C506" i="3"/>
  <c r="D506" i="3"/>
  <c r="S506" i="3"/>
  <c r="Q506" i="3"/>
  <c r="AM506" i="3"/>
  <c r="AK506" i="3"/>
  <c r="T506" i="3"/>
  <c r="R506" i="3"/>
  <c r="AD506" i="3"/>
  <c r="P506" i="3"/>
  <c r="AE506" i="3"/>
  <c r="AF506" i="3"/>
  <c r="M506" i="3"/>
  <c r="U506" i="3"/>
  <c r="O506" i="3"/>
  <c r="V506" i="3"/>
  <c r="G506" i="3"/>
  <c r="H506" i="3" s="1"/>
  <c r="F506" i="3"/>
  <c r="AG505" i="3"/>
  <c r="BG502" i="3" l="1"/>
  <c r="BH502" i="3" s="1"/>
  <c r="BI502" i="3" s="1"/>
  <c r="BN506" i="3"/>
  <c r="BJ502" i="3"/>
  <c r="BK502" i="3" s="1"/>
  <c r="AW505" i="3"/>
  <c r="AV504" i="3"/>
  <c r="BD503" i="3"/>
  <c r="AG506" i="3"/>
  <c r="AU505" i="3"/>
  <c r="AN506" i="3"/>
  <c r="BQ503" i="3"/>
  <c r="BB503" i="3"/>
  <c r="Y506" i="3"/>
  <c r="Z506" i="3" s="1"/>
  <c r="AR507" i="3"/>
  <c r="B507" i="3"/>
  <c r="AQ507" i="3"/>
  <c r="A508" i="3"/>
  <c r="D507" i="3"/>
  <c r="C507" i="3"/>
  <c r="AK507" i="3"/>
  <c r="S507" i="3"/>
  <c r="AM507" i="3"/>
  <c r="R507" i="3"/>
  <c r="Q507" i="3"/>
  <c r="AD507" i="3"/>
  <c r="P507" i="3"/>
  <c r="M507" i="3"/>
  <c r="U507" i="3"/>
  <c r="O507" i="3"/>
  <c r="AF507" i="3"/>
  <c r="AE507" i="3"/>
  <c r="V507" i="3"/>
  <c r="F507" i="3"/>
  <c r="BM507" i="3" s="1"/>
  <c r="G507" i="3"/>
  <c r="H507" i="3" s="1"/>
  <c r="BN507" i="3" s="1"/>
  <c r="T507" i="3"/>
  <c r="BA504" i="3"/>
  <c r="AY504" i="3"/>
  <c r="X506" i="3"/>
  <c r="BM506" i="3"/>
  <c r="AO506" i="3"/>
  <c r="AT505" i="3"/>
  <c r="AX505" i="3"/>
  <c r="AH506" i="3"/>
  <c r="AV505" i="3" l="1"/>
  <c r="AN507" i="3"/>
  <c r="AW506" i="3"/>
  <c r="AY505" i="3"/>
  <c r="BC504" i="3"/>
  <c r="BD504" i="3" s="1"/>
  <c r="AU506" i="3"/>
  <c r="AX506" i="3"/>
  <c r="BB504" i="3"/>
  <c r="BQ504" i="3"/>
  <c r="BF504" i="3"/>
  <c r="BJ503" i="3" s="1"/>
  <c r="BK503" i="3" s="1"/>
  <c r="AT506" i="3"/>
  <c r="AO507" i="3"/>
  <c r="B508" i="3"/>
  <c r="AQ508" i="3"/>
  <c r="AR508" i="3"/>
  <c r="A509" i="3"/>
  <c r="D508" i="3"/>
  <c r="AM508" i="3"/>
  <c r="T508" i="3"/>
  <c r="C508" i="3"/>
  <c r="AK508" i="3"/>
  <c r="S508" i="3"/>
  <c r="Q508" i="3"/>
  <c r="AD508" i="3"/>
  <c r="P508" i="3"/>
  <c r="O508" i="3"/>
  <c r="AF508" i="3"/>
  <c r="V508" i="3"/>
  <c r="U508" i="3"/>
  <c r="AE508" i="3"/>
  <c r="M508" i="3"/>
  <c r="R508" i="3"/>
  <c r="G508" i="3"/>
  <c r="H508" i="3" s="1"/>
  <c r="BN508" i="3" s="1"/>
  <c r="F508" i="3"/>
  <c r="BA505" i="3"/>
  <c r="Y507" i="3"/>
  <c r="Z507" i="3" s="1"/>
  <c r="AG507" i="3"/>
  <c r="AH507" i="3"/>
  <c r="X507" i="3"/>
  <c r="BC505" i="3" l="1"/>
  <c r="BG505" i="3" s="1"/>
  <c r="BH505" i="3" s="1"/>
  <c r="BI505" i="3" s="1"/>
  <c r="BM508" i="3"/>
  <c r="AY506" i="3"/>
  <c r="AG508" i="3"/>
  <c r="BG504" i="3"/>
  <c r="BH504" i="3" s="1"/>
  <c r="BI504" i="3" s="1"/>
  <c r="AX507" i="3"/>
  <c r="AO508" i="3"/>
  <c r="AN508" i="3"/>
  <c r="AQ509" i="3"/>
  <c r="B509" i="3"/>
  <c r="A510" i="3"/>
  <c r="AR509" i="3"/>
  <c r="C509" i="3"/>
  <c r="AM509" i="3"/>
  <c r="S509" i="3"/>
  <c r="AK509" i="3"/>
  <c r="D509" i="3"/>
  <c r="R509" i="3"/>
  <c r="P509" i="3"/>
  <c r="Q509" i="3"/>
  <c r="AD509" i="3"/>
  <c r="O509" i="3"/>
  <c r="AE509" i="3"/>
  <c r="U509" i="3"/>
  <c r="M509" i="3"/>
  <c r="AF509" i="3"/>
  <c r="V509" i="3"/>
  <c r="G509" i="3"/>
  <c r="H509" i="3" s="1"/>
  <c r="F509" i="3"/>
  <c r="T509" i="3"/>
  <c r="BQ505" i="3"/>
  <c r="BF505" i="3"/>
  <c r="BJ504" i="3" s="1"/>
  <c r="BK504" i="3" s="1"/>
  <c r="BB505" i="3"/>
  <c r="Y508" i="3"/>
  <c r="Z508" i="3" s="1"/>
  <c r="AW507" i="3"/>
  <c r="AU507" i="3"/>
  <c r="BA506" i="3"/>
  <c r="AV506" i="3"/>
  <c r="BC506" i="3" s="1"/>
  <c r="AH508" i="3"/>
  <c r="AU508" i="3" s="1"/>
  <c r="X508" i="3"/>
  <c r="AT507" i="3"/>
  <c r="BD505" i="3" l="1"/>
  <c r="BM509" i="3"/>
  <c r="AO509" i="3"/>
  <c r="BN509" i="3"/>
  <c r="AY507" i="3"/>
  <c r="AV507" i="3"/>
  <c r="BA507" i="3"/>
  <c r="BB506" i="3"/>
  <c r="BQ506" i="3"/>
  <c r="BF506" i="3"/>
  <c r="BJ505" i="3" s="1"/>
  <c r="BK505" i="3" s="1"/>
  <c r="B510" i="3"/>
  <c r="A511" i="3"/>
  <c r="AQ510" i="3"/>
  <c r="AR510" i="3"/>
  <c r="D510" i="3"/>
  <c r="C510" i="3"/>
  <c r="AM510" i="3"/>
  <c r="R510" i="3"/>
  <c r="AK510" i="3"/>
  <c r="S510" i="3"/>
  <c r="Q510" i="3"/>
  <c r="AD510" i="3"/>
  <c r="P510" i="3"/>
  <c r="O510" i="3"/>
  <c r="M510" i="3"/>
  <c r="AF510" i="3"/>
  <c r="AE510" i="3"/>
  <c r="U510" i="3"/>
  <c r="V510" i="3"/>
  <c r="G510" i="3"/>
  <c r="H510" i="3" s="1"/>
  <c r="F510" i="3"/>
  <c r="T510" i="3"/>
  <c r="Y509" i="3"/>
  <c r="Z509" i="3" s="1"/>
  <c r="AW508" i="3"/>
  <c r="AT508" i="3"/>
  <c r="AG509" i="3"/>
  <c r="AH509" i="3"/>
  <c r="X509" i="3"/>
  <c r="AX508" i="3"/>
  <c r="BD506" i="3"/>
  <c r="BG506" i="3"/>
  <c r="BH506" i="3" s="1"/>
  <c r="BI506" i="3" s="1"/>
  <c r="AN509" i="3"/>
  <c r="AO510" i="3" l="1"/>
  <c r="BM510" i="3"/>
  <c r="BN510" i="3"/>
  <c r="BC507" i="3"/>
  <c r="BD507" i="3" s="1"/>
  <c r="AU509" i="3"/>
  <c r="AG510" i="3"/>
  <c r="AY508" i="3"/>
  <c r="AV508" i="3"/>
  <c r="BA508" i="3"/>
  <c r="AR511" i="3"/>
  <c r="B511" i="3"/>
  <c r="AQ511" i="3"/>
  <c r="A512" i="3"/>
  <c r="D511" i="3"/>
  <c r="C511" i="3"/>
  <c r="AM511" i="3"/>
  <c r="AK511" i="3"/>
  <c r="S511" i="3"/>
  <c r="AD511" i="3"/>
  <c r="P511" i="3"/>
  <c r="AE511" i="3"/>
  <c r="U511" i="3"/>
  <c r="O511" i="3"/>
  <c r="M511" i="3"/>
  <c r="AF511" i="3"/>
  <c r="V511" i="3"/>
  <c r="Q511" i="3"/>
  <c r="G511" i="3"/>
  <c r="H511" i="3" s="1"/>
  <c r="F511" i="3"/>
  <c r="R511" i="3"/>
  <c r="T511" i="3"/>
  <c r="AW509" i="3"/>
  <c r="AT509" i="3"/>
  <c r="AX509" i="3"/>
  <c r="Y510" i="3"/>
  <c r="Z510" i="3" s="1"/>
  <c r="AH510" i="3"/>
  <c r="X510" i="3"/>
  <c r="BG507" i="3"/>
  <c r="BH507" i="3" s="1"/>
  <c r="BI507" i="3" s="1"/>
  <c r="BQ507" i="3"/>
  <c r="BF507" i="3"/>
  <c r="BJ506" i="3" s="1"/>
  <c r="BK506" i="3" s="1"/>
  <c r="BB507" i="3"/>
  <c r="AN510" i="3"/>
  <c r="BM511" i="3" l="1"/>
  <c r="AU510" i="3"/>
  <c r="BN511" i="3"/>
  <c r="AT510" i="3"/>
  <c r="AW510" i="3"/>
  <c r="AO511" i="3"/>
  <c r="BC508" i="3"/>
  <c r="BD508" i="3" s="1"/>
  <c r="BA509" i="3"/>
  <c r="BQ509" i="3" s="1"/>
  <c r="Y511" i="3"/>
  <c r="Z511" i="3" s="1"/>
  <c r="AV509" i="3"/>
  <c r="AX510" i="3"/>
  <c r="AY509" i="3"/>
  <c r="AN511" i="3"/>
  <c r="B512" i="3"/>
  <c r="AQ512" i="3"/>
  <c r="AR512" i="3"/>
  <c r="A513" i="3"/>
  <c r="C512" i="3"/>
  <c r="AM512" i="3"/>
  <c r="AK512" i="3"/>
  <c r="S512" i="3"/>
  <c r="D512" i="3"/>
  <c r="R512" i="3"/>
  <c r="Q512" i="3"/>
  <c r="AD512" i="3"/>
  <c r="P512" i="3"/>
  <c r="O512" i="3"/>
  <c r="M512" i="3"/>
  <c r="V512" i="3"/>
  <c r="AF512" i="3"/>
  <c r="AE512" i="3"/>
  <c r="U512" i="3"/>
  <c r="G512" i="3"/>
  <c r="H512" i="3" s="1"/>
  <c r="F512" i="3"/>
  <c r="BM512" i="3" s="1"/>
  <c r="T512" i="3"/>
  <c r="BB508" i="3"/>
  <c r="BF508" i="3"/>
  <c r="BJ507" i="3" s="1"/>
  <c r="BK507" i="3" s="1"/>
  <c r="BQ508" i="3"/>
  <c r="AG511" i="3"/>
  <c r="AH511" i="3"/>
  <c r="X511" i="3"/>
  <c r="AV510" i="3" l="1"/>
  <c r="BF509" i="3"/>
  <c r="BJ508" i="3" s="1"/>
  <c r="BK508" i="3" s="1"/>
  <c r="BN512" i="3"/>
  <c r="AY510" i="3"/>
  <c r="BC509" i="3"/>
  <c r="BG509" i="3" s="1"/>
  <c r="BH509" i="3" s="1"/>
  <c r="BI509" i="3" s="1"/>
  <c r="BA510" i="3"/>
  <c r="BF510" i="3" s="1"/>
  <c r="AG512" i="3"/>
  <c r="BG508" i="3"/>
  <c r="BH508" i="3" s="1"/>
  <c r="BI508" i="3" s="1"/>
  <c r="AN512" i="3"/>
  <c r="AX511" i="3"/>
  <c r="Y512" i="3"/>
  <c r="Z512" i="3" s="1"/>
  <c r="BB509" i="3"/>
  <c r="AW511" i="3"/>
  <c r="AO512" i="3"/>
  <c r="X512" i="3"/>
  <c r="AU511" i="3"/>
  <c r="AQ513" i="3"/>
  <c r="B513" i="3"/>
  <c r="A514" i="3"/>
  <c r="AR513" i="3"/>
  <c r="C513" i="3"/>
  <c r="D513" i="3"/>
  <c r="AK513" i="3"/>
  <c r="AM513" i="3"/>
  <c r="T513" i="3"/>
  <c r="S513" i="3"/>
  <c r="Q513" i="3"/>
  <c r="R513" i="3"/>
  <c r="AD513" i="3"/>
  <c r="P513" i="3"/>
  <c r="O513" i="3"/>
  <c r="AE513" i="3"/>
  <c r="M513" i="3"/>
  <c r="AF513" i="3"/>
  <c r="V513" i="3"/>
  <c r="U513" i="3"/>
  <c r="G513" i="3"/>
  <c r="H513" i="3" s="1"/>
  <c r="F513" i="3"/>
  <c r="AH512" i="3"/>
  <c r="AT511" i="3"/>
  <c r="BC510" i="3" l="1"/>
  <c r="BD510" i="3" s="1"/>
  <c r="BJ509" i="3"/>
  <c r="BK509" i="3" s="1"/>
  <c r="BD509" i="3"/>
  <c r="AN513" i="3"/>
  <c r="AY511" i="3"/>
  <c r="BM513" i="3"/>
  <c r="BQ510" i="3"/>
  <c r="BB510" i="3"/>
  <c r="BG510" i="3"/>
  <c r="BH510" i="3" s="1"/>
  <c r="BI510" i="3" s="1"/>
  <c r="AX512" i="3"/>
  <c r="AU512" i="3"/>
  <c r="AG513" i="3"/>
  <c r="Y513" i="3"/>
  <c r="Z513" i="3" s="1"/>
  <c r="AT512" i="3"/>
  <c r="AV511" i="3"/>
  <c r="BA511" i="3"/>
  <c r="B514" i="3"/>
  <c r="A515" i="3"/>
  <c r="AQ514" i="3"/>
  <c r="AR514" i="3"/>
  <c r="C514" i="3"/>
  <c r="S514" i="3"/>
  <c r="AM514" i="3"/>
  <c r="D514" i="3"/>
  <c r="AK514" i="3"/>
  <c r="R514" i="3"/>
  <c r="Q514" i="3"/>
  <c r="AD514" i="3"/>
  <c r="P514" i="3"/>
  <c r="O514" i="3"/>
  <c r="AE514" i="3"/>
  <c r="AF514" i="3"/>
  <c r="M514" i="3"/>
  <c r="U514" i="3"/>
  <c r="V514" i="3"/>
  <c r="G514" i="3"/>
  <c r="H514" i="3" s="1"/>
  <c r="F514" i="3"/>
  <c r="T514" i="3"/>
  <c r="BN513" i="3"/>
  <c r="AH513" i="3"/>
  <c r="AO513" i="3"/>
  <c r="X513" i="3"/>
  <c r="AW512" i="3"/>
  <c r="BM514" i="3" l="1"/>
  <c r="BN514" i="3"/>
  <c r="AU513" i="3"/>
  <c r="AO514" i="3"/>
  <c r="BC511" i="3"/>
  <c r="BG511" i="3" s="1"/>
  <c r="BH511" i="3" s="1"/>
  <c r="BI511" i="3" s="1"/>
  <c r="AY512" i="3"/>
  <c r="AG514" i="3"/>
  <c r="AR515" i="3"/>
  <c r="B515" i="3"/>
  <c r="AQ515" i="3"/>
  <c r="A516" i="3"/>
  <c r="D515" i="3"/>
  <c r="AK515" i="3"/>
  <c r="AM515" i="3"/>
  <c r="Q515" i="3"/>
  <c r="C515" i="3"/>
  <c r="T515" i="3"/>
  <c r="S515" i="3"/>
  <c r="R515" i="3"/>
  <c r="AD515" i="3"/>
  <c r="P515" i="3"/>
  <c r="O515" i="3"/>
  <c r="M515" i="3"/>
  <c r="AE515" i="3"/>
  <c r="AF515" i="3"/>
  <c r="V515" i="3"/>
  <c r="U515" i="3"/>
  <c r="F515" i="3"/>
  <c r="G515" i="3"/>
  <c r="H515" i="3" s="1"/>
  <c r="BF511" i="3"/>
  <c r="BJ510" i="3" s="1"/>
  <c r="BK510" i="3" s="1"/>
  <c r="BQ511" i="3"/>
  <c r="BB511" i="3"/>
  <c r="AV512" i="3"/>
  <c r="BA512" i="3"/>
  <c r="AX513" i="3"/>
  <c r="Y514" i="3"/>
  <c r="Z514" i="3" s="1"/>
  <c r="AH514" i="3"/>
  <c r="AW513" i="3"/>
  <c r="BD511" i="3"/>
  <c r="AN514" i="3"/>
  <c r="X514" i="3"/>
  <c r="AT513" i="3"/>
  <c r="BM515" i="3" l="1"/>
  <c r="AT514" i="3"/>
  <c r="BN515" i="3"/>
  <c r="BC512" i="3"/>
  <c r="BG512" i="3" s="1"/>
  <c r="BH512" i="3" s="1"/>
  <c r="BI512" i="3" s="1"/>
  <c r="AN515" i="3"/>
  <c r="AY513" i="3"/>
  <c r="AU514" i="3"/>
  <c r="AW514" i="3"/>
  <c r="AG515" i="3"/>
  <c r="Y515" i="3"/>
  <c r="Z515" i="3" s="1"/>
  <c r="X515" i="3"/>
  <c r="BF512" i="3"/>
  <c r="BQ512" i="3"/>
  <c r="BB512" i="3"/>
  <c r="BA513" i="3"/>
  <c r="AV513" i="3"/>
  <c r="B516" i="3"/>
  <c r="AQ516" i="3"/>
  <c r="AR516" i="3"/>
  <c r="A517" i="3"/>
  <c r="C516" i="3"/>
  <c r="D516" i="3"/>
  <c r="S516" i="3"/>
  <c r="Q516" i="3"/>
  <c r="AM516" i="3"/>
  <c r="AK516" i="3"/>
  <c r="T516" i="3"/>
  <c r="R516" i="3"/>
  <c r="AD516" i="3"/>
  <c r="P516" i="3"/>
  <c r="O516" i="3"/>
  <c r="M516" i="3"/>
  <c r="V516" i="3"/>
  <c r="AF516" i="3"/>
  <c r="AE516" i="3"/>
  <c r="U516" i="3"/>
  <c r="G516" i="3"/>
  <c r="H516" i="3" s="1"/>
  <c r="F516" i="3"/>
  <c r="AX514" i="3"/>
  <c r="AH515" i="3"/>
  <c r="AO515" i="3"/>
  <c r="BC513" i="3" l="1"/>
  <c r="BD513" i="3" s="1"/>
  <c r="BD512" i="3"/>
  <c r="AV514" i="3"/>
  <c r="AY514" i="3"/>
  <c r="BN516" i="3"/>
  <c r="AG516" i="3"/>
  <c r="AN516" i="3"/>
  <c r="Y516" i="3"/>
  <c r="Z516" i="3" s="1"/>
  <c r="AQ517" i="3"/>
  <c r="B517" i="3"/>
  <c r="A518" i="3"/>
  <c r="AR517" i="3"/>
  <c r="D517" i="3"/>
  <c r="C517" i="3"/>
  <c r="AK517" i="3"/>
  <c r="AM517" i="3"/>
  <c r="R517" i="3"/>
  <c r="S517" i="3"/>
  <c r="AD517" i="3"/>
  <c r="P517" i="3"/>
  <c r="AE517" i="3"/>
  <c r="O517" i="3"/>
  <c r="M517" i="3"/>
  <c r="AF517" i="3"/>
  <c r="U517" i="3"/>
  <c r="V517" i="3"/>
  <c r="Q517" i="3"/>
  <c r="G517" i="3"/>
  <c r="H517" i="3" s="1"/>
  <c r="F517" i="3"/>
  <c r="T517" i="3"/>
  <c r="BJ511" i="3"/>
  <c r="BK511" i="3" s="1"/>
  <c r="AH516" i="3"/>
  <c r="X516" i="3"/>
  <c r="AX515" i="3"/>
  <c r="BM516" i="3"/>
  <c r="AO516" i="3"/>
  <c r="BA514" i="3"/>
  <c r="AU515" i="3"/>
  <c r="AW515" i="3"/>
  <c r="BB513" i="3"/>
  <c r="BQ513" i="3"/>
  <c r="BF513" i="3"/>
  <c r="BJ512" i="3" s="1"/>
  <c r="BK512" i="3" s="1"/>
  <c r="AT515" i="3"/>
  <c r="BG513" i="3" l="1"/>
  <c r="BH513" i="3" s="1"/>
  <c r="BI513" i="3" s="1"/>
  <c r="AU516" i="3"/>
  <c r="BC514" i="3"/>
  <c r="BD514" i="3" s="1"/>
  <c r="AW516" i="3"/>
  <c r="Y517" i="3"/>
  <c r="Z517" i="3" s="1"/>
  <c r="BN517" i="3"/>
  <c r="AN517" i="3"/>
  <c r="AT516" i="3"/>
  <c r="AY515" i="3"/>
  <c r="BQ514" i="3"/>
  <c r="BF514" i="3"/>
  <c r="BJ513" i="3" s="1"/>
  <c r="BK513" i="3" s="1"/>
  <c r="BB514" i="3"/>
  <c r="B518" i="3"/>
  <c r="A519" i="3"/>
  <c r="AQ518" i="3"/>
  <c r="AR518" i="3"/>
  <c r="C518" i="3"/>
  <c r="D518" i="3"/>
  <c r="T518" i="3"/>
  <c r="S518" i="3"/>
  <c r="AK518" i="3"/>
  <c r="AM518" i="3"/>
  <c r="Q518" i="3"/>
  <c r="R518" i="3"/>
  <c r="AD518" i="3"/>
  <c r="P518" i="3"/>
  <c r="O518" i="3"/>
  <c r="M518" i="3"/>
  <c r="AE518" i="3"/>
  <c r="U518" i="3"/>
  <c r="AF518" i="3"/>
  <c r="V518" i="3"/>
  <c r="F518" i="3"/>
  <c r="BM518" i="3" s="1"/>
  <c r="G518" i="3"/>
  <c r="H518" i="3" s="1"/>
  <c r="BN518" i="3" s="1"/>
  <c r="AX516" i="3"/>
  <c r="BM517" i="3"/>
  <c r="AG517" i="3"/>
  <c r="AH517" i="3"/>
  <c r="AO517" i="3"/>
  <c r="AV515" i="3"/>
  <c r="BA515" i="3"/>
  <c r="X517" i="3"/>
  <c r="AV516" i="3" l="1"/>
  <c r="BG514" i="3"/>
  <c r="BH514" i="3" s="1"/>
  <c r="BI514" i="3" s="1"/>
  <c r="BA516" i="3"/>
  <c r="BB516" i="3" s="1"/>
  <c r="AU517" i="3"/>
  <c r="BC515" i="3"/>
  <c r="BG515" i="3" s="1"/>
  <c r="BH515" i="3" s="1"/>
  <c r="BI515" i="3" s="1"/>
  <c r="AO518" i="3"/>
  <c r="BF515" i="3"/>
  <c r="BJ514" i="3" s="1"/>
  <c r="BK514" i="3" s="1"/>
  <c r="BB515" i="3"/>
  <c r="BQ515" i="3"/>
  <c r="AH518" i="3"/>
  <c r="AG518" i="3"/>
  <c r="Y518" i="3"/>
  <c r="Z518" i="3" s="1"/>
  <c r="AR519" i="3"/>
  <c r="B519" i="3"/>
  <c r="AQ519" i="3"/>
  <c r="A520" i="3"/>
  <c r="D519" i="3"/>
  <c r="C519" i="3"/>
  <c r="S519" i="3"/>
  <c r="AK519" i="3"/>
  <c r="AM519" i="3"/>
  <c r="R519" i="3"/>
  <c r="Q519" i="3"/>
  <c r="AD519" i="3"/>
  <c r="P519" i="3"/>
  <c r="O519" i="3"/>
  <c r="AE519" i="3"/>
  <c r="M519" i="3"/>
  <c r="AF519" i="3"/>
  <c r="V519" i="3"/>
  <c r="U519" i="3"/>
  <c r="G519" i="3"/>
  <c r="H519" i="3" s="1"/>
  <c r="F519" i="3"/>
  <c r="T519" i="3"/>
  <c r="AW517" i="3"/>
  <c r="AY516" i="3"/>
  <c r="BC516" i="3" s="1"/>
  <c r="AT517" i="3"/>
  <c r="AX517" i="3"/>
  <c r="AN518" i="3"/>
  <c r="X518" i="3"/>
  <c r="BD515" i="3" l="1"/>
  <c r="BM519" i="3"/>
  <c r="BN519" i="3"/>
  <c r="BF516" i="3"/>
  <c r="BJ515" i="3" s="1"/>
  <c r="BK515" i="3" s="1"/>
  <c r="BQ516" i="3"/>
  <c r="AU518" i="3"/>
  <c r="AN519" i="3"/>
  <c r="Y519" i="3"/>
  <c r="Z519" i="3" s="1"/>
  <c r="AY517" i="3"/>
  <c r="AT518" i="3"/>
  <c r="AX518" i="3"/>
  <c r="AG519" i="3"/>
  <c r="BA517" i="3"/>
  <c r="AV517" i="3"/>
  <c r="BD516" i="3"/>
  <c r="BG516" i="3"/>
  <c r="BH516" i="3" s="1"/>
  <c r="BI516" i="3" s="1"/>
  <c r="B520" i="3"/>
  <c r="AQ520" i="3"/>
  <c r="AR520" i="3"/>
  <c r="A521" i="3"/>
  <c r="C520" i="3"/>
  <c r="AM520" i="3"/>
  <c r="S520" i="3"/>
  <c r="R520" i="3"/>
  <c r="D520" i="3"/>
  <c r="AK520" i="3"/>
  <c r="Q520" i="3"/>
  <c r="AD520" i="3"/>
  <c r="P520" i="3"/>
  <c r="O520" i="3"/>
  <c r="AF520" i="3"/>
  <c r="V520" i="3"/>
  <c r="AE520" i="3"/>
  <c r="M520" i="3"/>
  <c r="U520" i="3"/>
  <c r="F520" i="3"/>
  <c r="G520" i="3"/>
  <c r="H520" i="3" s="1"/>
  <c r="BN520" i="3" s="1"/>
  <c r="T520" i="3"/>
  <c r="AH519" i="3"/>
  <c r="AO519" i="3"/>
  <c r="X519" i="3"/>
  <c r="AW518" i="3"/>
  <c r="AV518" i="3" l="1"/>
  <c r="AO520" i="3"/>
  <c r="AY518" i="3"/>
  <c r="AG520" i="3"/>
  <c r="AX519" i="3"/>
  <c r="BC517" i="3"/>
  <c r="BD517" i="3" s="1"/>
  <c r="AQ521" i="3"/>
  <c r="B521" i="3"/>
  <c r="A522" i="3"/>
  <c r="AR521" i="3"/>
  <c r="C521" i="3"/>
  <c r="AM521" i="3"/>
  <c r="AK521" i="3"/>
  <c r="S521" i="3"/>
  <c r="D521" i="3"/>
  <c r="R521" i="3"/>
  <c r="Q521" i="3"/>
  <c r="AD521" i="3"/>
  <c r="P521" i="3"/>
  <c r="O521" i="3"/>
  <c r="M521" i="3"/>
  <c r="AF521" i="3"/>
  <c r="AE521" i="3"/>
  <c r="V521" i="3"/>
  <c r="U521" i="3"/>
  <c r="F521" i="3"/>
  <c r="G521" i="3"/>
  <c r="H521" i="3" s="1"/>
  <c r="T521" i="3"/>
  <c r="BA518" i="3"/>
  <c r="Y520" i="3"/>
  <c r="Z520" i="3" s="1"/>
  <c r="BM520" i="3"/>
  <c r="AH520" i="3"/>
  <c r="AU520" i="3" s="1"/>
  <c r="AN520" i="3"/>
  <c r="AT519" i="3"/>
  <c r="AW519" i="3"/>
  <c r="BB517" i="3"/>
  <c r="BF517" i="3"/>
  <c r="BJ516" i="3" s="1"/>
  <c r="BK516" i="3" s="1"/>
  <c r="BQ517" i="3"/>
  <c r="X520" i="3"/>
  <c r="AU519" i="3"/>
  <c r="BC518" i="3" l="1"/>
  <c r="BD518" i="3" s="1"/>
  <c r="BN521" i="3"/>
  <c r="AY519" i="3"/>
  <c r="BM521" i="3"/>
  <c r="AT520" i="3"/>
  <c r="AV520" i="3" s="1"/>
  <c r="BG517" i="3"/>
  <c r="BH517" i="3" s="1"/>
  <c r="BI517" i="3" s="1"/>
  <c r="AN521" i="3"/>
  <c r="AW520" i="3"/>
  <c r="Y521" i="3"/>
  <c r="Z521" i="3" s="1"/>
  <c r="AV519" i="3"/>
  <c r="BA519" i="3"/>
  <c r="BQ518" i="3"/>
  <c r="BF518" i="3"/>
  <c r="BJ517" i="3" s="1"/>
  <c r="BK517" i="3" s="1"/>
  <c r="BB518" i="3"/>
  <c r="B522" i="3"/>
  <c r="A523" i="3"/>
  <c r="AQ522" i="3"/>
  <c r="AR522" i="3"/>
  <c r="C522" i="3"/>
  <c r="AM522" i="3"/>
  <c r="R522" i="3"/>
  <c r="D522" i="3"/>
  <c r="AK522" i="3"/>
  <c r="S522" i="3"/>
  <c r="Q522" i="3"/>
  <c r="AD522" i="3"/>
  <c r="P522" i="3"/>
  <c r="O522" i="3"/>
  <c r="V522" i="3"/>
  <c r="M522" i="3"/>
  <c r="AF522" i="3"/>
  <c r="AE522" i="3"/>
  <c r="U522" i="3"/>
  <c r="F522" i="3"/>
  <c r="G522" i="3"/>
  <c r="H522" i="3" s="1"/>
  <c r="T522" i="3"/>
  <c r="AX520" i="3"/>
  <c r="AG521" i="3"/>
  <c r="AO521" i="3"/>
  <c r="X521" i="3"/>
  <c r="AH521" i="3"/>
  <c r="BG518" i="3" l="1"/>
  <c r="BH518" i="3" s="1"/>
  <c r="BI518" i="3" s="1"/>
  <c r="BC519" i="3"/>
  <c r="BD519" i="3" s="1"/>
  <c r="AY520" i="3"/>
  <c r="BC520" i="3" s="1"/>
  <c r="BD520" i="3" s="1"/>
  <c r="BM522" i="3"/>
  <c r="AG522" i="3"/>
  <c r="AX521" i="3"/>
  <c r="AN522" i="3"/>
  <c r="Y522" i="3"/>
  <c r="Z522" i="3" s="1"/>
  <c r="BB519" i="3"/>
  <c r="BQ519" i="3"/>
  <c r="BF519" i="3"/>
  <c r="BJ518" i="3" s="1"/>
  <c r="BK518" i="3" s="1"/>
  <c r="AH522" i="3"/>
  <c r="AT521" i="3"/>
  <c r="AU521" i="3"/>
  <c r="AW521" i="3"/>
  <c r="BN522" i="3"/>
  <c r="AO522" i="3"/>
  <c r="X522" i="3"/>
  <c r="BA520" i="3"/>
  <c r="AR523" i="3"/>
  <c r="B523" i="3"/>
  <c r="AQ523" i="3"/>
  <c r="A524" i="3"/>
  <c r="C523" i="3"/>
  <c r="D523" i="3"/>
  <c r="T523" i="3"/>
  <c r="S523" i="3"/>
  <c r="R523" i="3"/>
  <c r="AK523" i="3"/>
  <c r="AM523" i="3"/>
  <c r="Q523" i="3"/>
  <c r="AD523" i="3"/>
  <c r="O523" i="3"/>
  <c r="AE523" i="3"/>
  <c r="M523" i="3"/>
  <c r="V523" i="3"/>
  <c r="P523" i="3"/>
  <c r="AF523" i="3"/>
  <c r="U523" i="3"/>
  <c r="F523" i="3"/>
  <c r="G523" i="3"/>
  <c r="H523" i="3" s="1"/>
  <c r="BM523" i="3" l="1"/>
  <c r="BN523" i="3"/>
  <c r="BG519" i="3"/>
  <c r="BH519" i="3" s="1"/>
  <c r="BI519" i="3" s="1"/>
  <c r="BG520" i="3"/>
  <c r="BH520" i="3" s="1"/>
  <c r="BI520" i="3" s="1"/>
  <c r="AU522" i="3"/>
  <c r="AY521" i="3"/>
  <c r="AN523" i="3"/>
  <c r="AW522" i="3"/>
  <c r="Y523" i="3"/>
  <c r="Z523" i="3" s="1"/>
  <c r="B524" i="3"/>
  <c r="AQ524" i="3"/>
  <c r="AR524" i="3"/>
  <c r="A525" i="3"/>
  <c r="C524" i="3"/>
  <c r="AM524" i="3"/>
  <c r="AK524" i="3"/>
  <c r="D524" i="3"/>
  <c r="S524" i="3"/>
  <c r="R524" i="3"/>
  <c r="Q524" i="3"/>
  <c r="P524" i="3"/>
  <c r="AD524" i="3"/>
  <c r="O524" i="3"/>
  <c r="M524" i="3"/>
  <c r="AF524" i="3"/>
  <c r="AE524" i="3"/>
  <c r="V524" i="3"/>
  <c r="U524" i="3"/>
  <c r="G524" i="3"/>
  <c r="H524" i="3" s="1"/>
  <c r="F524" i="3"/>
  <c r="BM524" i="3" s="1"/>
  <c r="T524" i="3"/>
  <c r="BQ520" i="3"/>
  <c r="BF520" i="3"/>
  <c r="BJ519" i="3" s="1"/>
  <c r="BK519" i="3" s="1"/>
  <c r="BB520" i="3"/>
  <c r="AG523" i="3"/>
  <c r="AH523" i="3"/>
  <c r="X523" i="3"/>
  <c r="AX522" i="3"/>
  <c r="AT522" i="3"/>
  <c r="AO523" i="3"/>
  <c r="AV521" i="3"/>
  <c r="BA521" i="3"/>
  <c r="BN524" i="3" l="1"/>
  <c r="AY522" i="3"/>
  <c r="AO524" i="3"/>
  <c r="Y524" i="3"/>
  <c r="Z524" i="3" s="1"/>
  <c r="AU523" i="3"/>
  <c r="AG524" i="3"/>
  <c r="BC521" i="3"/>
  <c r="BG521" i="3" s="1"/>
  <c r="BH521" i="3" s="1"/>
  <c r="BI521" i="3" s="1"/>
  <c r="AT523" i="3"/>
  <c r="BA522" i="3"/>
  <c r="AV522" i="3"/>
  <c r="AX523" i="3"/>
  <c r="AH524" i="3"/>
  <c r="X524" i="3"/>
  <c r="BB521" i="3"/>
  <c r="BF521" i="3"/>
  <c r="BJ520" i="3" s="1"/>
  <c r="BK520" i="3" s="1"/>
  <c r="BQ521" i="3"/>
  <c r="AQ525" i="3"/>
  <c r="B525" i="3"/>
  <c r="A526" i="3"/>
  <c r="AR525" i="3"/>
  <c r="C525" i="3"/>
  <c r="D525" i="3"/>
  <c r="AM525" i="3"/>
  <c r="AK525" i="3"/>
  <c r="S525" i="3"/>
  <c r="Q525" i="3"/>
  <c r="R525" i="3"/>
  <c r="T525" i="3"/>
  <c r="AD525" i="3"/>
  <c r="P525" i="3"/>
  <c r="M525" i="3"/>
  <c r="AE525" i="3"/>
  <c r="O525" i="3"/>
  <c r="AF525" i="3"/>
  <c r="V525" i="3"/>
  <c r="U525" i="3"/>
  <c r="G525" i="3"/>
  <c r="H525" i="3" s="1"/>
  <c r="F525" i="3"/>
  <c r="AW523" i="3"/>
  <c r="AN524" i="3"/>
  <c r="BD521" i="3" l="1"/>
  <c r="BC522" i="3"/>
  <c r="BG522" i="3" s="1"/>
  <c r="BH522" i="3" s="1"/>
  <c r="BI522" i="3" s="1"/>
  <c r="AN525" i="3"/>
  <c r="AV523" i="3"/>
  <c r="BN525" i="3"/>
  <c r="BM525" i="3"/>
  <c r="AT524" i="3"/>
  <c r="AY523" i="3"/>
  <c r="AU524" i="3"/>
  <c r="AH525" i="3"/>
  <c r="B526" i="3"/>
  <c r="A527" i="3"/>
  <c r="AQ526" i="3"/>
  <c r="AR526" i="3"/>
  <c r="C526" i="3"/>
  <c r="AM526" i="3"/>
  <c r="Q526" i="3"/>
  <c r="D526" i="3"/>
  <c r="AK526" i="3"/>
  <c r="T526" i="3"/>
  <c r="S526" i="3"/>
  <c r="R526" i="3"/>
  <c r="AD526" i="3"/>
  <c r="P526" i="3"/>
  <c r="O526" i="3"/>
  <c r="M526" i="3"/>
  <c r="AE526" i="3"/>
  <c r="V526" i="3"/>
  <c r="AF526" i="3"/>
  <c r="U526" i="3"/>
  <c r="G526" i="3"/>
  <c r="H526" i="3" s="1"/>
  <c r="F526" i="3"/>
  <c r="BB522" i="3"/>
  <c r="BQ522" i="3"/>
  <c r="BF522" i="3"/>
  <c r="BJ521" i="3" s="1"/>
  <c r="BK521" i="3" s="1"/>
  <c r="X525" i="3"/>
  <c r="BA523" i="3"/>
  <c r="AX524" i="3"/>
  <c r="Y525" i="3"/>
  <c r="Z525" i="3" s="1"/>
  <c r="AG525" i="3"/>
  <c r="AO525" i="3"/>
  <c r="AW524" i="3"/>
  <c r="BD522" i="3" l="1"/>
  <c r="AV524" i="3"/>
  <c r="AT525" i="3"/>
  <c r="BC523" i="3"/>
  <c r="BD523" i="3" s="1"/>
  <c r="BM526" i="3"/>
  <c r="AH526" i="3"/>
  <c r="AN526" i="3"/>
  <c r="AU525" i="3"/>
  <c r="AW525" i="3"/>
  <c r="AY524" i="3"/>
  <c r="BA524" i="3"/>
  <c r="BN526" i="3"/>
  <c r="AG526" i="3"/>
  <c r="AO526" i="3"/>
  <c r="X526" i="3"/>
  <c r="BF523" i="3"/>
  <c r="BJ522" i="3" s="1"/>
  <c r="BK522" i="3" s="1"/>
  <c r="BQ523" i="3"/>
  <c r="BB523" i="3"/>
  <c r="Y526" i="3"/>
  <c r="Z526" i="3" s="1"/>
  <c r="AR527" i="3"/>
  <c r="B527" i="3"/>
  <c r="AQ527" i="3"/>
  <c r="A528" i="3"/>
  <c r="C527" i="3"/>
  <c r="AM527" i="3"/>
  <c r="T527" i="3"/>
  <c r="AK527" i="3"/>
  <c r="D527" i="3"/>
  <c r="R527" i="3"/>
  <c r="S527" i="3"/>
  <c r="Q527" i="3"/>
  <c r="AD527" i="3"/>
  <c r="O527" i="3"/>
  <c r="P527" i="3"/>
  <c r="U527" i="3"/>
  <c r="V527" i="3"/>
  <c r="AF527" i="3"/>
  <c r="AE527" i="3"/>
  <c r="M527" i="3"/>
  <c r="G527" i="3"/>
  <c r="H527" i="3" s="1"/>
  <c r="F527" i="3"/>
  <c r="AX525" i="3"/>
  <c r="BC524" i="3" l="1"/>
  <c r="BD524" i="3" s="1"/>
  <c r="BN527" i="3"/>
  <c r="AO527" i="3"/>
  <c r="AV525" i="3"/>
  <c r="AU526" i="3"/>
  <c r="BG523" i="3"/>
  <c r="BH523" i="3" s="1"/>
  <c r="BI523" i="3" s="1"/>
  <c r="AG527" i="3"/>
  <c r="AT526" i="3"/>
  <c r="AW526" i="3"/>
  <c r="BA525" i="3"/>
  <c r="BF525" i="3" s="1"/>
  <c r="B528" i="3"/>
  <c r="AQ528" i="3"/>
  <c r="AR528" i="3"/>
  <c r="A529" i="3"/>
  <c r="C528" i="3"/>
  <c r="D528" i="3"/>
  <c r="AK528" i="3"/>
  <c r="AM528" i="3"/>
  <c r="T528" i="3"/>
  <c r="S528" i="3"/>
  <c r="R528" i="3"/>
  <c r="AD528" i="3"/>
  <c r="Q528" i="3"/>
  <c r="O528" i="3"/>
  <c r="AF528" i="3"/>
  <c r="M528" i="3"/>
  <c r="P528" i="3"/>
  <c r="AE528" i="3"/>
  <c r="V528" i="3"/>
  <c r="U528" i="3"/>
  <c r="F528" i="3"/>
  <c r="BM528" i="3" s="1"/>
  <c r="G528" i="3"/>
  <c r="H528" i="3" s="1"/>
  <c r="X527" i="3"/>
  <c r="BM527" i="3"/>
  <c r="AN527" i="3"/>
  <c r="Y527" i="3"/>
  <c r="Z527" i="3" s="1"/>
  <c r="BQ524" i="3"/>
  <c r="BB524" i="3"/>
  <c r="BF524" i="3"/>
  <c r="BJ523" i="3" s="1"/>
  <c r="BK523" i="3" s="1"/>
  <c r="AH527" i="3"/>
  <c r="AX526" i="3"/>
  <c r="AY525" i="3"/>
  <c r="BG524" i="3" l="1"/>
  <c r="BH524" i="3" s="1"/>
  <c r="BI524" i="3" s="1"/>
  <c r="BC525" i="3"/>
  <c r="BD525" i="3" s="1"/>
  <c r="BN528" i="3"/>
  <c r="AV526" i="3"/>
  <c r="AX527" i="3"/>
  <c r="AO528" i="3"/>
  <c r="BA526" i="3"/>
  <c r="BB526" i="3" s="1"/>
  <c r="BQ525" i="3"/>
  <c r="AY526" i="3"/>
  <c r="BB525" i="3"/>
  <c r="Y528" i="3"/>
  <c r="Z528" i="3" s="1"/>
  <c r="AQ529" i="3"/>
  <c r="B529" i="3"/>
  <c r="A530" i="3"/>
  <c r="AR529" i="3"/>
  <c r="D529" i="3"/>
  <c r="C529" i="3"/>
  <c r="AM529" i="3"/>
  <c r="R529" i="3"/>
  <c r="AK529" i="3"/>
  <c r="Q529" i="3"/>
  <c r="AD529" i="3"/>
  <c r="P529" i="3"/>
  <c r="S529" i="3"/>
  <c r="AE529" i="3"/>
  <c r="M529" i="3"/>
  <c r="O529" i="3"/>
  <c r="AF529" i="3"/>
  <c r="V529" i="3"/>
  <c r="U529" i="3"/>
  <c r="G529" i="3"/>
  <c r="H529" i="3" s="1"/>
  <c r="F529" i="3"/>
  <c r="T529" i="3"/>
  <c r="AU527" i="3"/>
  <c r="AW527" i="3"/>
  <c r="AT527" i="3"/>
  <c r="AG528" i="3"/>
  <c r="AH528" i="3"/>
  <c r="AN528" i="3"/>
  <c r="BJ524" i="3"/>
  <c r="BK524" i="3" s="1"/>
  <c r="X528" i="3"/>
  <c r="BG525" i="3" l="1"/>
  <c r="BH525" i="3" s="1"/>
  <c r="BI525" i="3" s="1"/>
  <c r="AO529" i="3"/>
  <c r="BQ526" i="3"/>
  <c r="BC526" i="3"/>
  <c r="BG526" i="3" s="1"/>
  <c r="BH526" i="3" s="1"/>
  <c r="BI526" i="3" s="1"/>
  <c r="BM529" i="3"/>
  <c r="AY527" i="3"/>
  <c r="BF526" i="3"/>
  <c r="BJ525" i="3" s="1"/>
  <c r="BK525" i="3" s="1"/>
  <c r="AU528" i="3"/>
  <c r="AX528" i="3"/>
  <c r="AH529" i="3"/>
  <c r="AT528" i="3"/>
  <c r="AW528" i="3"/>
  <c r="Y529" i="3"/>
  <c r="Z529" i="3" s="1"/>
  <c r="BN529" i="3"/>
  <c r="AG529" i="3"/>
  <c r="X529" i="3"/>
  <c r="AV527" i="3"/>
  <c r="BA527" i="3"/>
  <c r="B530" i="3"/>
  <c r="A531" i="3"/>
  <c r="AQ530" i="3"/>
  <c r="AR530" i="3"/>
  <c r="D530" i="3"/>
  <c r="C530" i="3"/>
  <c r="AK530" i="3"/>
  <c r="AM530" i="3"/>
  <c r="T530" i="3"/>
  <c r="Q530" i="3"/>
  <c r="S530" i="3"/>
  <c r="AD530" i="3"/>
  <c r="P530" i="3"/>
  <c r="O530" i="3"/>
  <c r="M530" i="3"/>
  <c r="U530" i="3"/>
  <c r="V530" i="3"/>
  <c r="AE530" i="3"/>
  <c r="AF530" i="3"/>
  <c r="R530" i="3"/>
  <c r="G530" i="3"/>
  <c r="H530" i="3" s="1"/>
  <c r="F530" i="3"/>
  <c r="BM530" i="3" s="1"/>
  <c r="AN529" i="3"/>
  <c r="BN530" i="3" l="1"/>
  <c r="BD526" i="3"/>
  <c r="AN530" i="3"/>
  <c r="BC527" i="3"/>
  <c r="BG527" i="3" s="1"/>
  <c r="BH527" i="3" s="1"/>
  <c r="BI527" i="3" s="1"/>
  <c r="AG530" i="3"/>
  <c r="AY528" i="3"/>
  <c r="AT529" i="3"/>
  <c r="AU529" i="3"/>
  <c r="AX529" i="3"/>
  <c r="BA528" i="3"/>
  <c r="BQ528" i="3" s="1"/>
  <c r="Y530" i="3"/>
  <c r="Z530" i="3" s="1"/>
  <c r="AH530" i="3"/>
  <c r="AO530" i="3"/>
  <c r="AV528" i="3"/>
  <c r="AR531" i="3"/>
  <c r="B531" i="3"/>
  <c r="AQ531" i="3"/>
  <c r="A532" i="3"/>
  <c r="C531" i="3"/>
  <c r="AK531" i="3"/>
  <c r="S531" i="3"/>
  <c r="Q531" i="3"/>
  <c r="AM531" i="3"/>
  <c r="D531" i="3"/>
  <c r="R531" i="3"/>
  <c r="P531" i="3"/>
  <c r="AD531" i="3"/>
  <c r="AE531" i="3"/>
  <c r="M531" i="3"/>
  <c r="O531" i="3"/>
  <c r="AF531" i="3"/>
  <c r="U531" i="3"/>
  <c r="V531" i="3"/>
  <c r="G531" i="3"/>
  <c r="H531" i="3" s="1"/>
  <c r="F531" i="3"/>
  <c r="BM531" i="3" s="1"/>
  <c r="T531" i="3"/>
  <c r="BB527" i="3"/>
  <c r="BF527" i="3"/>
  <c r="BJ526" i="3" s="1"/>
  <c r="BK526" i="3" s="1"/>
  <c r="BQ527" i="3"/>
  <c r="X530" i="3"/>
  <c r="AW529" i="3"/>
  <c r="BD527" i="3" l="1"/>
  <c r="BN531" i="3"/>
  <c r="AO531" i="3"/>
  <c r="BC528" i="3"/>
  <c r="BD528" i="3" s="1"/>
  <c r="AV529" i="3"/>
  <c r="AY529" i="3"/>
  <c r="AG531" i="3"/>
  <c r="Y531" i="3"/>
  <c r="Z531" i="3" s="1"/>
  <c r="BF528" i="3"/>
  <c r="BJ527" i="3" s="1"/>
  <c r="BK527" i="3" s="1"/>
  <c r="BB528" i="3"/>
  <c r="AU530" i="3"/>
  <c r="AT530" i="3"/>
  <c r="BA529" i="3"/>
  <c r="AH531" i="3"/>
  <c r="AN531" i="3"/>
  <c r="X531" i="3"/>
  <c r="AX530" i="3"/>
  <c r="AW530" i="3"/>
  <c r="B532" i="3"/>
  <c r="AQ532" i="3"/>
  <c r="AR532" i="3"/>
  <c r="A533" i="3"/>
  <c r="D532" i="3"/>
  <c r="AK532" i="3"/>
  <c r="C532" i="3"/>
  <c r="AM532" i="3"/>
  <c r="S532" i="3"/>
  <c r="AD532" i="3"/>
  <c r="P532" i="3"/>
  <c r="R532" i="3"/>
  <c r="M532" i="3"/>
  <c r="U532" i="3"/>
  <c r="O532" i="3"/>
  <c r="AE532" i="3"/>
  <c r="AF532" i="3"/>
  <c r="V532" i="3"/>
  <c r="Q532" i="3"/>
  <c r="G532" i="3"/>
  <c r="H532" i="3" s="1"/>
  <c r="F532" i="3"/>
  <c r="BM532" i="3" s="1"/>
  <c r="T532" i="3"/>
  <c r="AN532" i="3" l="1"/>
  <c r="BG528" i="3"/>
  <c r="BH528" i="3" s="1"/>
  <c r="BI528" i="3" s="1"/>
  <c r="BN532" i="3"/>
  <c r="BC529" i="3"/>
  <c r="BD529" i="3" s="1"/>
  <c r="AV530" i="3"/>
  <c r="AG532" i="3"/>
  <c r="AX531" i="3"/>
  <c r="AW531" i="3"/>
  <c r="AT531" i="3"/>
  <c r="Y532" i="3"/>
  <c r="Z532" i="3" s="1"/>
  <c r="BA530" i="3"/>
  <c r="BF530" i="3" s="1"/>
  <c r="BB529" i="3"/>
  <c r="BF529" i="3"/>
  <c r="BJ528" i="3" s="1"/>
  <c r="BK528" i="3" s="1"/>
  <c r="BQ529" i="3"/>
  <c r="X532" i="3"/>
  <c r="AY530" i="3"/>
  <c r="AU531" i="3"/>
  <c r="AQ533" i="3"/>
  <c r="B533" i="3"/>
  <c r="A534" i="3"/>
  <c r="AR533" i="3"/>
  <c r="C533" i="3"/>
  <c r="D533" i="3"/>
  <c r="T533" i="3"/>
  <c r="S533" i="3"/>
  <c r="AK533" i="3"/>
  <c r="AM533" i="3"/>
  <c r="R533" i="3"/>
  <c r="Q533" i="3"/>
  <c r="AD533" i="3"/>
  <c r="M533" i="3"/>
  <c r="AE533" i="3"/>
  <c r="U533" i="3"/>
  <c r="V533" i="3"/>
  <c r="P533" i="3"/>
  <c r="O533" i="3"/>
  <c r="AF533" i="3"/>
  <c r="F533" i="3"/>
  <c r="BM533" i="3" s="1"/>
  <c r="G533" i="3"/>
  <c r="H533" i="3" s="1"/>
  <c r="AH532" i="3"/>
  <c r="AO532" i="3"/>
  <c r="BN533" i="3" l="1"/>
  <c r="BC530" i="3"/>
  <c r="BD530" i="3" s="1"/>
  <c r="BG529" i="3"/>
  <c r="BH529" i="3" s="1"/>
  <c r="BI529" i="3" s="1"/>
  <c r="AG533" i="3"/>
  <c r="AU532" i="3"/>
  <c r="AY531" i="3"/>
  <c r="BB530" i="3"/>
  <c r="AO533" i="3"/>
  <c r="AV531" i="3"/>
  <c r="AW532" i="3"/>
  <c r="BA531" i="3"/>
  <c r="BQ531" i="3" s="1"/>
  <c r="BQ530" i="3"/>
  <c r="B534" i="3"/>
  <c r="A535" i="3"/>
  <c r="AQ534" i="3"/>
  <c r="AR534" i="3"/>
  <c r="D534" i="3"/>
  <c r="C534" i="3"/>
  <c r="AK534" i="3"/>
  <c r="AM534" i="3"/>
  <c r="S534" i="3"/>
  <c r="R534" i="3"/>
  <c r="Q534" i="3"/>
  <c r="AD534" i="3"/>
  <c r="P534" i="3"/>
  <c r="O534" i="3"/>
  <c r="AE534" i="3"/>
  <c r="AF534" i="3"/>
  <c r="V534" i="3"/>
  <c r="M534" i="3"/>
  <c r="U534" i="3"/>
  <c r="F534" i="3"/>
  <c r="BM534" i="3" s="1"/>
  <c r="G534" i="3"/>
  <c r="H534" i="3" s="1"/>
  <c r="T534" i="3"/>
  <c r="AH533" i="3"/>
  <c r="X533" i="3"/>
  <c r="BJ529" i="3"/>
  <c r="BK529" i="3" s="1"/>
  <c r="Y533" i="3"/>
  <c r="Z533" i="3" s="1"/>
  <c r="AX532" i="3"/>
  <c r="AN533" i="3"/>
  <c r="AT532" i="3"/>
  <c r="BN534" i="3" l="1"/>
  <c r="BG530" i="3"/>
  <c r="BH530" i="3" s="1"/>
  <c r="BI530" i="3" s="1"/>
  <c r="AT533" i="3"/>
  <c r="BC531" i="3"/>
  <c r="BD531" i="3" s="1"/>
  <c r="AU533" i="3"/>
  <c r="AY532" i="3"/>
  <c r="BF531" i="3"/>
  <c r="BJ530" i="3" s="1"/>
  <c r="BK530" i="3" s="1"/>
  <c r="BB531" i="3"/>
  <c r="AO534" i="3"/>
  <c r="AW533" i="3"/>
  <c r="AG534" i="3"/>
  <c r="BA532" i="3"/>
  <c r="BF532" i="3" s="1"/>
  <c r="AR535" i="3"/>
  <c r="B535" i="3"/>
  <c r="AQ535" i="3"/>
  <c r="A536" i="3"/>
  <c r="D535" i="3"/>
  <c r="C535" i="3"/>
  <c r="AM535" i="3"/>
  <c r="AK535" i="3"/>
  <c r="S535" i="3"/>
  <c r="Q535" i="3"/>
  <c r="T535" i="3"/>
  <c r="R535" i="3"/>
  <c r="AD535" i="3"/>
  <c r="P535" i="3"/>
  <c r="M535" i="3"/>
  <c r="O535" i="3"/>
  <c r="AE535" i="3"/>
  <c r="AF535" i="3"/>
  <c r="V535" i="3"/>
  <c r="U535" i="3"/>
  <c r="F535" i="3"/>
  <c r="G535" i="3"/>
  <c r="H535" i="3" s="1"/>
  <c r="AV532" i="3"/>
  <c r="AX533" i="3"/>
  <c r="Y534" i="3"/>
  <c r="Z534" i="3" s="1"/>
  <c r="AH534" i="3"/>
  <c r="AN534" i="3"/>
  <c r="X534" i="3"/>
  <c r="BG531" i="3" l="1"/>
  <c r="BH531" i="3" s="1"/>
  <c r="BI531" i="3" s="1"/>
  <c r="BJ531" i="3"/>
  <c r="BK531" i="3" s="1"/>
  <c r="BC532" i="3"/>
  <c r="BD532" i="3" s="1"/>
  <c r="AV533" i="3"/>
  <c r="BN535" i="3"/>
  <c r="BM535" i="3"/>
  <c r="BQ532" i="3"/>
  <c r="BA533" i="3"/>
  <c r="BF533" i="3" s="1"/>
  <c r="BJ532" i="3" s="1"/>
  <c r="BK532" i="3" s="1"/>
  <c r="AO535" i="3"/>
  <c r="BB532" i="3"/>
  <c r="AX534" i="3"/>
  <c r="AH535" i="3"/>
  <c r="BG532" i="3"/>
  <c r="BH532" i="3" s="1"/>
  <c r="BI532" i="3" s="1"/>
  <c r="Y535" i="3"/>
  <c r="Z535" i="3" s="1"/>
  <c r="AU534" i="3"/>
  <c r="AW534" i="3"/>
  <c r="AT534" i="3"/>
  <c r="AG535" i="3"/>
  <c r="AN535" i="3"/>
  <c r="AY533" i="3"/>
  <c r="B536" i="3"/>
  <c r="AQ536" i="3"/>
  <c r="AR536" i="3"/>
  <c r="A537" i="3"/>
  <c r="D536" i="3"/>
  <c r="AM536" i="3"/>
  <c r="S536" i="3"/>
  <c r="Q536" i="3"/>
  <c r="C536" i="3"/>
  <c r="AK536" i="3"/>
  <c r="T536" i="3"/>
  <c r="AD536" i="3"/>
  <c r="P536" i="3"/>
  <c r="R536" i="3"/>
  <c r="M536" i="3"/>
  <c r="O536" i="3"/>
  <c r="AF536" i="3"/>
  <c r="U536" i="3"/>
  <c r="AE536" i="3"/>
  <c r="V536" i="3"/>
  <c r="F536" i="3"/>
  <c r="G536" i="3"/>
  <c r="H536" i="3" s="1"/>
  <c r="X535" i="3"/>
  <c r="BM536" i="3" l="1"/>
  <c r="BC533" i="3"/>
  <c r="BD533" i="3" s="1"/>
  <c r="AO536" i="3"/>
  <c r="BN536" i="3"/>
  <c r="BQ533" i="3"/>
  <c r="BB533" i="3"/>
  <c r="AW535" i="3"/>
  <c r="AY534" i="3"/>
  <c r="Y536" i="3"/>
  <c r="Z536" i="3" s="1"/>
  <c r="AU535" i="3"/>
  <c r="AG536" i="3"/>
  <c r="AH536" i="3"/>
  <c r="X536" i="3"/>
  <c r="AT535" i="3"/>
  <c r="BA534" i="3"/>
  <c r="AV534" i="3"/>
  <c r="AQ537" i="3"/>
  <c r="B537" i="3"/>
  <c r="A538" i="3"/>
  <c r="AR537" i="3"/>
  <c r="D537" i="3"/>
  <c r="T537" i="3"/>
  <c r="S537" i="3"/>
  <c r="C537" i="3"/>
  <c r="AK537" i="3"/>
  <c r="AM537" i="3"/>
  <c r="P537" i="3"/>
  <c r="Q537" i="3"/>
  <c r="AD537" i="3"/>
  <c r="M537" i="3"/>
  <c r="O537" i="3"/>
  <c r="AF537" i="3"/>
  <c r="V537" i="3"/>
  <c r="AE537" i="3"/>
  <c r="U537" i="3"/>
  <c r="R537" i="3"/>
  <c r="G537" i="3"/>
  <c r="H537" i="3" s="1"/>
  <c r="F537" i="3"/>
  <c r="AN536" i="3"/>
  <c r="AX535" i="3"/>
  <c r="BN537" i="3" l="1"/>
  <c r="BM537" i="3"/>
  <c r="BC534" i="3"/>
  <c r="BG534" i="3" s="1"/>
  <c r="BH534" i="3" s="1"/>
  <c r="BI534" i="3" s="1"/>
  <c r="BG533" i="3"/>
  <c r="BH533" i="3" s="1"/>
  <c r="BI533" i="3" s="1"/>
  <c r="AY535" i="3"/>
  <c r="AO537" i="3"/>
  <c r="AT536" i="3"/>
  <c r="AN537" i="3"/>
  <c r="AX536" i="3"/>
  <c r="AU536" i="3"/>
  <c r="AG537" i="3"/>
  <c r="BA535" i="3"/>
  <c r="AV535" i="3"/>
  <c r="AH537" i="3"/>
  <c r="X537" i="3"/>
  <c r="AW536" i="3"/>
  <c r="Y537" i="3"/>
  <c r="Z537" i="3" s="1"/>
  <c r="B538" i="3"/>
  <c r="A539" i="3"/>
  <c r="AQ538" i="3"/>
  <c r="AR538" i="3"/>
  <c r="C538" i="3"/>
  <c r="AM538" i="3"/>
  <c r="T538" i="3"/>
  <c r="Q538" i="3"/>
  <c r="AK538" i="3"/>
  <c r="D538" i="3"/>
  <c r="S538" i="3"/>
  <c r="R538" i="3"/>
  <c r="AD538" i="3"/>
  <c r="AE538" i="3"/>
  <c r="M538" i="3"/>
  <c r="P538" i="3"/>
  <c r="O538" i="3"/>
  <c r="AF538" i="3"/>
  <c r="V538" i="3"/>
  <c r="U538" i="3"/>
  <c r="G538" i="3"/>
  <c r="H538" i="3" s="1"/>
  <c r="F538" i="3"/>
  <c r="BB534" i="3"/>
  <c r="BF534" i="3"/>
  <c r="BJ533" i="3" s="1"/>
  <c r="BK533" i="3" s="1"/>
  <c r="BQ534" i="3"/>
  <c r="BD534" i="3" l="1"/>
  <c r="BC535" i="3"/>
  <c r="BG535" i="3" s="1"/>
  <c r="BH535" i="3" s="1"/>
  <c r="BI535" i="3" s="1"/>
  <c r="BM538" i="3"/>
  <c r="BN538" i="3"/>
  <c r="AO538" i="3"/>
  <c r="AY536" i="3"/>
  <c r="AX537" i="3"/>
  <c r="AV536" i="3"/>
  <c r="AT537" i="3"/>
  <c r="AN538" i="3"/>
  <c r="AU537" i="3"/>
  <c r="BA536" i="3"/>
  <c r="BQ536" i="3" s="1"/>
  <c r="AH538" i="3"/>
  <c r="X538" i="3"/>
  <c r="Y538" i="3"/>
  <c r="Z538" i="3" s="1"/>
  <c r="AR539" i="3"/>
  <c r="B539" i="3"/>
  <c r="AQ539" i="3"/>
  <c r="A540" i="3"/>
  <c r="C539" i="3"/>
  <c r="AM539" i="3"/>
  <c r="S539" i="3"/>
  <c r="Q539" i="3"/>
  <c r="D539" i="3"/>
  <c r="AK539" i="3"/>
  <c r="AD539" i="3"/>
  <c r="R539" i="3"/>
  <c r="P539" i="3"/>
  <c r="O539" i="3"/>
  <c r="M539" i="3"/>
  <c r="AE539" i="3"/>
  <c r="AF539" i="3"/>
  <c r="U539" i="3"/>
  <c r="V539" i="3"/>
  <c r="F539" i="3"/>
  <c r="G539" i="3"/>
  <c r="H539" i="3" s="1"/>
  <c r="T539" i="3"/>
  <c r="BF535" i="3"/>
  <c r="BJ534" i="3" s="1"/>
  <c r="BK534" i="3" s="1"/>
  <c r="BQ535" i="3"/>
  <c r="BB535" i="3"/>
  <c r="AG538" i="3"/>
  <c r="AW537" i="3"/>
  <c r="BD535" i="3" l="1"/>
  <c r="AO539" i="3"/>
  <c r="BC536" i="3"/>
  <c r="BG536" i="3" s="1"/>
  <c r="BH536" i="3" s="1"/>
  <c r="BI536" i="3" s="1"/>
  <c r="BN539" i="3"/>
  <c r="AV537" i="3"/>
  <c r="AY537" i="3"/>
  <c r="AW538" i="3"/>
  <c r="BM539" i="3"/>
  <c r="BB536" i="3"/>
  <c r="BF536" i="3"/>
  <c r="BJ535" i="3" s="1"/>
  <c r="BK535" i="3" s="1"/>
  <c r="AG539" i="3"/>
  <c r="Y539" i="3"/>
  <c r="Z539" i="3" s="1"/>
  <c r="AT538" i="3"/>
  <c r="AH539" i="3"/>
  <c r="X539" i="3"/>
  <c r="AU538" i="3"/>
  <c r="AX538" i="3"/>
  <c r="B540" i="3"/>
  <c r="AQ540" i="3"/>
  <c r="AR540" i="3"/>
  <c r="A541" i="3"/>
  <c r="C540" i="3"/>
  <c r="D540" i="3"/>
  <c r="S540" i="3"/>
  <c r="Q540" i="3"/>
  <c r="AM540" i="3"/>
  <c r="AK540" i="3"/>
  <c r="T540" i="3"/>
  <c r="AD540" i="3"/>
  <c r="P540" i="3"/>
  <c r="O540" i="3"/>
  <c r="AE540" i="3"/>
  <c r="AF540" i="3"/>
  <c r="M540" i="3"/>
  <c r="V540" i="3"/>
  <c r="U540" i="3"/>
  <c r="R540" i="3"/>
  <c r="F540" i="3"/>
  <c r="G540" i="3"/>
  <c r="H540" i="3" s="1"/>
  <c r="AN539" i="3"/>
  <c r="BA537" i="3"/>
  <c r="BN540" i="3" l="1"/>
  <c r="BM540" i="3"/>
  <c r="BD536" i="3"/>
  <c r="BC537" i="3"/>
  <c r="AY538" i="3"/>
  <c r="AT539" i="3"/>
  <c r="AO540" i="3"/>
  <c r="AU539" i="3"/>
  <c r="AW539" i="3"/>
  <c r="BB537" i="3"/>
  <c r="BF537" i="3"/>
  <c r="BQ537" i="3"/>
  <c r="AV538" i="3"/>
  <c r="BA538" i="3"/>
  <c r="AH540" i="3"/>
  <c r="AG540" i="3"/>
  <c r="AN540" i="3"/>
  <c r="X540" i="3"/>
  <c r="Y540" i="3"/>
  <c r="Z540" i="3" s="1"/>
  <c r="AQ541" i="3"/>
  <c r="B541" i="3"/>
  <c r="A542" i="3"/>
  <c r="AR541" i="3"/>
  <c r="C541" i="3"/>
  <c r="D541" i="3"/>
  <c r="AM541" i="3"/>
  <c r="S541" i="3"/>
  <c r="Q541" i="3"/>
  <c r="AK541" i="3"/>
  <c r="R541" i="3"/>
  <c r="P541" i="3"/>
  <c r="AD541" i="3"/>
  <c r="O541" i="3"/>
  <c r="AE541" i="3"/>
  <c r="U541" i="3"/>
  <c r="M541" i="3"/>
  <c r="AF541" i="3"/>
  <c r="V541" i="3"/>
  <c r="G541" i="3"/>
  <c r="H541" i="3" s="1"/>
  <c r="F541" i="3"/>
  <c r="T541" i="3"/>
  <c r="AX539" i="3"/>
  <c r="BM541" i="3" l="1"/>
  <c r="BN541" i="3"/>
  <c r="BC538" i="3"/>
  <c r="BD538" i="3" s="1"/>
  <c r="BG537" i="3"/>
  <c r="BH537" i="3" s="1"/>
  <c r="BI537" i="3" s="1"/>
  <c r="BD537" i="3"/>
  <c r="AV539" i="3"/>
  <c r="AO541" i="3"/>
  <c r="AU540" i="3"/>
  <c r="AY539" i="3"/>
  <c r="B542" i="3"/>
  <c r="A543" i="3"/>
  <c r="AQ542" i="3"/>
  <c r="AR542" i="3"/>
  <c r="C542" i="3"/>
  <c r="D542" i="3"/>
  <c r="AM542" i="3"/>
  <c r="AK542" i="3"/>
  <c r="Q542" i="3"/>
  <c r="R542" i="3"/>
  <c r="S542" i="3"/>
  <c r="AD542" i="3"/>
  <c r="P542" i="3"/>
  <c r="O542" i="3"/>
  <c r="AE542" i="3"/>
  <c r="AF542" i="3"/>
  <c r="M542" i="3"/>
  <c r="V542" i="3"/>
  <c r="U542" i="3"/>
  <c r="G542" i="3"/>
  <c r="H542" i="3" s="1"/>
  <c r="F542" i="3"/>
  <c r="BM542" i="3" s="1"/>
  <c r="T542" i="3"/>
  <c r="BJ536" i="3"/>
  <c r="BK536" i="3" s="1"/>
  <c r="Y541" i="3"/>
  <c r="Z541" i="3" s="1"/>
  <c r="BA539" i="3"/>
  <c r="AG541" i="3"/>
  <c r="AH541" i="3"/>
  <c r="AN541" i="3"/>
  <c r="X541" i="3"/>
  <c r="AT540" i="3"/>
  <c r="AW540" i="3"/>
  <c r="BQ538" i="3"/>
  <c r="BF538" i="3"/>
  <c r="BJ537" i="3" s="1"/>
  <c r="BK537" i="3" s="1"/>
  <c r="BB538" i="3"/>
  <c r="AX540" i="3"/>
  <c r="BN542" i="3" l="1"/>
  <c r="BG538" i="3"/>
  <c r="BH538" i="3" s="1"/>
  <c r="BI538" i="3" s="1"/>
  <c r="AO542" i="3"/>
  <c r="BC539" i="3"/>
  <c r="BD539" i="3" s="1"/>
  <c r="AV540" i="3"/>
  <c r="AU541" i="3"/>
  <c r="Y542" i="3"/>
  <c r="Z542" i="3" s="1"/>
  <c r="BA540" i="3"/>
  <c r="AY540" i="3"/>
  <c r="BQ539" i="3"/>
  <c r="BB539" i="3"/>
  <c r="BF539" i="3"/>
  <c r="BJ538" i="3" s="1"/>
  <c r="BK538" i="3" s="1"/>
  <c r="AX541" i="3"/>
  <c r="AG542" i="3"/>
  <c r="AN542" i="3"/>
  <c r="X542" i="3"/>
  <c r="AR543" i="3"/>
  <c r="B543" i="3"/>
  <c r="AQ543" i="3"/>
  <c r="A544" i="3"/>
  <c r="C543" i="3"/>
  <c r="AM543" i="3"/>
  <c r="AK543" i="3"/>
  <c r="D543" i="3"/>
  <c r="S543" i="3"/>
  <c r="AD543" i="3"/>
  <c r="Q543" i="3"/>
  <c r="P543" i="3"/>
  <c r="AF543" i="3"/>
  <c r="U543" i="3"/>
  <c r="O543" i="3"/>
  <c r="M543" i="3"/>
  <c r="AE543" i="3"/>
  <c r="V543" i="3"/>
  <c r="R543" i="3"/>
  <c r="F543" i="3"/>
  <c r="G543" i="3"/>
  <c r="H543" i="3" s="1"/>
  <c r="T543" i="3"/>
  <c r="AW541" i="3"/>
  <c r="AY541" i="3" s="1"/>
  <c r="AT541" i="3"/>
  <c r="AH542" i="3"/>
  <c r="BG539" i="3" l="1"/>
  <c r="BH539" i="3" s="1"/>
  <c r="BI539" i="3" s="1"/>
  <c r="BN543" i="3"/>
  <c r="BC540" i="3"/>
  <c r="BD540" i="3" s="1"/>
  <c r="AO543" i="3"/>
  <c r="AX542" i="3"/>
  <c r="AT542" i="3"/>
  <c r="AV541" i="3"/>
  <c r="BC541" i="3" s="1"/>
  <c r="BA541" i="3"/>
  <c r="B544" i="3"/>
  <c r="AQ544" i="3"/>
  <c r="AR544" i="3"/>
  <c r="A545" i="3"/>
  <c r="C544" i="3"/>
  <c r="D544" i="3"/>
  <c r="AK544" i="3"/>
  <c r="S544" i="3"/>
  <c r="AM544" i="3"/>
  <c r="R544" i="3"/>
  <c r="Q544" i="3"/>
  <c r="AD544" i="3"/>
  <c r="P544" i="3"/>
  <c r="M544" i="3"/>
  <c r="AE544" i="3"/>
  <c r="AF544" i="3"/>
  <c r="V544" i="3"/>
  <c r="O544" i="3"/>
  <c r="U544" i="3"/>
  <c r="F544" i="3"/>
  <c r="G544" i="3"/>
  <c r="H544" i="3" s="1"/>
  <c r="T544" i="3"/>
  <c r="BF540" i="3"/>
  <c r="BJ539" i="3" s="1"/>
  <c r="BK539" i="3" s="1"/>
  <c r="BB540" i="3"/>
  <c r="BQ540" i="3"/>
  <c r="AG543" i="3"/>
  <c r="Y543" i="3"/>
  <c r="Z543" i="3" s="1"/>
  <c r="BM543" i="3"/>
  <c r="AH543" i="3"/>
  <c r="AN543" i="3"/>
  <c r="AU542" i="3"/>
  <c r="X543" i="3"/>
  <c r="AW542" i="3"/>
  <c r="AN544" i="3" l="1"/>
  <c r="BM544" i="3"/>
  <c r="AY542" i="3"/>
  <c r="BG540" i="3"/>
  <c r="BH540" i="3" s="1"/>
  <c r="BI540" i="3" s="1"/>
  <c r="AT543" i="3"/>
  <c r="BA542" i="3"/>
  <c r="BF542" i="3" s="1"/>
  <c r="Y544" i="3"/>
  <c r="Z544" i="3" s="1"/>
  <c r="BD541" i="3"/>
  <c r="BG541" i="3"/>
  <c r="BH541" i="3" s="1"/>
  <c r="BI541" i="3" s="1"/>
  <c r="AX543" i="3"/>
  <c r="AU543" i="3"/>
  <c r="AW543" i="3"/>
  <c r="BN544" i="3"/>
  <c r="AG544" i="3"/>
  <c r="AO544" i="3"/>
  <c r="X544" i="3"/>
  <c r="AV542" i="3"/>
  <c r="AQ545" i="3"/>
  <c r="B545" i="3"/>
  <c r="A546" i="3"/>
  <c r="AR545" i="3"/>
  <c r="D545" i="3"/>
  <c r="AM545" i="3"/>
  <c r="C545" i="3"/>
  <c r="AK545" i="3"/>
  <c r="T545" i="3"/>
  <c r="S545" i="3"/>
  <c r="R545" i="3"/>
  <c r="AD545" i="3"/>
  <c r="Q545" i="3"/>
  <c r="P545" i="3"/>
  <c r="U545" i="3"/>
  <c r="O545" i="3"/>
  <c r="AF545" i="3"/>
  <c r="M545" i="3"/>
  <c r="AE545" i="3"/>
  <c r="V545" i="3"/>
  <c r="F545" i="3"/>
  <c r="G545" i="3"/>
  <c r="H545" i="3" s="1"/>
  <c r="BQ541" i="3"/>
  <c r="BB541" i="3"/>
  <c r="BF541" i="3"/>
  <c r="BJ540" i="3" s="1"/>
  <c r="BK540" i="3" s="1"/>
  <c r="AH544" i="3"/>
  <c r="BM545" i="3" l="1"/>
  <c r="AV543" i="3"/>
  <c r="BC542" i="3"/>
  <c r="BD542" i="3" s="1"/>
  <c r="AO545" i="3"/>
  <c r="BQ542" i="3"/>
  <c r="AX544" i="3"/>
  <c r="BB542" i="3"/>
  <c r="AU544" i="3"/>
  <c r="AG545" i="3"/>
  <c r="BA543" i="3"/>
  <c r="BF543" i="3" s="1"/>
  <c r="BN545" i="3"/>
  <c r="AH545" i="3"/>
  <c r="AN545" i="3"/>
  <c r="AW544" i="3"/>
  <c r="AY543" i="3"/>
  <c r="Y545" i="3"/>
  <c r="Z545" i="3" s="1"/>
  <c r="B546" i="3"/>
  <c r="A547" i="3"/>
  <c r="AQ546" i="3"/>
  <c r="AR546" i="3"/>
  <c r="C546" i="3"/>
  <c r="AM546" i="3"/>
  <c r="AK546" i="3"/>
  <c r="R546" i="3"/>
  <c r="D546" i="3"/>
  <c r="S546" i="3"/>
  <c r="Q546" i="3"/>
  <c r="P546" i="3"/>
  <c r="AD546" i="3"/>
  <c r="AE546" i="3"/>
  <c r="AF546" i="3"/>
  <c r="O546" i="3"/>
  <c r="M546" i="3"/>
  <c r="U546" i="3"/>
  <c r="V546" i="3"/>
  <c r="F546" i="3"/>
  <c r="G546" i="3"/>
  <c r="H546" i="3" s="1"/>
  <c r="T546" i="3"/>
  <c r="X545" i="3"/>
  <c r="AT544" i="3"/>
  <c r="BJ541" i="3"/>
  <c r="BK541" i="3" s="1"/>
  <c r="BN546" i="3" l="1"/>
  <c r="BG542" i="3"/>
  <c r="BH542" i="3" s="1"/>
  <c r="BI542" i="3" s="1"/>
  <c r="BC543" i="3"/>
  <c r="BD543" i="3" s="1"/>
  <c r="AO546" i="3"/>
  <c r="AT545" i="3"/>
  <c r="AY544" i="3"/>
  <c r="BB543" i="3"/>
  <c r="BQ543" i="3"/>
  <c r="AX545" i="3"/>
  <c r="BA544" i="3"/>
  <c r="BF544" i="3" s="1"/>
  <c r="BJ543" i="3" s="1"/>
  <c r="BK543" i="3" s="1"/>
  <c r="AU545" i="3"/>
  <c r="AR547" i="3"/>
  <c r="B547" i="3"/>
  <c r="AQ547" i="3"/>
  <c r="A548" i="3"/>
  <c r="D547" i="3"/>
  <c r="AM547" i="3"/>
  <c r="T547" i="3"/>
  <c r="C547" i="3"/>
  <c r="AK547" i="3"/>
  <c r="S547" i="3"/>
  <c r="R547" i="3"/>
  <c r="AD547" i="3"/>
  <c r="Q547" i="3"/>
  <c r="P547" i="3"/>
  <c r="M547" i="3"/>
  <c r="AE547" i="3"/>
  <c r="V547" i="3"/>
  <c r="U547" i="3"/>
  <c r="O547" i="3"/>
  <c r="AF547" i="3"/>
  <c r="G547" i="3"/>
  <c r="H547" i="3" s="1"/>
  <c r="BN547" i="3" s="1"/>
  <c r="F547" i="3"/>
  <c r="BJ542" i="3"/>
  <c r="BK542" i="3" s="1"/>
  <c r="AH546" i="3"/>
  <c r="X546" i="3"/>
  <c r="Y546" i="3"/>
  <c r="Z546" i="3" s="1"/>
  <c r="BM546" i="3"/>
  <c r="AG546" i="3"/>
  <c r="AN546" i="3"/>
  <c r="AW545" i="3"/>
  <c r="AV544" i="3"/>
  <c r="BM547" i="3" l="1"/>
  <c r="BG543" i="3"/>
  <c r="BH543" i="3" s="1"/>
  <c r="BI543" i="3" s="1"/>
  <c r="BB544" i="3"/>
  <c r="AV545" i="3"/>
  <c r="AO547" i="3"/>
  <c r="BC544" i="3"/>
  <c r="BD544" i="3" s="1"/>
  <c r="AY545" i="3"/>
  <c r="BQ544" i="3"/>
  <c r="BA545" i="3"/>
  <c r="BQ545" i="3" s="1"/>
  <c r="AH547" i="3"/>
  <c r="AT546" i="3"/>
  <c r="B548" i="3"/>
  <c r="AQ548" i="3"/>
  <c r="AR548" i="3"/>
  <c r="A549" i="3"/>
  <c r="C548" i="3"/>
  <c r="D548" i="3"/>
  <c r="AK548" i="3"/>
  <c r="AM548" i="3"/>
  <c r="T548" i="3"/>
  <c r="R548" i="3"/>
  <c r="S548" i="3"/>
  <c r="AD548" i="3"/>
  <c r="P548" i="3"/>
  <c r="M548" i="3"/>
  <c r="AF548" i="3"/>
  <c r="V548" i="3"/>
  <c r="O548" i="3"/>
  <c r="AE548" i="3"/>
  <c r="U548" i="3"/>
  <c r="G548" i="3"/>
  <c r="H548" i="3" s="1"/>
  <c r="Q548" i="3"/>
  <c r="F548" i="3"/>
  <c r="AU546" i="3"/>
  <c r="AW546" i="3"/>
  <c r="AG547" i="3"/>
  <c r="X547" i="3"/>
  <c r="AN547" i="3"/>
  <c r="Y547" i="3"/>
  <c r="Z547" i="3" s="1"/>
  <c r="AX546" i="3"/>
  <c r="BN548" i="3" l="1"/>
  <c r="BC545" i="3"/>
  <c r="BD545" i="3" s="1"/>
  <c r="AV546" i="3"/>
  <c r="BB545" i="3"/>
  <c r="BG544" i="3"/>
  <c r="BH544" i="3" s="1"/>
  <c r="BI544" i="3" s="1"/>
  <c r="AO548" i="3"/>
  <c r="BF545" i="3"/>
  <c r="BJ544" i="3" s="1"/>
  <c r="BK544" i="3" s="1"/>
  <c r="AX547" i="3"/>
  <c r="AU547" i="3"/>
  <c r="AT547" i="3"/>
  <c r="Y548" i="3"/>
  <c r="Z548" i="3" s="1"/>
  <c r="AQ549" i="3"/>
  <c r="B549" i="3"/>
  <c r="A550" i="3"/>
  <c r="AR549" i="3"/>
  <c r="D549" i="3"/>
  <c r="C549" i="3"/>
  <c r="AM549" i="3"/>
  <c r="Q549" i="3"/>
  <c r="R549" i="3"/>
  <c r="AK549" i="3"/>
  <c r="S549" i="3"/>
  <c r="AD549" i="3"/>
  <c r="P549" i="3"/>
  <c r="O549" i="3"/>
  <c r="M549" i="3"/>
  <c r="AE549" i="3"/>
  <c r="AF549" i="3"/>
  <c r="U549" i="3"/>
  <c r="V549" i="3"/>
  <c r="F549" i="3"/>
  <c r="BM549" i="3" s="1"/>
  <c r="G549" i="3"/>
  <c r="H549" i="3" s="1"/>
  <c r="T549" i="3"/>
  <c r="AW547" i="3"/>
  <c r="AY546" i="3"/>
  <c r="BM548" i="3"/>
  <c r="AG548" i="3"/>
  <c r="AH548" i="3"/>
  <c r="AN548" i="3"/>
  <c r="BA546" i="3"/>
  <c r="X548" i="3"/>
  <c r="BN549" i="3" l="1"/>
  <c r="AY547" i="3"/>
  <c r="BG545" i="3"/>
  <c r="BH545" i="3" s="1"/>
  <c r="BI545" i="3" s="1"/>
  <c r="BC546" i="3"/>
  <c r="BG546" i="3" s="1"/>
  <c r="BH546" i="3" s="1"/>
  <c r="BI546" i="3" s="1"/>
  <c r="AV547" i="3"/>
  <c r="BC547" i="3" s="1"/>
  <c r="BG547" i="3" s="1"/>
  <c r="BH547" i="3" s="1"/>
  <c r="BI547" i="3" s="1"/>
  <c r="AN549" i="3"/>
  <c r="AW548" i="3"/>
  <c r="AX548" i="3"/>
  <c r="BF546" i="3"/>
  <c r="BJ545" i="3" s="1"/>
  <c r="BK545" i="3" s="1"/>
  <c r="BQ546" i="3"/>
  <c r="BB546" i="3"/>
  <c r="BA547" i="3"/>
  <c r="AT548" i="3"/>
  <c r="Y549" i="3"/>
  <c r="Z549" i="3" s="1"/>
  <c r="AG549" i="3"/>
  <c r="AH549" i="3"/>
  <c r="AO549" i="3"/>
  <c r="X549" i="3"/>
  <c r="B550" i="3"/>
  <c r="A551" i="3"/>
  <c r="AQ550" i="3"/>
  <c r="AR550" i="3"/>
  <c r="D550" i="3"/>
  <c r="C550" i="3"/>
  <c r="AK550" i="3"/>
  <c r="AM550" i="3"/>
  <c r="S550" i="3"/>
  <c r="Q550" i="3"/>
  <c r="T550" i="3"/>
  <c r="R550" i="3"/>
  <c r="AD550" i="3"/>
  <c r="P550" i="3"/>
  <c r="O550" i="3"/>
  <c r="AF550" i="3"/>
  <c r="AE550" i="3"/>
  <c r="M550" i="3"/>
  <c r="U550" i="3"/>
  <c r="V550" i="3"/>
  <c r="G550" i="3"/>
  <c r="H550" i="3" s="1"/>
  <c r="F550" i="3"/>
  <c r="AU548" i="3"/>
  <c r="BM550" i="3" l="1"/>
  <c r="BN550" i="3"/>
  <c r="BD546" i="3"/>
  <c r="AU549" i="3"/>
  <c r="AN550" i="3"/>
  <c r="BD547" i="3"/>
  <c r="AY548" i="3"/>
  <c r="AV548" i="3"/>
  <c r="AT549" i="3"/>
  <c r="Y550" i="3"/>
  <c r="Z550" i="3" s="1"/>
  <c r="BB547" i="3"/>
  <c r="BF547" i="3"/>
  <c r="BJ546" i="3" s="1"/>
  <c r="BK546" i="3" s="1"/>
  <c r="BQ547" i="3"/>
  <c r="AG550" i="3"/>
  <c r="AH550" i="3"/>
  <c r="AO550" i="3"/>
  <c r="AX549" i="3"/>
  <c r="AR551" i="3"/>
  <c r="B551" i="3"/>
  <c r="AQ551" i="3"/>
  <c r="A552" i="3"/>
  <c r="D551" i="3"/>
  <c r="AM551" i="3"/>
  <c r="S551" i="3"/>
  <c r="AK551" i="3"/>
  <c r="C551" i="3"/>
  <c r="R551" i="3"/>
  <c r="Q551" i="3"/>
  <c r="AD551" i="3"/>
  <c r="P551" i="3"/>
  <c r="AE551" i="3"/>
  <c r="M551" i="3"/>
  <c r="AF551" i="3"/>
  <c r="V551" i="3"/>
  <c r="U551" i="3"/>
  <c r="O551" i="3"/>
  <c r="F551" i="3"/>
  <c r="G551" i="3"/>
  <c r="H551" i="3" s="1"/>
  <c r="T551" i="3"/>
  <c r="X550" i="3"/>
  <c r="AW549" i="3"/>
  <c r="BA548" i="3"/>
  <c r="BN551" i="3" l="1"/>
  <c r="AO551" i="3"/>
  <c r="BM551" i="3"/>
  <c r="BA549" i="3"/>
  <c r="BQ549" i="3" s="1"/>
  <c r="AV549" i="3"/>
  <c r="AT550" i="3"/>
  <c r="BC548" i="3"/>
  <c r="BD548" i="3" s="1"/>
  <c r="AN551" i="3"/>
  <c r="AU550" i="3"/>
  <c r="Y551" i="3"/>
  <c r="Z551" i="3" s="1"/>
  <c r="B552" i="3"/>
  <c r="AQ552" i="3"/>
  <c r="AR552" i="3"/>
  <c r="A553" i="3"/>
  <c r="D552" i="3"/>
  <c r="C552" i="3"/>
  <c r="AM552" i="3"/>
  <c r="AK552" i="3"/>
  <c r="S552" i="3"/>
  <c r="R552" i="3"/>
  <c r="AD552" i="3"/>
  <c r="Q552" i="3"/>
  <c r="P552" i="3"/>
  <c r="O552" i="3"/>
  <c r="AE552" i="3"/>
  <c r="M552" i="3"/>
  <c r="V552" i="3"/>
  <c r="AF552" i="3"/>
  <c r="U552" i="3"/>
  <c r="G552" i="3"/>
  <c r="H552" i="3" s="1"/>
  <c r="F552" i="3"/>
  <c r="T552" i="3"/>
  <c r="AH551" i="3"/>
  <c r="AY549" i="3"/>
  <c r="X551" i="3"/>
  <c r="AX550" i="3"/>
  <c r="BF548" i="3"/>
  <c r="BJ547" i="3" s="1"/>
  <c r="BK547" i="3" s="1"/>
  <c r="BQ548" i="3"/>
  <c r="BB548" i="3"/>
  <c r="AG551" i="3"/>
  <c r="AW550" i="3"/>
  <c r="BG548" i="3" l="1"/>
  <c r="BH548" i="3" s="1"/>
  <c r="BI548" i="3" s="1"/>
  <c r="AV550" i="3"/>
  <c r="BA550" i="3"/>
  <c r="BQ550" i="3" s="1"/>
  <c r="AG552" i="3"/>
  <c r="BB549" i="3"/>
  <c r="BF549" i="3"/>
  <c r="BJ548" i="3" s="1"/>
  <c r="BK548" i="3" s="1"/>
  <c r="BM552" i="3"/>
  <c r="BC549" i="3"/>
  <c r="BD549" i="3" s="1"/>
  <c r="AW551" i="3"/>
  <c r="AN552" i="3"/>
  <c r="AY550" i="3"/>
  <c r="AQ553" i="3"/>
  <c r="B553" i="3"/>
  <c r="A554" i="3"/>
  <c r="AR553" i="3"/>
  <c r="D553" i="3"/>
  <c r="AK553" i="3"/>
  <c r="R553" i="3"/>
  <c r="C553" i="3"/>
  <c r="AM553" i="3"/>
  <c r="S553" i="3"/>
  <c r="Q553" i="3"/>
  <c r="AD553" i="3"/>
  <c r="P553" i="3"/>
  <c r="O553" i="3"/>
  <c r="M553" i="3"/>
  <c r="AE553" i="3"/>
  <c r="AF553" i="3"/>
  <c r="U553" i="3"/>
  <c r="V553" i="3"/>
  <c r="G553" i="3"/>
  <c r="H553" i="3" s="1"/>
  <c r="F553" i="3"/>
  <c r="T553" i="3"/>
  <c r="AU551" i="3"/>
  <c r="AX551" i="3"/>
  <c r="AT551" i="3"/>
  <c r="Y552" i="3"/>
  <c r="Z552" i="3" s="1"/>
  <c r="BN552" i="3"/>
  <c r="AH552" i="3"/>
  <c r="AO552" i="3"/>
  <c r="X552" i="3"/>
  <c r="BC550" i="3" l="1"/>
  <c r="BG550" i="3" s="1"/>
  <c r="BH550" i="3" s="1"/>
  <c r="BI550" i="3" s="1"/>
  <c r="BB550" i="3"/>
  <c r="BF550" i="3"/>
  <c r="BJ549" i="3" s="1"/>
  <c r="BK549" i="3" s="1"/>
  <c r="AU552" i="3"/>
  <c r="BG549" i="3"/>
  <c r="BH549" i="3" s="1"/>
  <c r="BI549" i="3" s="1"/>
  <c r="BM553" i="3"/>
  <c r="BN553" i="3"/>
  <c r="AG553" i="3"/>
  <c r="AT552" i="3"/>
  <c r="AW552" i="3"/>
  <c r="AY551" i="3"/>
  <c r="Y553" i="3"/>
  <c r="Z553" i="3" s="1"/>
  <c r="AO553" i="3"/>
  <c r="AN553" i="3"/>
  <c r="BA551" i="3"/>
  <c r="AV551" i="3"/>
  <c r="AH553" i="3"/>
  <c r="X553" i="3"/>
  <c r="B554" i="3"/>
  <c r="A555" i="3"/>
  <c r="AR554" i="3"/>
  <c r="AQ554" i="3"/>
  <c r="D554" i="3"/>
  <c r="AK554" i="3"/>
  <c r="AM554" i="3"/>
  <c r="R554" i="3"/>
  <c r="C554" i="3"/>
  <c r="Q554" i="3"/>
  <c r="AD554" i="3"/>
  <c r="S554" i="3"/>
  <c r="P554" i="3"/>
  <c r="O554" i="3"/>
  <c r="AF554" i="3"/>
  <c r="U554" i="3"/>
  <c r="V554" i="3"/>
  <c r="M554" i="3"/>
  <c r="AE554" i="3"/>
  <c r="F554" i="3"/>
  <c r="G554" i="3"/>
  <c r="H554" i="3" s="1"/>
  <c r="T554" i="3"/>
  <c r="AX552" i="3"/>
  <c r="BD550" i="3" l="1"/>
  <c r="BN554" i="3"/>
  <c r="AV552" i="3"/>
  <c r="BM554" i="3"/>
  <c r="AU553" i="3"/>
  <c r="AT553" i="3"/>
  <c r="AG554" i="3"/>
  <c r="BC551" i="3"/>
  <c r="BD551" i="3" s="1"/>
  <c r="AY552" i="3"/>
  <c r="AX553" i="3"/>
  <c r="AO554" i="3"/>
  <c r="Y554" i="3"/>
  <c r="Z554" i="3" s="1"/>
  <c r="BB551" i="3"/>
  <c r="BQ551" i="3"/>
  <c r="BF551" i="3"/>
  <c r="BJ550" i="3" s="1"/>
  <c r="BK550" i="3" s="1"/>
  <c r="AH554" i="3"/>
  <c r="X554" i="3"/>
  <c r="AN554" i="3"/>
  <c r="AW553" i="3"/>
  <c r="AR555" i="3"/>
  <c r="B555" i="3"/>
  <c r="AQ555" i="3"/>
  <c r="A556" i="3"/>
  <c r="D555" i="3"/>
  <c r="C555" i="3"/>
  <c r="AK555" i="3"/>
  <c r="AM555" i="3"/>
  <c r="R555" i="3"/>
  <c r="T555" i="3"/>
  <c r="Q555" i="3"/>
  <c r="S555" i="3"/>
  <c r="AD555" i="3"/>
  <c r="P555" i="3"/>
  <c r="O555" i="3"/>
  <c r="M555" i="3"/>
  <c r="AF555" i="3"/>
  <c r="V555" i="3"/>
  <c r="AE555" i="3"/>
  <c r="U555" i="3"/>
  <c r="F555" i="3"/>
  <c r="G555" i="3"/>
  <c r="H555" i="3" s="1"/>
  <c r="BA552" i="3"/>
  <c r="BC552" i="3" l="1"/>
  <c r="BD552" i="3" s="1"/>
  <c r="AY553" i="3"/>
  <c r="AV553" i="3"/>
  <c r="BM555" i="3"/>
  <c r="BA553" i="3"/>
  <c r="BF553" i="3" s="1"/>
  <c r="BN555" i="3"/>
  <c r="BG551" i="3"/>
  <c r="BH551" i="3" s="1"/>
  <c r="BI551" i="3" s="1"/>
  <c r="AT554" i="3"/>
  <c r="AU554" i="3"/>
  <c r="AG555" i="3"/>
  <c r="AN555" i="3"/>
  <c r="AO555" i="3"/>
  <c r="BQ552" i="3"/>
  <c r="BF552" i="3"/>
  <c r="BJ551" i="3" s="1"/>
  <c r="BK551" i="3" s="1"/>
  <c r="BB552" i="3"/>
  <c r="B556" i="3"/>
  <c r="AQ556" i="3"/>
  <c r="AR556" i="3"/>
  <c r="A557" i="3"/>
  <c r="D556" i="3"/>
  <c r="AK556" i="3"/>
  <c r="S556" i="3"/>
  <c r="R556" i="3"/>
  <c r="C556" i="3"/>
  <c r="AM556" i="3"/>
  <c r="Q556" i="3"/>
  <c r="P556" i="3"/>
  <c r="AD556" i="3"/>
  <c r="O556" i="3"/>
  <c r="M556" i="3"/>
  <c r="AE556" i="3"/>
  <c r="AF556" i="3"/>
  <c r="V556" i="3"/>
  <c r="U556" i="3"/>
  <c r="G556" i="3"/>
  <c r="H556" i="3" s="1"/>
  <c r="F556" i="3"/>
  <c r="T556" i="3"/>
  <c r="X555" i="3"/>
  <c r="AX554" i="3"/>
  <c r="Y555" i="3"/>
  <c r="Z555" i="3" s="1"/>
  <c r="BG552" i="3"/>
  <c r="BH552" i="3" s="1"/>
  <c r="BI552" i="3" s="1"/>
  <c r="AH555" i="3"/>
  <c r="AW554" i="3"/>
  <c r="BC553" i="3" l="1"/>
  <c r="BG553" i="3" s="1"/>
  <c r="BH553" i="3" s="1"/>
  <c r="BI553" i="3" s="1"/>
  <c r="BM556" i="3"/>
  <c r="BQ553" i="3"/>
  <c r="BN556" i="3"/>
  <c r="BB553" i="3"/>
  <c r="AV554" i="3"/>
  <c r="Y556" i="3"/>
  <c r="Z556" i="3" s="1"/>
  <c r="BD553" i="3"/>
  <c r="AT555" i="3"/>
  <c r="AX555" i="3"/>
  <c r="AG556" i="3"/>
  <c r="BA554" i="3"/>
  <c r="BB554" i="3" s="1"/>
  <c r="AO556" i="3"/>
  <c r="AN556" i="3"/>
  <c r="AY554" i="3"/>
  <c r="AU555" i="3"/>
  <c r="AW555" i="3"/>
  <c r="AH556" i="3"/>
  <c r="X556" i="3"/>
  <c r="BJ552" i="3"/>
  <c r="BK552" i="3" s="1"/>
  <c r="AQ557" i="3"/>
  <c r="B557" i="3"/>
  <c r="A558" i="3"/>
  <c r="AR557" i="3"/>
  <c r="D557" i="3"/>
  <c r="C557" i="3"/>
  <c r="T557" i="3"/>
  <c r="S557" i="3"/>
  <c r="AK557" i="3"/>
  <c r="AM557" i="3"/>
  <c r="R557" i="3"/>
  <c r="AD557" i="3"/>
  <c r="P557" i="3"/>
  <c r="O557" i="3"/>
  <c r="M557" i="3"/>
  <c r="AF557" i="3"/>
  <c r="V557" i="3"/>
  <c r="U557" i="3"/>
  <c r="AE557" i="3"/>
  <c r="Q557" i="3"/>
  <c r="G557" i="3"/>
  <c r="H557" i="3" s="1"/>
  <c r="F557" i="3"/>
  <c r="BM557" i="3" s="1"/>
  <c r="BN557" i="3" l="1"/>
  <c r="BC554" i="3"/>
  <c r="BG554" i="3" s="1"/>
  <c r="BH554" i="3" s="1"/>
  <c r="BI554" i="3" s="1"/>
  <c r="AV555" i="3"/>
  <c r="AT556" i="3"/>
  <c r="AU556" i="3"/>
  <c r="AO557" i="3"/>
  <c r="AG557" i="3"/>
  <c r="BF554" i="3"/>
  <c r="BJ553" i="3" s="1"/>
  <c r="BK553" i="3" s="1"/>
  <c r="BQ554" i="3"/>
  <c r="Y557" i="3"/>
  <c r="Z557" i="3" s="1"/>
  <c r="B558" i="3"/>
  <c r="A559" i="3"/>
  <c r="AQ558" i="3"/>
  <c r="AR558" i="3"/>
  <c r="D558" i="3"/>
  <c r="AM558" i="3"/>
  <c r="T558" i="3"/>
  <c r="S558" i="3"/>
  <c r="Q558" i="3"/>
  <c r="C558" i="3"/>
  <c r="AK558" i="3"/>
  <c r="AD558" i="3"/>
  <c r="R558" i="3"/>
  <c r="P558" i="3"/>
  <c r="O558" i="3"/>
  <c r="M558" i="3"/>
  <c r="AE558" i="3"/>
  <c r="V558" i="3"/>
  <c r="U558" i="3"/>
  <c r="AF558" i="3"/>
  <c r="G558" i="3"/>
  <c r="H558" i="3" s="1"/>
  <c r="F558" i="3"/>
  <c r="BM558" i="3" s="1"/>
  <c r="BA555" i="3"/>
  <c r="AY555" i="3"/>
  <c r="AH557" i="3"/>
  <c r="AN557" i="3"/>
  <c r="X557" i="3"/>
  <c r="AX556" i="3"/>
  <c r="AW556" i="3"/>
  <c r="BD554" i="3"/>
  <c r="BN558" i="3" l="1"/>
  <c r="AU557" i="3"/>
  <c r="AN558" i="3"/>
  <c r="BC555" i="3"/>
  <c r="BG555" i="3" s="1"/>
  <c r="BH555" i="3" s="1"/>
  <c r="BI555" i="3" s="1"/>
  <c r="AV556" i="3"/>
  <c r="AX557" i="3"/>
  <c r="AH558" i="3"/>
  <c r="BA556" i="3"/>
  <c r="BF556" i="3" s="1"/>
  <c r="BQ555" i="3"/>
  <c r="BB555" i="3"/>
  <c r="BF555" i="3"/>
  <c r="BJ554" i="3" s="1"/>
  <c r="BK554" i="3" s="1"/>
  <c r="Y558" i="3"/>
  <c r="Z558" i="3" s="1"/>
  <c r="AY556" i="3"/>
  <c r="AT557" i="3"/>
  <c r="AW557" i="3"/>
  <c r="AG558" i="3"/>
  <c r="AO558" i="3"/>
  <c r="AR559" i="3"/>
  <c r="B559" i="3"/>
  <c r="AQ559" i="3"/>
  <c r="A560" i="3"/>
  <c r="C559" i="3"/>
  <c r="D559" i="3"/>
  <c r="AK559" i="3"/>
  <c r="AM559" i="3"/>
  <c r="S559" i="3"/>
  <c r="R559" i="3"/>
  <c r="T559" i="3"/>
  <c r="AD559" i="3"/>
  <c r="Q559" i="3"/>
  <c r="O559" i="3"/>
  <c r="AE559" i="3"/>
  <c r="AF559" i="3"/>
  <c r="M559" i="3"/>
  <c r="V559" i="3"/>
  <c r="U559" i="3"/>
  <c r="P559" i="3"/>
  <c r="G559" i="3"/>
  <c r="H559" i="3" s="1"/>
  <c r="F559" i="3"/>
  <c r="X558" i="3"/>
  <c r="BC556" i="3" l="1"/>
  <c r="BD556" i="3" s="1"/>
  <c r="BD555" i="3"/>
  <c r="BN559" i="3"/>
  <c r="BM559" i="3"/>
  <c r="AY557" i="3"/>
  <c r="AO559" i="3"/>
  <c r="AU558" i="3"/>
  <c r="AG559" i="3"/>
  <c r="AT558" i="3"/>
  <c r="BB556" i="3"/>
  <c r="BQ556" i="3"/>
  <c r="Y559" i="3"/>
  <c r="Z559" i="3" s="1"/>
  <c r="B560" i="3"/>
  <c r="AQ560" i="3"/>
  <c r="AR560" i="3"/>
  <c r="A561" i="3"/>
  <c r="C560" i="3"/>
  <c r="AM560" i="3"/>
  <c r="AK560" i="3"/>
  <c r="D560" i="3"/>
  <c r="T560" i="3"/>
  <c r="S560" i="3"/>
  <c r="Q560" i="3"/>
  <c r="R560" i="3"/>
  <c r="AD560" i="3"/>
  <c r="O560" i="3"/>
  <c r="P560" i="3"/>
  <c r="AE560" i="3"/>
  <c r="U560" i="3"/>
  <c r="AF560" i="3"/>
  <c r="M560" i="3"/>
  <c r="V560" i="3"/>
  <c r="G560" i="3"/>
  <c r="H560" i="3" s="1"/>
  <c r="F560" i="3"/>
  <c r="AV557" i="3"/>
  <c r="BA557" i="3"/>
  <c r="AH559" i="3"/>
  <c r="AN559" i="3"/>
  <c r="AW558" i="3"/>
  <c r="AX558" i="3"/>
  <c r="BJ555" i="3"/>
  <c r="BK555" i="3" s="1"/>
  <c r="X559" i="3"/>
  <c r="BG556" i="3" l="1"/>
  <c r="BH556" i="3" s="1"/>
  <c r="BI556" i="3" s="1"/>
  <c r="AV558" i="3"/>
  <c r="BC557" i="3"/>
  <c r="BD557" i="3" s="1"/>
  <c r="BM560" i="3"/>
  <c r="AT559" i="3"/>
  <c r="AN560" i="3"/>
  <c r="AG560" i="3"/>
  <c r="AW559" i="3"/>
  <c r="AX559" i="3"/>
  <c r="BF557" i="3"/>
  <c r="BJ556" i="3" s="1"/>
  <c r="BK556" i="3" s="1"/>
  <c r="BQ557" i="3"/>
  <c r="BB557" i="3"/>
  <c r="AU559" i="3"/>
  <c r="AY558" i="3"/>
  <c r="BC558" i="3" s="1"/>
  <c r="BA558" i="3"/>
  <c r="BN560" i="3"/>
  <c r="AH560" i="3"/>
  <c r="AO560" i="3"/>
  <c r="X560" i="3"/>
  <c r="Y560" i="3"/>
  <c r="Z560" i="3" s="1"/>
  <c r="AQ561" i="3"/>
  <c r="B561" i="3"/>
  <c r="A562" i="3"/>
  <c r="AR561" i="3"/>
  <c r="D561" i="3"/>
  <c r="C561" i="3"/>
  <c r="S561" i="3"/>
  <c r="R561" i="3"/>
  <c r="AM561" i="3"/>
  <c r="AK561" i="3"/>
  <c r="Q561" i="3"/>
  <c r="P561" i="3"/>
  <c r="AD561" i="3"/>
  <c r="O561" i="3"/>
  <c r="M561" i="3"/>
  <c r="AE561" i="3"/>
  <c r="V561" i="3"/>
  <c r="U561" i="3"/>
  <c r="AF561" i="3"/>
  <c r="G561" i="3"/>
  <c r="H561" i="3" s="1"/>
  <c r="F561" i="3"/>
  <c r="T561" i="3"/>
  <c r="AV559" i="3" l="1"/>
  <c r="BG557" i="3"/>
  <c r="BH557" i="3" s="1"/>
  <c r="BI557" i="3" s="1"/>
  <c r="AU560" i="3"/>
  <c r="AO561" i="3"/>
  <c r="BN561" i="3"/>
  <c r="BM561" i="3"/>
  <c r="Y561" i="3"/>
  <c r="Z561" i="3" s="1"/>
  <c r="AG561" i="3"/>
  <c r="AT560" i="3"/>
  <c r="BA559" i="3"/>
  <c r="BQ559" i="3" s="1"/>
  <c r="BD558" i="3"/>
  <c r="BG558" i="3"/>
  <c r="BH558" i="3" s="1"/>
  <c r="BI558" i="3" s="1"/>
  <c r="B562" i="3"/>
  <c r="A563" i="3"/>
  <c r="AQ562" i="3"/>
  <c r="AR562" i="3"/>
  <c r="C562" i="3"/>
  <c r="AM562" i="3"/>
  <c r="T562" i="3"/>
  <c r="S562" i="3"/>
  <c r="D562" i="3"/>
  <c r="AK562" i="3"/>
  <c r="Q562" i="3"/>
  <c r="AD562" i="3"/>
  <c r="P562" i="3"/>
  <c r="O562" i="3"/>
  <c r="M562" i="3"/>
  <c r="AF562" i="3"/>
  <c r="V562" i="3"/>
  <c r="U562" i="3"/>
  <c r="AE562" i="3"/>
  <c r="R562" i="3"/>
  <c r="F562" i="3"/>
  <c r="G562" i="3"/>
  <c r="H562" i="3" s="1"/>
  <c r="BB558" i="3"/>
  <c r="BF558" i="3"/>
  <c r="BJ557" i="3" s="1"/>
  <c r="BK557" i="3" s="1"/>
  <c r="BQ558" i="3"/>
  <c r="AH561" i="3"/>
  <c r="AN561" i="3"/>
  <c r="AX560" i="3"/>
  <c r="AW560" i="3"/>
  <c r="AY559" i="3"/>
  <c r="BC559" i="3" s="1"/>
  <c r="X561" i="3"/>
  <c r="AV560" i="3" l="1"/>
  <c r="BM562" i="3"/>
  <c r="AO562" i="3"/>
  <c r="AT561" i="3"/>
  <c r="BN562" i="3"/>
  <c r="BA560" i="3"/>
  <c r="BQ560" i="3" s="1"/>
  <c r="AX561" i="3"/>
  <c r="BF559" i="3"/>
  <c r="BJ558" i="3" s="1"/>
  <c r="BK558" i="3" s="1"/>
  <c r="BB559" i="3"/>
  <c r="AY560" i="3"/>
  <c r="BC560" i="3" s="1"/>
  <c r="BG560" i="3" s="1"/>
  <c r="BH560" i="3" s="1"/>
  <c r="BI560" i="3" s="1"/>
  <c r="BD559" i="3"/>
  <c r="BG559" i="3"/>
  <c r="BH559" i="3" s="1"/>
  <c r="BI559" i="3" s="1"/>
  <c r="Y562" i="3"/>
  <c r="Z562" i="3" s="1"/>
  <c r="AW561" i="3"/>
  <c r="AU561" i="3"/>
  <c r="AG562" i="3"/>
  <c r="X562" i="3"/>
  <c r="AR563" i="3"/>
  <c r="B563" i="3"/>
  <c r="AQ563" i="3"/>
  <c r="A564" i="3"/>
  <c r="C563" i="3"/>
  <c r="S563" i="3"/>
  <c r="D563" i="3"/>
  <c r="AM563" i="3"/>
  <c r="AK563" i="3"/>
  <c r="AD563" i="3"/>
  <c r="P563" i="3"/>
  <c r="R563" i="3"/>
  <c r="O563" i="3"/>
  <c r="AE563" i="3"/>
  <c r="M563" i="3"/>
  <c r="AF563" i="3"/>
  <c r="V563" i="3"/>
  <c r="U563" i="3"/>
  <c r="F563" i="3"/>
  <c r="G563" i="3"/>
  <c r="H563" i="3" s="1"/>
  <c r="Q563" i="3"/>
  <c r="T563" i="3"/>
  <c r="AH562" i="3"/>
  <c r="AN562" i="3"/>
  <c r="BF560" i="3" l="1"/>
  <c r="BJ559" i="3" s="1"/>
  <c r="BK559" i="3" s="1"/>
  <c r="BM563" i="3"/>
  <c r="BN563" i="3"/>
  <c r="AY561" i="3"/>
  <c r="BB560" i="3"/>
  <c r="BD560" i="3"/>
  <c r="AX562" i="3"/>
  <c r="AO563" i="3"/>
  <c r="AH563" i="3"/>
  <c r="Y563" i="3"/>
  <c r="Z563" i="3" s="1"/>
  <c r="BA561" i="3"/>
  <c r="BQ561" i="3" s="1"/>
  <c r="AT562" i="3"/>
  <c r="X563" i="3"/>
  <c r="AU562" i="3"/>
  <c r="AW562" i="3"/>
  <c r="AV561" i="3"/>
  <c r="B564" i="3"/>
  <c r="AQ564" i="3"/>
  <c r="AR564" i="3"/>
  <c r="A565" i="3"/>
  <c r="C564" i="3"/>
  <c r="D564" i="3"/>
  <c r="AK564" i="3"/>
  <c r="AM564" i="3"/>
  <c r="S564" i="3"/>
  <c r="Q564" i="3"/>
  <c r="R564" i="3"/>
  <c r="P564" i="3"/>
  <c r="AD564" i="3"/>
  <c r="AE564" i="3"/>
  <c r="AF564" i="3"/>
  <c r="U564" i="3"/>
  <c r="O564" i="3"/>
  <c r="M564" i="3"/>
  <c r="V564" i="3"/>
  <c r="G564" i="3"/>
  <c r="H564" i="3" s="1"/>
  <c r="F564" i="3"/>
  <c r="T564" i="3"/>
  <c r="AG563" i="3"/>
  <c r="AN563" i="3"/>
  <c r="BC561" i="3" l="1"/>
  <c r="BD561" i="3" s="1"/>
  <c r="BM564" i="3"/>
  <c r="AY562" i="3"/>
  <c r="BN564" i="3"/>
  <c r="AV562" i="3"/>
  <c r="AN564" i="3"/>
  <c r="AW563" i="3"/>
  <c r="AX563" i="3"/>
  <c r="Y564" i="3"/>
  <c r="Z564" i="3" s="1"/>
  <c r="AG564" i="3"/>
  <c r="BF561" i="3"/>
  <c r="BJ560" i="3" s="1"/>
  <c r="BK560" i="3" s="1"/>
  <c r="BB561" i="3"/>
  <c r="AH564" i="3"/>
  <c r="AO564" i="3"/>
  <c r="X564" i="3"/>
  <c r="AU563" i="3"/>
  <c r="AQ565" i="3"/>
  <c r="B565" i="3"/>
  <c r="A566" i="3"/>
  <c r="AR565" i="3"/>
  <c r="D565" i="3"/>
  <c r="C565" i="3"/>
  <c r="AK565" i="3"/>
  <c r="AM565" i="3"/>
  <c r="S565" i="3"/>
  <c r="Q565" i="3"/>
  <c r="AD565" i="3"/>
  <c r="T565" i="3"/>
  <c r="R565" i="3"/>
  <c r="O565" i="3"/>
  <c r="P565" i="3"/>
  <c r="M565" i="3"/>
  <c r="V565" i="3"/>
  <c r="AE565" i="3"/>
  <c r="AF565" i="3"/>
  <c r="U565" i="3"/>
  <c r="F565" i="3"/>
  <c r="G565" i="3"/>
  <c r="H565" i="3" s="1"/>
  <c r="AT563" i="3"/>
  <c r="BA562" i="3"/>
  <c r="BG561" i="3" l="1"/>
  <c r="BH561" i="3" s="1"/>
  <c r="BI561" i="3" s="1"/>
  <c r="BC562" i="3"/>
  <c r="BD562" i="3" s="1"/>
  <c r="BN565" i="3"/>
  <c r="AU564" i="3"/>
  <c r="AN565" i="3"/>
  <c r="BM565" i="3"/>
  <c r="AY563" i="3"/>
  <c r="AO565" i="3"/>
  <c r="AX564" i="3"/>
  <c r="AG565" i="3"/>
  <c r="AW564" i="3"/>
  <c r="AT564" i="3"/>
  <c r="BB562" i="3"/>
  <c r="BF562" i="3"/>
  <c r="BJ561" i="3" s="1"/>
  <c r="BK561" i="3" s="1"/>
  <c r="BQ562" i="3"/>
  <c r="BA563" i="3"/>
  <c r="AV563" i="3"/>
  <c r="Y565" i="3"/>
  <c r="Z565" i="3" s="1"/>
  <c r="B566" i="3"/>
  <c r="A567" i="3"/>
  <c r="AQ566" i="3"/>
  <c r="AR566" i="3"/>
  <c r="D566" i="3"/>
  <c r="C566" i="3"/>
  <c r="AM566" i="3"/>
  <c r="AK566" i="3"/>
  <c r="R566" i="3"/>
  <c r="Q566" i="3"/>
  <c r="S566" i="3"/>
  <c r="P566" i="3"/>
  <c r="AD566" i="3"/>
  <c r="M566" i="3"/>
  <c r="AF566" i="3"/>
  <c r="V566" i="3"/>
  <c r="U566" i="3"/>
  <c r="O566" i="3"/>
  <c r="AE566" i="3"/>
  <c r="G566" i="3"/>
  <c r="H566" i="3" s="1"/>
  <c r="F566" i="3"/>
  <c r="T566" i="3"/>
  <c r="AH565" i="3"/>
  <c r="X565" i="3"/>
  <c r="BG562" i="3" l="1"/>
  <c r="BH562" i="3" s="1"/>
  <c r="BI562" i="3" s="1"/>
  <c r="AV564" i="3"/>
  <c r="AY564" i="3"/>
  <c r="AG566" i="3"/>
  <c r="BN566" i="3"/>
  <c r="AX565" i="3"/>
  <c r="BM566" i="3"/>
  <c r="BC563" i="3"/>
  <c r="BD563" i="3" s="1"/>
  <c r="BA564" i="3"/>
  <c r="BB564" i="3" s="1"/>
  <c r="AN566" i="3"/>
  <c r="Y566" i="3"/>
  <c r="Z566" i="3" s="1"/>
  <c r="AR567" i="3"/>
  <c r="B567" i="3"/>
  <c r="AQ567" i="3"/>
  <c r="A568" i="3"/>
  <c r="C567" i="3"/>
  <c r="D567" i="3"/>
  <c r="AK567" i="3"/>
  <c r="T567" i="3"/>
  <c r="AM567" i="3"/>
  <c r="S567" i="3"/>
  <c r="Q567" i="3"/>
  <c r="R567" i="3"/>
  <c r="AD567" i="3"/>
  <c r="P567" i="3"/>
  <c r="M567" i="3"/>
  <c r="AF567" i="3"/>
  <c r="U567" i="3"/>
  <c r="O567" i="3"/>
  <c r="AE567" i="3"/>
  <c r="V567" i="3"/>
  <c r="F567" i="3"/>
  <c r="BM567" i="3" s="1"/>
  <c r="G567" i="3"/>
  <c r="H567" i="3" s="1"/>
  <c r="AW565" i="3"/>
  <c r="AU565" i="3"/>
  <c r="AO566" i="3"/>
  <c r="X566" i="3"/>
  <c r="BQ563" i="3"/>
  <c r="BF563" i="3"/>
  <c r="BJ562" i="3" s="1"/>
  <c r="BK562" i="3" s="1"/>
  <c r="BB563" i="3"/>
  <c r="AT565" i="3"/>
  <c r="AH566" i="3"/>
  <c r="AV565" i="3" l="1"/>
  <c r="BC564" i="3"/>
  <c r="BG564" i="3" s="1"/>
  <c r="BH564" i="3" s="1"/>
  <c r="BI564" i="3" s="1"/>
  <c r="BN567" i="3"/>
  <c r="AN567" i="3"/>
  <c r="AX566" i="3"/>
  <c r="AY565" i="3"/>
  <c r="BC565" i="3" s="1"/>
  <c r="BD565" i="3" s="1"/>
  <c r="BG563" i="3"/>
  <c r="BH563" i="3" s="1"/>
  <c r="BI563" i="3" s="1"/>
  <c r="BQ564" i="3"/>
  <c r="AG567" i="3"/>
  <c r="BF564" i="3"/>
  <c r="BJ563" i="3" s="1"/>
  <c r="BK563" i="3" s="1"/>
  <c r="Y567" i="3"/>
  <c r="Z567" i="3" s="1"/>
  <c r="B568" i="3"/>
  <c r="AQ568" i="3"/>
  <c r="AR568" i="3"/>
  <c r="A569" i="3"/>
  <c r="C568" i="3"/>
  <c r="AM568" i="3"/>
  <c r="AK568" i="3"/>
  <c r="T568" i="3"/>
  <c r="D568" i="3"/>
  <c r="S568" i="3"/>
  <c r="R568" i="3"/>
  <c r="Q568" i="3"/>
  <c r="AD568" i="3"/>
  <c r="P568" i="3"/>
  <c r="AE568" i="3"/>
  <c r="O568" i="3"/>
  <c r="M568" i="3"/>
  <c r="U568" i="3"/>
  <c r="AF568" i="3"/>
  <c r="V568" i="3"/>
  <c r="G568" i="3"/>
  <c r="H568" i="3" s="1"/>
  <c r="BN568" i="3" s="1"/>
  <c r="F568" i="3"/>
  <c r="AT566" i="3"/>
  <c r="AW566" i="3"/>
  <c r="BA565" i="3"/>
  <c r="AU566" i="3"/>
  <c r="AH567" i="3"/>
  <c r="AO567" i="3"/>
  <c r="X567" i="3"/>
  <c r="BD564" i="3" l="1"/>
  <c r="AY566" i="3"/>
  <c r="BM568" i="3"/>
  <c r="AU567" i="3"/>
  <c r="AH568" i="3"/>
  <c r="AN568" i="3"/>
  <c r="AT567" i="3"/>
  <c r="AW567" i="3"/>
  <c r="BG565" i="3"/>
  <c r="BH565" i="3" s="1"/>
  <c r="BI565" i="3" s="1"/>
  <c r="AQ569" i="3"/>
  <c r="B569" i="3"/>
  <c r="A570" i="3"/>
  <c r="AR569" i="3"/>
  <c r="C569" i="3"/>
  <c r="S569" i="3"/>
  <c r="AK569" i="3"/>
  <c r="D569" i="3"/>
  <c r="AM569" i="3"/>
  <c r="Q569" i="3"/>
  <c r="T569" i="3"/>
  <c r="P569" i="3"/>
  <c r="AD569" i="3"/>
  <c r="O569" i="3"/>
  <c r="M569" i="3"/>
  <c r="V569" i="3"/>
  <c r="AF569" i="3"/>
  <c r="AE569" i="3"/>
  <c r="G569" i="3"/>
  <c r="H569" i="3" s="1"/>
  <c r="U569" i="3"/>
  <c r="R569" i="3"/>
  <c r="F569" i="3"/>
  <c r="BF565" i="3"/>
  <c r="BQ565" i="3"/>
  <c r="BB565" i="3"/>
  <c r="AV566" i="3"/>
  <c r="BA566" i="3"/>
  <c r="Y568" i="3"/>
  <c r="Z568" i="3" s="1"/>
  <c r="AX567" i="3"/>
  <c r="AG568" i="3"/>
  <c r="AO568" i="3"/>
  <c r="X568" i="3"/>
  <c r="AU568" i="3" l="1"/>
  <c r="AY567" i="3"/>
  <c r="AN569" i="3"/>
  <c r="BC566" i="3"/>
  <c r="BD566" i="3" s="1"/>
  <c r="AV567" i="3"/>
  <c r="BN569" i="3"/>
  <c r="AT568" i="3"/>
  <c r="AX568" i="3"/>
  <c r="AH569" i="3"/>
  <c r="BJ564" i="3"/>
  <c r="BK564" i="3" s="1"/>
  <c r="B570" i="3"/>
  <c r="A571" i="3"/>
  <c r="AQ570" i="3"/>
  <c r="AR570" i="3"/>
  <c r="C570" i="3"/>
  <c r="AK570" i="3"/>
  <c r="AM570" i="3"/>
  <c r="D570" i="3"/>
  <c r="T570" i="3"/>
  <c r="Q570" i="3"/>
  <c r="S570" i="3"/>
  <c r="R570" i="3"/>
  <c r="AD570" i="3"/>
  <c r="M570" i="3"/>
  <c r="P570" i="3"/>
  <c r="O570" i="3"/>
  <c r="AF570" i="3"/>
  <c r="AE570" i="3"/>
  <c r="V570" i="3"/>
  <c r="U570" i="3"/>
  <c r="G570" i="3"/>
  <c r="H570" i="3" s="1"/>
  <c r="F570" i="3"/>
  <c r="Y569" i="3"/>
  <c r="Z569" i="3" s="1"/>
  <c r="AO569" i="3"/>
  <c r="X569" i="3"/>
  <c r="AW568" i="3"/>
  <c r="BA567" i="3"/>
  <c r="BM569" i="3"/>
  <c r="AG569" i="3"/>
  <c r="BF566" i="3"/>
  <c r="BQ566" i="3"/>
  <c r="BB566" i="3"/>
  <c r="AV568" i="3" l="1"/>
  <c r="BC567" i="3"/>
  <c r="BG567" i="3" s="1"/>
  <c r="BH567" i="3" s="1"/>
  <c r="BI567" i="3" s="1"/>
  <c r="BG566" i="3"/>
  <c r="BH566" i="3" s="1"/>
  <c r="BI566" i="3" s="1"/>
  <c r="BM570" i="3"/>
  <c r="BN570" i="3"/>
  <c r="AW569" i="3"/>
  <c r="AN570" i="3"/>
  <c r="AY568" i="3"/>
  <c r="BC568" i="3" s="1"/>
  <c r="BF567" i="3"/>
  <c r="BJ566" i="3" s="1"/>
  <c r="BK566" i="3" s="1"/>
  <c r="BQ567" i="3"/>
  <c r="BB567" i="3"/>
  <c r="Y570" i="3"/>
  <c r="Z570" i="3" s="1"/>
  <c r="AR571" i="3"/>
  <c r="B571" i="3"/>
  <c r="AQ571" i="3"/>
  <c r="A572" i="3"/>
  <c r="D571" i="3"/>
  <c r="AK571" i="3"/>
  <c r="S571" i="3"/>
  <c r="AM571" i="3"/>
  <c r="C571" i="3"/>
  <c r="R571" i="3"/>
  <c r="Q571" i="3"/>
  <c r="AD571" i="3"/>
  <c r="P571" i="3"/>
  <c r="AE571" i="3"/>
  <c r="M571" i="3"/>
  <c r="O571" i="3"/>
  <c r="AF571" i="3"/>
  <c r="U571" i="3"/>
  <c r="V571" i="3"/>
  <c r="G571" i="3"/>
  <c r="H571" i="3" s="1"/>
  <c r="F571" i="3"/>
  <c r="T571" i="3"/>
  <c r="AX569" i="3"/>
  <c r="AT569" i="3"/>
  <c r="AG570" i="3"/>
  <c r="AO570" i="3"/>
  <c r="BA568" i="3"/>
  <c r="AU569" i="3"/>
  <c r="AH570" i="3"/>
  <c r="X570" i="3"/>
  <c r="BJ565" i="3"/>
  <c r="BK565" i="3" s="1"/>
  <c r="BD567" i="3" l="1"/>
  <c r="AY569" i="3"/>
  <c r="BM571" i="3"/>
  <c r="AX570" i="3"/>
  <c r="AV569" i="3"/>
  <c r="BD568" i="3"/>
  <c r="BG568" i="3"/>
  <c r="BH568" i="3" s="1"/>
  <c r="BI568" i="3" s="1"/>
  <c r="BB568" i="3"/>
  <c r="BF568" i="3"/>
  <c r="BJ567" i="3" s="1"/>
  <c r="BK567" i="3" s="1"/>
  <c r="BQ568" i="3"/>
  <c r="AO571" i="3"/>
  <c r="AN571" i="3"/>
  <c r="B572" i="3"/>
  <c r="AQ572" i="3"/>
  <c r="AR572" i="3"/>
  <c r="A573" i="3"/>
  <c r="C572" i="3"/>
  <c r="D572" i="3"/>
  <c r="AK572" i="3"/>
  <c r="AM572" i="3"/>
  <c r="T572" i="3"/>
  <c r="S572" i="3"/>
  <c r="Q572" i="3"/>
  <c r="AD572" i="3"/>
  <c r="P572" i="3"/>
  <c r="O572" i="3"/>
  <c r="M572" i="3"/>
  <c r="AE572" i="3"/>
  <c r="V572" i="3"/>
  <c r="AF572" i="3"/>
  <c r="U572" i="3"/>
  <c r="F572" i="3"/>
  <c r="R572" i="3"/>
  <c r="G572" i="3"/>
  <c r="H572" i="3" s="1"/>
  <c r="BN572" i="3" s="1"/>
  <c r="AU570" i="3"/>
  <c r="X571" i="3"/>
  <c r="BA569" i="3"/>
  <c r="AT570" i="3"/>
  <c r="AW570" i="3"/>
  <c r="Y571" i="3"/>
  <c r="Z571" i="3" s="1"/>
  <c r="BN571" i="3"/>
  <c r="AG571" i="3"/>
  <c r="AH571" i="3"/>
  <c r="BC569" i="3" l="1"/>
  <c r="BG569" i="3" s="1"/>
  <c r="BH569" i="3" s="1"/>
  <c r="BI569" i="3" s="1"/>
  <c r="AO572" i="3"/>
  <c r="AU571" i="3"/>
  <c r="AY570" i="3"/>
  <c r="AW571" i="3"/>
  <c r="BA570" i="3"/>
  <c r="AV570" i="3"/>
  <c r="BQ569" i="3"/>
  <c r="BF569" i="3"/>
  <c r="BJ568" i="3" s="1"/>
  <c r="BK568" i="3" s="1"/>
  <c r="BB569" i="3"/>
  <c r="Y572" i="3"/>
  <c r="Z572" i="3" s="1"/>
  <c r="AQ573" i="3"/>
  <c r="B573" i="3"/>
  <c r="A574" i="3"/>
  <c r="AR573" i="3"/>
  <c r="D573" i="3"/>
  <c r="C573" i="3"/>
  <c r="S573" i="3"/>
  <c r="Q573" i="3"/>
  <c r="AK573" i="3"/>
  <c r="AM573" i="3"/>
  <c r="R573" i="3"/>
  <c r="P573" i="3"/>
  <c r="AD573" i="3"/>
  <c r="M573" i="3"/>
  <c r="AE573" i="3"/>
  <c r="O573" i="3"/>
  <c r="AF573" i="3"/>
  <c r="V573" i="3"/>
  <c r="U573" i="3"/>
  <c r="G573" i="3"/>
  <c r="H573" i="3" s="1"/>
  <c r="F573" i="3"/>
  <c r="T573" i="3"/>
  <c r="AT571" i="3"/>
  <c r="AX571" i="3"/>
  <c r="BM572" i="3"/>
  <c r="AG572" i="3"/>
  <c r="AH572" i="3"/>
  <c r="AN572" i="3"/>
  <c r="X572" i="3"/>
  <c r="BD569" i="3" l="1"/>
  <c r="AY571" i="3"/>
  <c r="BM573" i="3"/>
  <c r="BC570" i="3"/>
  <c r="BD570" i="3" s="1"/>
  <c r="AG573" i="3"/>
  <c r="AO573" i="3"/>
  <c r="AU572" i="3"/>
  <c r="AX572" i="3"/>
  <c r="BA571" i="3"/>
  <c r="AV571" i="3"/>
  <c r="BQ570" i="3"/>
  <c r="BF570" i="3"/>
  <c r="BJ569" i="3" s="1"/>
  <c r="BK569" i="3" s="1"/>
  <c r="BB570" i="3"/>
  <c r="AH573" i="3"/>
  <c r="AT572" i="3"/>
  <c r="AW572" i="3"/>
  <c r="Y573" i="3"/>
  <c r="Z573" i="3" s="1"/>
  <c r="BN573" i="3"/>
  <c r="AN573" i="3"/>
  <c r="X573" i="3"/>
  <c r="B574" i="3"/>
  <c r="A575" i="3"/>
  <c r="AQ574" i="3"/>
  <c r="AR574" i="3"/>
  <c r="C574" i="3"/>
  <c r="D574" i="3"/>
  <c r="AK574" i="3"/>
  <c r="S574" i="3"/>
  <c r="R574" i="3"/>
  <c r="AM574" i="3"/>
  <c r="AD574" i="3"/>
  <c r="P574" i="3"/>
  <c r="Q574" i="3"/>
  <c r="AF574" i="3"/>
  <c r="M574" i="3"/>
  <c r="U574" i="3"/>
  <c r="O574" i="3"/>
  <c r="AE574" i="3"/>
  <c r="V574" i="3"/>
  <c r="F574" i="3"/>
  <c r="G574" i="3"/>
  <c r="H574" i="3" s="1"/>
  <c r="T574" i="3"/>
  <c r="BC571" i="3" l="1"/>
  <c r="AY572" i="3"/>
  <c r="AU573" i="3"/>
  <c r="BG570" i="3"/>
  <c r="BH570" i="3" s="1"/>
  <c r="BI570" i="3" s="1"/>
  <c r="BN574" i="3"/>
  <c r="AN574" i="3"/>
  <c r="BM574" i="3"/>
  <c r="AG574" i="3"/>
  <c r="AO574" i="3"/>
  <c r="AW573" i="3"/>
  <c r="Y574" i="3"/>
  <c r="Z574" i="3" s="1"/>
  <c r="AR575" i="3"/>
  <c r="AQ575" i="3"/>
  <c r="A576" i="3"/>
  <c r="B575" i="3"/>
  <c r="D575" i="3"/>
  <c r="C575" i="3"/>
  <c r="AK575" i="3"/>
  <c r="AM575" i="3"/>
  <c r="Q575" i="3"/>
  <c r="S575" i="3"/>
  <c r="AD575" i="3"/>
  <c r="P575" i="3"/>
  <c r="O575" i="3"/>
  <c r="AE575" i="3"/>
  <c r="AF575" i="3"/>
  <c r="M575" i="3"/>
  <c r="V575" i="3"/>
  <c r="U575" i="3"/>
  <c r="G575" i="3"/>
  <c r="H575" i="3" s="1"/>
  <c r="F575" i="3"/>
  <c r="R575" i="3"/>
  <c r="T575" i="3"/>
  <c r="AT573" i="3"/>
  <c r="AX573" i="3"/>
  <c r="BQ571" i="3"/>
  <c r="BF571" i="3"/>
  <c r="BJ570" i="3" s="1"/>
  <c r="BK570" i="3" s="1"/>
  <c r="BB571" i="3"/>
  <c r="AV572" i="3"/>
  <c r="BA572" i="3"/>
  <c r="BD571" i="3"/>
  <c r="BG571" i="3"/>
  <c r="BH571" i="3" s="1"/>
  <c r="BI571" i="3" s="1"/>
  <c r="AH574" i="3"/>
  <c r="X574" i="3"/>
  <c r="BC572" i="3" l="1"/>
  <c r="BN575" i="3"/>
  <c r="BM575" i="3"/>
  <c r="AU574" i="3"/>
  <c r="AX574" i="3"/>
  <c r="AO575" i="3"/>
  <c r="AY573" i="3"/>
  <c r="BD572" i="3"/>
  <c r="BG572" i="3"/>
  <c r="BH572" i="3" s="1"/>
  <c r="BI572" i="3" s="1"/>
  <c r="BA573" i="3"/>
  <c r="AV573" i="3"/>
  <c r="AH575" i="3"/>
  <c r="AT574" i="3"/>
  <c r="AW574" i="3"/>
  <c r="Y575" i="3"/>
  <c r="Z575" i="3" s="1"/>
  <c r="AG575" i="3"/>
  <c r="AU575" i="3" s="1"/>
  <c r="AN575" i="3"/>
  <c r="X575" i="3"/>
  <c r="BQ572" i="3"/>
  <c r="BF572" i="3"/>
  <c r="BJ571" i="3" s="1"/>
  <c r="BK571" i="3" s="1"/>
  <c r="BB572" i="3"/>
  <c r="A577" i="3"/>
  <c r="AR576" i="3"/>
  <c r="B576" i="3"/>
  <c r="AQ576" i="3"/>
  <c r="D576" i="3"/>
  <c r="AM576" i="3"/>
  <c r="S576" i="3"/>
  <c r="Q576" i="3"/>
  <c r="AK576" i="3"/>
  <c r="C576" i="3"/>
  <c r="R576" i="3"/>
  <c r="AD576" i="3"/>
  <c r="P576" i="3"/>
  <c r="O576" i="3"/>
  <c r="AE576" i="3"/>
  <c r="AF576" i="3"/>
  <c r="V576" i="3"/>
  <c r="M576" i="3"/>
  <c r="U576" i="3"/>
  <c r="G576" i="3"/>
  <c r="H576" i="3" s="1"/>
  <c r="F576" i="3"/>
  <c r="T576" i="3"/>
  <c r="BC573" i="3" l="1"/>
  <c r="BD573" i="3" s="1"/>
  <c r="AO576" i="3"/>
  <c r="AY574" i="3"/>
  <c r="BM576" i="3"/>
  <c r="AG576" i="3"/>
  <c r="AT575" i="3"/>
  <c r="AW575" i="3"/>
  <c r="BF573" i="3"/>
  <c r="BJ572" i="3" s="1"/>
  <c r="BK572" i="3" s="1"/>
  <c r="BQ573" i="3"/>
  <c r="BB573" i="3"/>
  <c r="Y576" i="3"/>
  <c r="Z576" i="3" s="1"/>
  <c r="BN576" i="3"/>
  <c r="AH576" i="3"/>
  <c r="X576" i="3"/>
  <c r="AN576" i="3"/>
  <c r="AX575" i="3"/>
  <c r="AR577" i="3"/>
  <c r="A578" i="3"/>
  <c r="AQ577" i="3"/>
  <c r="B577" i="3"/>
  <c r="C577" i="3"/>
  <c r="AK577" i="3"/>
  <c r="T577" i="3"/>
  <c r="S577" i="3"/>
  <c r="D577" i="3"/>
  <c r="AM577" i="3"/>
  <c r="R577" i="3"/>
  <c r="Q577" i="3"/>
  <c r="AD577" i="3"/>
  <c r="P577" i="3"/>
  <c r="O577" i="3"/>
  <c r="M577" i="3"/>
  <c r="U577" i="3"/>
  <c r="AE577" i="3"/>
  <c r="AF577" i="3"/>
  <c r="V577" i="3"/>
  <c r="F577" i="3"/>
  <c r="G577" i="3"/>
  <c r="H577" i="3" s="1"/>
  <c r="BA574" i="3"/>
  <c r="AV574" i="3"/>
  <c r="BG573" i="3"/>
  <c r="BH573" i="3" s="1"/>
  <c r="BI573" i="3" s="1"/>
  <c r="BM577" i="3" l="1"/>
  <c r="AU576" i="3"/>
  <c r="AN577" i="3"/>
  <c r="BC574" i="3"/>
  <c r="BD574" i="3" s="1"/>
  <c r="BN577" i="3"/>
  <c r="AW576" i="3"/>
  <c r="AT576" i="3"/>
  <c r="BQ574" i="3"/>
  <c r="BB574" i="3"/>
  <c r="BF574" i="3"/>
  <c r="BJ573" i="3" s="1"/>
  <c r="BK573" i="3" s="1"/>
  <c r="AR578" i="3"/>
  <c r="AQ578" i="3"/>
  <c r="B578" i="3"/>
  <c r="A579" i="3"/>
  <c r="C578" i="3"/>
  <c r="D578" i="3"/>
  <c r="AM578" i="3"/>
  <c r="AK578" i="3"/>
  <c r="S578" i="3"/>
  <c r="AD578" i="3"/>
  <c r="P578" i="3"/>
  <c r="R578" i="3"/>
  <c r="Q578" i="3"/>
  <c r="O578" i="3"/>
  <c r="M578" i="3"/>
  <c r="AE578" i="3"/>
  <c r="AF578" i="3"/>
  <c r="U578" i="3"/>
  <c r="V578" i="3"/>
  <c r="G578" i="3"/>
  <c r="H578" i="3" s="1"/>
  <c r="F578" i="3"/>
  <c r="T578" i="3"/>
  <c r="BA575" i="3"/>
  <c r="AV575" i="3"/>
  <c r="AG577" i="3"/>
  <c r="AO577" i="3"/>
  <c r="Y577" i="3"/>
  <c r="Z577" i="3" s="1"/>
  <c r="AH577" i="3"/>
  <c r="X577" i="3"/>
  <c r="AX576" i="3"/>
  <c r="AY575" i="3"/>
  <c r="BM578" i="3" l="1"/>
  <c r="BN578" i="3"/>
  <c r="AV576" i="3"/>
  <c r="BG574" i="3"/>
  <c r="BH574" i="3" s="1"/>
  <c r="BI574" i="3" s="1"/>
  <c r="AU577" i="3"/>
  <c r="BA576" i="3"/>
  <c r="BB576" i="3" s="1"/>
  <c r="AT577" i="3"/>
  <c r="AN578" i="3"/>
  <c r="AH578" i="3"/>
  <c r="A580" i="3"/>
  <c r="AQ579" i="3"/>
  <c r="AR579" i="3"/>
  <c r="B579" i="3"/>
  <c r="C579" i="3"/>
  <c r="AK579" i="3"/>
  <c r="AM579" i="3"/>
  <c r="S579" i="3"/>
  <c r="D579" i="3"/>
  <c r="R579" i="3"/>
  <c r="Q579" i="3"/>
  <c r="AD579" i="3"/>
  <c r="T579" i="3"/>
  <c r="P579" i="3"/>
  <c r="M579" i="3"/>
  <c r="AE579" i="3"/>
  <c r="AF579" i="3"/>
  <c r="V579" i="3"/>
  <c r="O579" i="3"/>
  <c r="U579" i="3"/>
  <c r="F579" i="3"/>
  <c r="G579" i="3"/>
  <c r="H579" i="3" s="1"/>
  <c r="AY576" i="3"/>
  <c r="AX577" i="3"/>
  <c r="AW577" i="3"/>
  <c r="BC575" i="3"/>
  <c r="Y578" i="3"/>
  <c r="Z578" i="3" s="1"/>
  <c r="AG578" i="3"/>
  <c r="AO578" i="3"/>
  <c r="BF575" i="3"/>
  <c r="BJ574" i="3" s="1"/>
  <c r="BK574" i="3" s="1"/>
  <c r="BB575" i="3"/>
  <c r="BQ575" i="3"/>
  <c r="X578" i="3"/>
  <c r="BM579" i="3" l="1"/>
  <c r="BC576" i="3"/>
  <c r="BG576" i="3" s="1"/>
  <c r="BH576" i="3" s="1"/>
  <c r="BI576" i="3" s="1"/>
  <c r="BQ576" i="3"/>
  <c r="AV577" i="3"/>
  <c r="BF576" i="3"/>
  <c r="BJ575" i="3" s="1"/>
  <c r="BK575" i="3" s="1"/>
  <c r="AU578" i="3"/>
  <c r="AN579" i="3"/>
  <c r="AT578" i="3"/>
  <c r="AX578" i="3"/>
  <c r="AY577" i="3"/>
  <c r="BA577" i="3"/>
  <c r="BQ577" i="3" s="1"/>
  <c r="Y579" i="3"/>
  <c r="Z579" i="3" s="1"/>
  <c r="BD575" i="3"/>
  <c r="BG575" i="3"/>
  <c r="BH575" i="3" s="1"/>
  <c r="BI575" i="3" s="1"/>
  <c r="AW578" i="3"/>
  <c r="BN579" i="3"/>
  <c r="AG579" i="3"/>
  <c r="AH579" i="3"/>
  <c r="AO579" i="3"/>
  <c r="A581" i="3"/>
  <c r="AR580" i="3"/>
  <c r="B580" i="3"/>
  <c r="AQ580" i="3"/>
  <c r="C580" i="3"/>
  <c r="AK580" i="3"/>
  <c r="S580" i="3"/>
  <c r="AM580" i="3"/>
  <c r="D580" i="3"/>
  <c r="Q580" i="3"/>
  <c r="R580" i="3"/>
  <c r="AD580" i="3"/>
  <c r="T580" i="3"/>
  <c r="P580" i="3"/>
  <c r="M580" i="3"/>
  <c r="AF580" i="3"/>
  <c r="U580" i="3"/>
  <c r="V580" i="3"/>
  <c r="O580" i="3"/>
  <c r="AE580" i="3"/>
  <c r="F580" i="3"/>
  <c r="BM580" i="3" s="1"/>
  <c r="G580" i="3"/>
  <c r="H580" i="3" s="1"/>
  <c r="X579" i="3"/>
  <c r="BD576" i="3" l="1"/>
  <c r="AG580" i="3"/>
  <c r="AY578" i="3"/>
  <c r="BC577" i="3"/>
  <c r="BD577" i="3" s="1"/>
  <c r="AV578" i="3"/>
  <c r="AN580" i="3"/>
  <c r="BN580" i="3"/>
  <c r="BA578" i="3"/>
  <c r="BQ578" i="3" s="1"/>
  <c r="AU579" i="3"/>
  <c r="AX579" i="3"/>
  <c r="BB577" i="3"/>
  <c r="BF577" i="3"/>
  <c r="BJ576" i="3" s="1"/>
  <c r="BK576" i="3" s="1"/>
  <c r="AR581" i="3"/>
  <c r="A582" i="3"/>
  <c r="AQ581" i="3"/>
  <c r="B581" i="3"/>
  <c r="C581" i="3"/>
  <c r="D581" i="3"/>
  <c r="R581" i="3"/>
  <c r="Q581" i="3"/>
  <c r="AM581" i="3"/>
  <c r="AK581" i="3"/>
  <c r="S581" i="3"/>
  <c r="AD581" i="3"/>
  <c r="P581" i="3"/>
  <c r="M581" i="3"/>
  <c r="AE581" i="3"/>
  <c r="O581" i="3"/>
  <c r="AF581" i="3"/>
  <c r="U581" i="3"/>
  <c r="V581" i="3"/>
  <c r="G581" i="3"/>
  <c r="H581" i="3" s="1"/>
  <c r="F581" i="3"/>
  <c r="BM581" i="3" s="1"/>
  <c r="T581" i="3"/>
  <c r="Y580" i="3"/>
  <c r="Z580" i="3" s="1"/>
  <c r="X580" i="3"/>
  <c r="AT579" i="3"/>
  <c r="AW579" i="3"/>
  <c r="AH580" i="3"/>
  <c r="AO580" i="3"/>
  <c r="BC578" i="3" l="1"/>
  <c r="BD578" i="3" s="1"/>
  <c r="BN581" i="3"/>
  <c r="BG577" i="3"/>
  <c r="BH577" i="3" s="1"/>
  <c r="BI577" i="3" s="1"/>
  <c r="BF578" i="3"/>
  <c r="BJ577" i="3" s="1"/>
  <c r="BK577" i="3" s="1"/>
  <c r="BB578" i="3"/>
  <c r="AY579" i="3"/>
  <c r="AX580" i="3"/>
  <c r="AN581" i="3"/>
  <c r="AV579" i="3"/>
  <c r="BA579" i="3"/>
  <c r="AR582" i="3"/>
  <c r="AQ582" i="3"/>
  <c r="B582" i="3"/>
  <c r="A583" i="3"/>
  <c r="C582" i="3"/>
  <c r="D582" i="3"/>
  <c r="AM582" i="3"/>
  <c r="T582" i="3"/>
  <c r="AK582" i="3"/>
  <c r="S582" i="3"/>
  <c r="R582" i="3"/>
  <c r="Q582" i="3"/>
  <c r="AD582" i="3"/>
  <c r="P582" i="3"/>
  <c r="AE582" i="3"/>
  <c r="M582" i="3"/>
  <c r="O582" i="3"/>
  <c r="AF582" i="3"/>
  <c r="U582" i="3"/>
  <c r="V582" i="3"/>
  <c r="G582" i="3"/>
  <c r="H582" i="3" s="1"/>
  <c r="F582" i="3"/>
  <c r="AW580" i="3"/>
  <c r="Y581" i="3"/>
  <c r="Z581" i="3" s="1"/>
  <c r="AH581" i="3"/>
  <c r="AO581" i="3"/>
  <c r="AT580" i="3"/>
  <c r="AU580" i="3"/>
  <c r="AG581" i="3"/>
  <c r="X581" i="3"/>
  <c r="BG578" i="3" l="1"/>
  <c r="BH578" i="3" s="1"/>
  <c r="BI578" i="3" s="1"/>
  <c r="AY580" i="3"/>
  <c r="AO582" i="3"/>
  <c r="BN582" i="3"/>
  <c r="BM582" i="3"/>
  <c r="BC579" i="3"/>
  <c r="BG579" i="3" s="1"/>
  <c r="BH579" i="3" s="1"/>
  <c r="BI579" i="3" s="1"/>
  <c r="AW581" i="3"/>
  <c r="AX581" i="3"/>
  <c r="AG582" i="3"/>
  <c r="AH582" i="3"/>
  <c r="AN582" i="3"/>
  <c r="X582" i="3"/>
  <c r="AV580" i="3"/>
  <c r="BA580" i="3"/>
  <c r="Y582" i="3"/>
  <c r="Z582" i="3" s="1"/>
  <c r="A584" i="3"/>
  <c r="AQ583" i="3"/>
  <c r="AR583" i="3"/>
  <c r="B583" i="3"/>
  <c r="C583" i="3"/>
  <c r="D583" i="3"/>
  <c r="AK583" i="3"/>
  <c r="AM583" i="3"/>
  <c r="S583" i="3"/>
  <c r="R583" i="3"/>
  <c r="P583" i="3"/>
  <c r="Q583" i="3"/>
  <c r="AD583" i="3"/>
  <c r="O583" i="3"/>
  <c r="V583" i="3"/>
  <c r="AF583" i="3"/>
  <c r="AE583" i="3"/>
  <c r="M583" i="3"/>
  <c r="U583" i="3"/>
  <c r="G583" i="3"/>
  <c r="H583" i="3" s="1"/>
  <c r="F583" i="3"/>
  <c r="T583" i="3"/>
  <c r="BQ579" i="3"/>
  <c r="BF579" i="3"/>
  <c r="BJ578" i="3" s="1"/>
  <c r="BK578" i="3" s="1"/>
  <c r="BB579" i="3"/>
  <c r="AU581" i="3"/>
  <c r="AT581" i="3"/>
  <c r="BC580" i="3" l="1"/>
  <c r="BD580" i="3" s="1"/>
  <c r="BM583" i="3"/>
  <c r="BN583" i="3"/>
  <c r="BD579" i="3"/>
  <c r="AO583" i="3"/>
  <c r="AG583" i="3"/>
  <c r="AT582" i="3"/>
  <c r="AY581" i="3"/>
  <c r="AU582" i="3"/>
  <c r="Y583" i="3"/>
  <c r="Z583" i="3" s="1"/>
  <c r="AX582" i="3"/>
  <c r="BQ580" i="3"/>
  <c r="BB580" i="3"/>
  <c r="BF580" i="3"/>
  <c r="BJ579" i="3" s="1"/>
  <c r="BK579" i="3" s="1"/>
  <c r="AN583" i="3"/>
  <c r="AW582" i="3"/>
  <c r="AV581" i="3"/>
  <c r="BA581" i="3"/>
  <c r="A585" i="3"/>
  <c r="AR584" i="3"/>
  <c r="B584" i="3"/>
  <c r="AQ584" i="3"/>
  <c r="D584" i="3"/>
  <c r="AM584" i="3"/>
  <c r="AK584" i="3"/>
  <c r="R584" i="3"/>
  <c r="C584" i="3"/>
  <c r="S584" i="3"/>
  <c r="Q584" i="3"/>
  <c r="AD584" i="3"/>
  <c r="P584" i="3"/>
  <c r="O584" i="3"/>
  <c r="AE584" i="3"/>
  <c r="AF584" i="3"/>
  <c r="U584" i="3"/>
  <c r="V584" i="3"/>
  <c r="M584" i="3"/>
  <c r="F584" i="3"/>
  <c r="G584" i="3"/>
  <c r="H584" i="3" s="1"/>
  <c r="T584" i="3"/>
  <c r="BG580" i="3"/>
  <c r="BH580" i="3" s="1"/>
  <c r="BI580" i="3" s="1"/>
  <c r="AH583" i="3"/>
  <c r="X583" i="3"/>
  <c r="BC581" i="3" l="1"/>
  <c r="BD581" i="3" s="1"/>
  <c r="BN584" i="3"/>
  <c r="AV582" i="3"/>
  <c r="AY582" i="3"/>
  <c r="BM584" i="3"/>
  <c r="AX583" i="3"/>
  <c r="AN584" i="3"/>
  <c r="Y584" i="3"/>
  <c r="Z584" i="3" s="1"/>
  <c r="BB581" i="3"/>
  <c r="BF581" i="3"/>
  <c r="BJ580" i="3" s="1"/>
  <c r="BK580" i="3" s="1"/>
  <c r="BQ581" i="3"/>
  <c r="AT583" i="3"/>
  <c r="AH584" i="3"/>
  <c r="BA582" i="3"/>
  <c r="AR585" i="3"/>
  <c r="A586" i="3"/>
  <c r="AQ585" i="3"/>
  <c r="B585" i="3"/>
  <c r="D585" i="3"/>
  <c r="S585" i="3"/>
  <c r="C585" i="3"/>
  <c r="AM585" i="3"/>
  <c r="AK585" i="3"/>
  <c r="R585" i="3"/>
  <c r="Q585" i="3"/>
  <c r="AD585" i="3"/>
  <c r="P585" i="3"/>
  <c r="O585" i="3"/>
  <c r="AE585" i="3"/>
  <c r="M585" i="3"/>
  <c r="AF585" i="3"/>
  <c r="U585" i="3"/>
  <c r="V585" i="3"/>
  <c r="F585" i="3"/>
  <c r="G585" i="3"/>
  <c r="H585" i="3" s="1"/>
  <c r="T585" i="3"/>
  <c r="AW583" i="3"/>
  <c r="AG584" i="3"/>
  <c r="X584" i="3"/>
  <c r="AO584" i="3"/>
  <c r="AU583" i="3"/>
  <c r="BG581" i="3" l="1"/>
  <c r="BH581" i="3" s="1"/>
  <c r="BI581" i="3" s="1"/>
  <c r="BC582" i="3"/>
  <c r="BG582" i="3" s="1"/>
  <c r="BH582" i="3" s="1"/>
  <c r="BI582" i="3" s="1"/>
  <c r="BN585" i="3"/>
  <c r="AY583" i="3"/>
  <c r="BM585" i="3"/>
  <c r="AO585" i="3"/>
  <c r="AH585" i="3"/>
  <c r="AT584" i="3"/>
  <c r="AG585" i="3"/>
  <c r="X585" i="3"/>
  <c r="AX584" i="3"/>
  <c r="AR586" i="3"/>
  <c r="AQ586" i="3"/>
  <c r="B586" i="3"/>
  <c r="A587" i="3"/>
  <c r="D586" i="3"/>
  <c r="AK586" i="3"/>
  <c r="AM586" i="3"/>
  <c r="R586" i="3"/>
  <c r="C586" i="3"/>
  <c r="Q586" i="3"/>
  <c r="S586" i="3"/>
  <c r="AD586" i="3"/>
  <c r="P586" i="3"/>
  <c r="AE586" i="3"/>
  <c r="O586" i="3"/>
  <c r="M586" i="3"/>
  <c r="V586" i="3"/>
  <c r="AF586" i="3"/>
  <c r="U586" i="3"/>
  <c r="G586" i="3"/>
  <c r="H586" i="3" s="1"/>
  <c r="F586" i="3"/>
  <c r="BM586" i="3" s="1"/>
  <c r="T586" i="3"/>
  <c r="BB582" i="3"/>
  <c r="BQ582" i="3"/>
  <c r="BF582" i="3"/>
  <c r="BJ581" i="3" s="1"/>
  <c r="BK581" i="3" s="1"/>
  <c r="AV583" i="3"/>
  <c r="BA583" i="3"/>
  <c r="AW584" i="3"/>
  <c r="Y585" i="3"/>
  <c r="Z585" i="3" s="1"/>
  <c r="AN585" i="3"/>
  <c r="AU584" i="3"/>
  <c r="BD582" i="3" l="1"/>
  <c r="AT585" i="3"/>
  <c r="BC583" i="3"/>
  <c r="BD583" i="3" s="1"/>
  <c r="AU585" i="3"/>
  <c r="AH586" i="3"/>
  <c r="AV584" i="3"/>
  <c r="AN586" i="3"/>
  <c r="AX585" i="3"/>
  <c r="BA584" i="3"/>
  <c r="BQ584" i="3" s="1"/>
  <c r="BQ583" i="3"/>
  <c r="BF583" i="3"/>
  <c r="BJ582" i="3" s="1"/>
  <c r="BK582" i="3" s="1"/>
  <c r="BB583" i="3"/>
  <c r="A588" i="3"/>
  <c r="AQ587" i="3"/>
  <c r="AR587" i="3"/>
  <c r="B587" i="3"/>
  <c r="C587" i="3"/>
  <c r="D587" i="3"/>
  <c r="AK587" i="3"/>
  <c r="AM587" i="3"/>
  <c r="T587" i="3"/>
  <c r="R587" i="3"/>
  <c r="S587" i="3"/>
  <c r="Q587" i="3"/>
  <c r="AD587" i="3"/>
  <c r="O587" i="3"/>
  <c r="AF587" i="3"/>
  <c r="M587" i="3"/>
  <c r="U587" i="3"/>
  <c r="V587" i="3"/>
  <c r="P587" i="3"/>
  <c r="AE587" i="3"/>
  <c r="G587" i="3"/>
  <c r="H587" i="3" s="1"/>
  <c r="F587" i="3"/>
  <c r="X586" i="3"/>
  <c r="Y586" i="3"/>
  <c r="Z586" i="3" s="1"/>
  <c r="BN586" i="3"/>
  <c r="AG586" i="3"/>
  <c r="AO586" i="3"/>
  <c r="AY584" i="3"/>
  <c r="AW585" i="3"/>
  <c r="AV585" i="3" l="1"/>
  <c r="AY585" i="3"/>
  <c r="BG583" i="3"/>
  <c r="BH583" i="3" s="1"/>
  <c r="BI583" i="3" s="1"/>
  <c r="AW586" i="3"/>
  <c r="AN587" i="3"/>
  <c r="BC584" i="3"/>
  <c r="BD584" i="3" s="1"/>
  <c r="BM587" i="3"/>
  <c r="AU586" i="3"/>
  <c r="AG587" i="3"/>
  <c r="BF584" i="3"/>
  <c r="BJ583" i="3" s="1"/>
  <c r="BK583" i="3" s="1"/>
  <c r="BB584" i="3"/>
  <c r="Y587" i="3"/>
  <c r="Z587" i="3" s="1"/>
  <c r="A589" i="3"/>
  <c r="AR588" i="3"/>
  <c r="B588" i="3"/>
  <c r="AQ588" i="3"/>
  <c r="C588" i="3"/>
  <c r="D588" i="3"/>
  <c r="S588" i="3"/>
  <c r="AM588" i="3"/>
  <c r="AK588" i="3"/>
  <c r="Q588" i="3"/>
  <c r="P588" i="3"/>
  <c r="R588" i="3"/>
  <c r="AD588" i="3"/>
  <c r="O588" i="3"/>
  <c r="AE588" i="3"/>
  <c r="M588" i="3"/>
  <c r="U588" i="3"/>
  <c r="AF588" i="3"/>
  <c r="V588" i="3"/>
  <c r="G588" i="3"/>
  <c r="H588" i="3" s="1"/>
  <c r="BN588" i="3" s="1"/>
  <c r="F588" i="3"/>
  <c r="BM588" i="3" s="1"/>
  <c r="T588" i="3"/>
  <c r="BA585" i="3"/>
  <c r="AX586" i="3"/>
  <c r="AT586" i="3"/>
  <c r="BN587" i="3"/>
  <c r="AH587" i="3"/>
  <c r="AO587" i="3"/>
  <c r="X587" i="3"/>
  <c r="BC585" i="3" l="1"/>
  <c r="BD585" i="3" s="1"/>
  <c r="BG584" i="3"/>
  <c r="BH584" i="3" s="1"/>
  <c r="BI584" i="3" s="1"/>
  <c r="AY586" i="3"/>
  <c r="AN588" i="3"/>
  <c r="AX587" i="3"/>
  <c r="BB585" i="3"/>
  <c r="BF585" i="3"/>
  <c r="BJ584" i="3" s="1"/>
  <c r="BK584" i="3" s="1"/>
  <c r="BQ585" i="3"/>
  <c r="AR589" i="3"/>
  <c r="A590" i="3"/>
  <c r="AQ589" i="3"/>
  <c r="B589" i="3"/>
  <c r="C589" i="3"/>
  <c r="AM589" i="3"/>
  <c r="AK589" i="3"/>
  <c r="S589" i="3"/>
  <c r="Q589" i="3"/>
  <c r="D589" i="3"/>
  <c r="T589" i="3"/>
  <c r="R589" i="3"/>
  <c r="AD589" i="3"/>
  <c r="P589" i="3"/>
  <c r="O589" i="3"/>
  <c r="AE589" i="3"/>
  <c r="AF589" i="3"/>
  <c r="V589" i="3"/>
  <c r="M589" i="3"/>
  <c r="U589" i="3"/>
  <c r="G589" i="3"/>
  <c r="H589" i="3" s="1"/>
  <c r="F589" i="3"/>
  <c r="AW587" i="3"/>
  <c r="Y588" i="3"/>
  <c r="Z588" i="3" s="1"/>
  <c r="AT587" i="3"/>
  <c r="AU587" i="3"/>
  <c r="AG588" i="3"/>
  <c r="AH588" i="3"/>
  <c r="AO588" i="3"/>
  <c r="X588" i="3"/>
  <c r="AV586" i="3"/>
  <c r="BA586" i="3"/>
  <c r="AY587" i="3" l="1"/>
  <c r="BG585" i="3"/>
  <c r="BH585" i="3" s="1"/>
  <c r="BI585" i="3" s="1"/>
  <c r="BM589" i="3"/>
  <c r="BC586" i="3"/>
  <c r="BD586" i="3" s="1"/>
  <c r="AN589" i="3"/>
  <c r="AU588" i="3"/>
  <c r="AX588" i="3"/>
  <c r="AG589" i="3"/>
  <c r="AV587" i="3"/>
  <c r="BC587" i="3" s="1"/>
  <c r="BA587" i="3"/>
  <c r="AT588" i="3"/>
  <c r="AW588" i="3"/>
  <c r="BN589" i="3"/>
  <c r="AH589" i="3"/>
  <c r="AO589" i="3"/>
  <c r="X589" i="3"/>
  <c r="BQ586" i="3"/>
  <c r="BF586" i="3"/>
  <c r="BJ585" i="3" s="1"/>
  <c r="BK585" i="3" s="1"/>
  <c r="BB586" i="3"/>
  <c r="Y589" i="3"/>
  <c r="Z589" i="3" s="1"/>
  <c r="AR590" i="3"/>
  <c r="AQ590" i="3"/>
  <c r="B590" i="3"/>
  <c r="A591" i="3"/>
  <c r="D590" i="3"/>
  <c r="C590" i="3"/>
  <c r="AK590" i="3"/>
  <c r="AM590" i="3"/>
  <c r="S590" i="3"/>
  <c r="R590" i="3"/>
  <c r="Q590" i="3"/>
  <c r="T590" i="3"/>
  <c r="AD590" i="3"/>
  <c r="P590" i="3"/>
  <c r="O590" i="3"/>
  <c r="M590" i="3"/>
  <c r="V590" i="3"/>
  <c r="AE590" i="3"/>
  <c r="AF590" i="3"/>
  <c r="U590" i="3"/>
  <c r="F590" i="3"/>
  <c r="G590" i="3"/>
  <c r="H590" i="3" s="1"/>
  <c r="BG586" i="3" l="1"/>
  <c r="BH586" i="3" s="1"/>
  <c r="BI586" i="3" s="1"/>
  <c r="AN590" i="3"/>
  <c r="BN590" i="3"/>
  <c r="AU589" i="3"/>
  <c r="AW589" i="3"/>
  <c r="AY588" i="3"/>
  <c r="AT589" i="3"/>
  <c r="AG590" i="3"/>
  <c r="A592" i="3"/>
  <c r="AQ591" i="3"/>
  <c r="AR591" i="3"/>
  <c r="B591" i="3"/>
  <c r="C591" i="3"/>
  <c r="T591" i="3"/>
  <c r="D591" i="3"/>
  <c r="AM591" i="3"/>
  <c r="AK591" i="3"/>
  <c r="S591" i="3"/>
  <c r="R591" i="3"/>
  <c r="Q591" i="3"/>
  <c r="AD591" i="3"/>
  <c r="AE591" i="3"/>
  <c r="P591" i="3"/>
  <c r="O591" i="3"/>
  <c r="AF591" i="3"/>
  <c r="V591" i="3"/>
  <c r="U591" i="3"/>
  <c r="M591" i="3"/>
  <c r="F591" i="3"/>
  <c r="G591" i="3"/>
  <c r="H591" i="3" s="1"/>
  <c r="Y590" i="3"/>
  <c r="Z590" i="3" s="1"/>
  <c r="BD587" i="3"/>
  <c r="BG587" i="3"/>
  <c r="BH587" i="3" s="1"/>
  <c r="BI587" i="3" s="1"/>
  <c r="AV588" i="3"/>
  <c r="BA588" i="3"/>
  <c r="X590" i="3"/>
  <c r="BM590" i="3"/>
  <c r="AH590" i="3"/>
  <c r="AO590" i="3"/>
  <c r="AX589" i="3"/>
  <c r="BB587" i="3"/>
  <c r="BQ587" i="3"/>
  <c r="BF587" i="3"/>
  <c r="BJ586" i="3" s="1"/>
  <c r="BK586" i="3" s="1"/>
  <c r="BM591" i="3" l="1"/>
  <c r="AU590" i="3"/>
  <c r="BC588" i="3"/>
  <c r="BD588" i="3" s="1"/>
  <c r="AV589" i="3"/>
  <c r="BN591" i="3"/>
  <c r="AY589" i="3"/>
  <c r="AW590" i="3"/>
  <c r="AT590" i="3"/>
  <c r="AV590" i="3" s="1"/>
  <c r="AH591" i="3"/>
  <c r="AO591" i="3"/>
  <c r="BF588" i="3"/>
  <c r="BJ587" i="3" s="1"/>
  <c r="BK587" i="3" s="1"/>
  <c r="BB588" i="3"/>
  <c r="BQ588" i="3"/>
  <c r="AX590" i="3"/>
  <c r="BA589" i="3"/>
  <c r="AG591" i="3"/>
  <c r="AN591" i="3"/>
  <c r="Y591" i="3"/>
  <c r="Z591" i="3" s="1"/>
  <c r="A593" i="3"/>
  <c r="AR592" i="3"/>
  <c r="B592" i="3"/>
  <c r="AQ592" i="3"/>
  <c r="D592" i="3"/>
  <c r="C592" i="3"/>
  <c r="AK592" i="3"/>
  <c r="T592" i="3"/>
  <c r="S592" i="3"/>
  <c r="AM592" i="3"/>
  <c r="Q592" i="3"/>
  <c r="R592" i="3"/>
  <c r="AD592" i="3"/>
  <c r="O592" i="3"/>
  <c r="M592" i="3"/>
  <c r="AE592" i="3"/>
  <c r="AF592" i="3"/>
  <c r="U592" i="3"/>
  <c r="P592" i="3"/>
  <c r="V592" i="3"/>
  <c r="G592" i="3"/>
  <c r="H592" i="3" s="1"/>
  <c r="F592" i="3"/>
  <c r="BM592" i="3" s="1"/>
  <c r="X591" i="3"/>
  <c r="BN592" i="3" l="1"/>
  <c r="BG588" i="3"/>
  <c r="BH588" i="3" s="1"/>
  <c r="BI588" i="3" s="1"/>
  <c r="BC589" i="3"/>
  <c r="BD589" i="3" s="1"/>
  <c r="AU591" i="3"/>
  <c r="BA590" i="3"/>
  <c r="BF590" i="3" s="1"/>
  <c r="AX591" i="3"/>
  <c r="AT591" i="3"/>
  <c r="AO592" i="3"/>
  <c r="AY590" i="3"/>
  <c r="BC590" i="3" s="1"/>
  <c r="AG592" i="3"/>
  <c r="AN592" i="3"/>
  <c r="X592" i="3"/>
  <c r="AW591" i="3"/>
  <c r="Y592" i="3"/>
  <c r="Z592" i="3" s="1"/>
  <c r="AR593" i="3"/>
  <c r="A594" i="3"/>
  <c r="AQ593" i="3"/>
  <c r="B593" i="3"/>
  <c r="D593" i="3"/>
  <c r="AK593" i="3"/>
  <c r="R593" i="3"/>
  <c r="AM593" i="3"/>
  <c r="C593" i="3"/>
  <c r="Q593" i="3"/>
  <c r="P593" i="3"/>
  <c r="S593" i="3"/>
  <c r="AD593" i="3"/>
  <c r="O593" i="3"/>
  <c r="AF593" i="3"/>
  <c r="V593" i="3"/>
  <c r="AE593" i="3"/>
  <c r="M593" i="3"/>
  <c r="U593" i="3"/>
  <c r="F593" i="3"/>
  <c r="G593" i="3"/>
  <c r="H593" i="3" s="1"/>
  <c r="T593" i="3"/>
  <c r="BQ589" i="3"/>
  <c r="BF589" i="3"/>
  <c r="BJ588" i="3" s="1"/>
  <c r="BK588" i="3" s="1"/>
  <c r="BB589" i="3"/>
  <c r="AH592" i="3"/>
  <c r="AN593" i="3" l="1"/>
  <c r="BN593" i="3"/>
  <c r="BG589" i="3"/>
  <c r="BH589" i="3" s="1"/>
  <c r="BI589" i="3" s="1"/>
  <c r="AG593" i="3"/>
  <c r="BB590" i="3"/>
  <c r="AV591" i="3"/>
  <c r="BJ589" i="3"/>
  <c r="BK589" i="3" s="1"/>
  <c r="BQ590" i="3"/>
  <c r="AY591" i="3"/>
  <c r="AX592" i="3"/>
  <c r="AR594" i="3"/>
  <c r="AQ594" i="3"/>
  <c r="B594" i="3"/>
  <c r="A595" i="3"/>
  <c r="C594" i="3"/>
  <c r="D594" i="3"/>
  <c r="AK594" i="3"/>
  <c r="AM594" i="3"/>
  <c r="S594" i="3"/>
  <c r="AD594" i="3"/>
  <c r="T594" i="3"/>
  <c r="P594" i="3"/>
  <c r="AE594" i="3"/>
  <c r="M594" i="3"/>
  <c r="V594" i="3"/>
  <c r="O594" i="3"/>
  <c r="AF594" i="3"/>
  <c r="U594" i="3"/>
  <c r="R594" i="3"/>
  <c r="Q594" i="3"/>
  <c r="G594" i="3"/>
  <c r="H594" i="3" s="1"/>
  <c r="F594" i="3"/>
  <c r="BD590" i="3"/>
  <c r="BG590" i="3"/>
  <c r="BH590" i="3" s="1"/>
  <c r="BI590" i="3" s="1"/>
  <c r="AH593" i="3"/>
  <c r="Y593" i="3"/>
  <c r="Z593" i="3" s="1"/>
  <c r="BM593" i="3"/>
  <c r="AO593" i="3"/>
  <c r="AT592" i="3"/>
  <c r="AW592" i="3"/>
  <c r="X593" i="3"/>
  <c r="AU592" i="3"/>
  <c r="BA591" i="3"/>
  <c r="AU593" i="3" l="1"/>
  <c r="BM594" i="3"/>
  <c r="AV592" i="3"/>
  <c r="BC591" i="3"/>
  <c r="BG591" i="3" s="1"/>
  <c r="BH591" i="3" s="1"/>
  <c r="BI591" i="3" s="1"/>
  <c r="AW593" i="3"/>
  <c r="AN594" i="3"/>
  <c r="BA592" i="3"/>
  <c r="AY592" i="3"/>
  <c r="BB591" i="3"/>
  <c r="BF591" i="3"/>
  <c r="BJ590" i="3" s="1"/>
  <c r="BK590" i="3" s="1"/>
  <c r="BQ591" i="3"/>
  <c r="AT593" i="3"/>
  <c r="AX593" i="3"/>
  <c r="BN594" i="3"/>
  <c r="AH594" i="3"/>
  <c r="AG594" i="3"/>
  <c r="AO594" i="3"/>
  <c r="X594" i="3"/>
  <c r="Y594" i="3"/>
  <c r="Z594" i="3" s="1"/>
  <c r="A596" i="3"/>
  <c r="AQ595" i="3"/>
  <c r="AR595" i="3"/>
  <c r="B595" i="3"/>
  <c r="D595" i="3"/>
  <c r="AM595" i="3"/>
  <c r="C595" i="3"/>
  <c r="AK595" i="3"/>
  <c r="S595" i="3"/>
  <c r="Q595" i="3"/>
  <c r="R595" i="3"/>
  <c r="P595" i="3"/>
  <c r="AD595" i="3"/>
  <c r="M595" i="3"/>
  <c r="AE595" i="3"/>
  <c r="U595" i="3"/>
  <c r="O595" i="3"/>
  <c r="AF595" i="3"/>
  <c r="V595" i="3"/>
  <c r="G595" i="3"/>
  <c r="H595" i="3" s="1"/>
  <c r="F595" i="3"/>
  <c r="T595" i="3"/>
  <c r="BD591" i="3" l="1"/>
  <c r="BM595" i="3"/>
  <c r="BC592" i="3"/>
  <c r="BG592" i="3" s="1"/>
  <c r="BH592" i="3" s="1"/>
  <c r="BI592" i="3" s="1"/>
  <c r="BN595" i="3"/>
  <c r="AY593" i="3"/>
  <c r="AO595" i="3"/>
  <c r="AT594" i="3"/>
  <c r="AU594" i="3"/>
  <c r="A597" i="3"/>
  <c r="AR596" i="3"/>
  <c r="B596" i="3"/>
  <c r="AQ596" i="3"/>
  <c r="D596" i="3"/>
  <c r="C596" i="3"/>
  <c r="S596" i="3"/>
  <c r="AK596" i="3"/>
  <c r="AM596" i="3"/>
  <c r="Q596" i="3"/>
  <c r="AD596" i="3"/>
  <c r="P596" i="3"/>
  <c r="R596" i="3"/>
  <c r="O596" i="3"/>
  <c r="M596" i="3"/>
  <c r="U596" i="3"/>
  <c r="AE596" i="3"/>
  <c r="AF596" i="3"/>
  <c r="V596" i="3"/>
  <c r="G596" i="3"/>
  <c r="H596" i="3" s="1"/>
  <c r="F596" i="3"/>
  <c r="T596" i="3"/>
  <c r="AV593" i="3"/>
  <c r="BA593" i="3"/>
  <c r="AN595" i="3"/>
  <c r="AG595" i="3"/>
  <c r="AH595" i="3"/>
  <c r="X595" i="3"/>
  <c r="AW594" i="3"/>
  <c r="BQ592" i="3"/>
  <c r="BB592" i="3"/>
  <c r="BF592" i="3"/>
  <c r="BJ591" i="3" s="1"/>
  <c r="BK591" i="3" s="1"/>
  <c r="Y595" i="3"/>
  <c r="Z595" i="3" s="1"/>
  <c r="AX594" i="3"/>
  <c r="BC593" i="3" l="1"/>
  <c r="BD593" i="3" s="1"/>
  <c r="BD592" i="3"/>
  <c r="BM596" i="3"/>
  <c r="AG596" i="3"/>
  <c r="AV594" i="3"/>
  <c r="AU595" i="3"/>
  <c r="AX595" i="3"/>
  <c r="AN596" i="3"/>
  <c r="AY594" i="3"/>
  <c r="BB593" i="3"/>
  <c r="BF593" i="3"/>
  <c r="BJ592" i="3" s="1"/>
  <c r="BK592" i="3" s="1"/>
  <c r="BQ593" i="3"/>
  <c r="AW595" i="3"/>
  <c r="BA594" i="3"/>
  <c r="AT595" i="3"/>
  <c r="Y596" i="3"/>
  <c r="Z596" i="3" s="1"/>
  <c r="BN596" i="3"/>
  <c r="AH596" i="3"/>
  <c r="AO596" i="3"/>
  <c r="X596" i="3"/>
  <c r="AR597" i="3"/>
  <c r="A598" i="3"/>
  <c r="AQ597" i="3"/>
  <c r="B597" i="3"/>
  <c r="C597" i="3"/>
  <c r="AK597" i="3"/>
  <c r="AM597" i="3"/>
  <c r="T597" i="3"/>
  <c r="D597" i="3"/>
  <c r="R597" i="3"/>
  <c r="S597" i="3"/>
  <c r="AD597" i="3"/>
  <c r="O597" i="3"/>
  <c r="AE597" i="3"/>
  <c r="M597" i="3"/>
  <c r="AF597" i="3"/>
  <c r="V597" i="3"/>
  <c r="U597" i="3"/>
  <c r="P597" i="3"/>
  <c r="Q597" i="3"/>
  <c r="G597" i="3"/>
  <c r="H597" i="3" s="1"/>
  <c r="F597" i="3"/>
  <c r="BG593" i="3" l="1"/>
  <c r="BH593" i="3" s="1"/>
  <c r="BI593" i="3" s="1"/>
  <c r="BC594" i="3"/>
  <c r="BG594" i="3" s="1"/>
  <c r="BH594" i="3" s="1"/>
  <c r="BI594" i="3" s="1"/>
  <c r="AY595" i="3"/>
  <c r="BN597" i="3"/>
  <c r="BM597" i="3"/>
  <c r="AV595" i="3"/>
  <c r="AO597" i="3"/>
  <c r="AX596" i="3"/>
  <c r="AT596" i="3"/>
  <c r="BD594" i="3"/>
  <c r="BA595" i="3"/>
  <c r="BF595" i="3" s="1"/>
  <c r="Y597" i="3"/>
  <c r="Z597" i="3" s="1"/>
  <c r="AN597" i="3"/>
  <c r="X597" i="3"/>
  <c r="AU596" i="3"/>
  <c r="AR598" i="3"/>
  <c r="AQ598" i="3"/>
  <c r="B598" i="3"/>
  <c r="A599" i="3"/>
  <c r="C598" i="3"/>
  <c r="S598" i="3"/>
  <c r="Q598" i="3"/>
  <c r="D598" i="3"/>
  <c r="AM598" i="3"/>
  <c r="AK598" i="3"/>
  <c r="R598" i="3"/>
  <c r="AD598" i="3"/>
  <c r="P598" i="3"/>
  <c r="O598" i="3"/>
  <c r="M598" i="3"/>
  <c r="AE598" i="3"/>
  <c r="AF598" i="3"/>
  <c r="U598" i="3"/>
  <c r="V598" i="3"/>
  <c r="F598" i="3"/>
  <c r="G598" i="3"/>
  <c r="H598" i="3" s="1"/>
  <c r="T598" i="3"/>
  <c r="BQ594" i="3"/>
  <c r="BF594" i="3"/>
  <c r="BJ593" i="3" s="1"/>
  <c r="BK593" i="3" s="1"/>
  <c r="BB594" i="3"/>
  <c r="AG597" i="3"/>
  <c r="AH597" i="3"/>
  <c r="AW596" i="3"/>
  <c r="BC595" i="3" l="1"/>
  <c r="BN598" i="3"/>
  <c r="AV596" i="3"/>
  <c r="AN598" i="3"/>
  <c r="AX597" i="3"/>
  <c r="BB595" i="3"/>
  <c r="BQ595" i="3"/>
  <c r="A600" i="3"/>
  <c r="AQ599" i="3"/>
  <c r="AR599" i="3"/>
  <c r="B599" i="3"/>
  <c r="C599" i="3"/>
  <c r="D599" i="3"/>
  <c r="AM599" i="3"/>
  <c r="AK599" i="3"/>
  <c r="T599" i="3"/>
  <c r="S599" i="3"/>
  <c r="Q599" i="3"/>
  <c r="AD599" i="3"/>
  <c r="R599" i="3"/>
  <c r="P599" i="3"/>
  <c r="M599" i="3"/>
  <c r="AF599" i="3"/>
  <c r="AE599" i="3"/>
  <c r="U599" i="3"/>
  <c r="O599" i="3"/>
  <c r="V599" i="3"/>
  <c r="G599" i="3"/>
  <c r="H599" i="3" s="1"/>
  <c r="F599" i="3"/>
  <c r="BD595" i="3"/>
  <c r="BG595" i="3"/>
  <c r="BH595" i="3" s="1"/>
  <c r="BI595" i="3" s="1"/>
  <c r="AW597" i="3"/>
  <c r="Y598" i="3"/>
  <c r="Z598" i="3" s="1"/>
  <c r="BM598" i="3"/>
  <c r="AG598" i="3"/>
  <c r="AH598" i="3"/>
  <c r="AO598" i="3"/>
  <c r="AT597" i="3"/>
  <c r="BJ594" i="3"/>
  <c r="BK594" i="3" s="1"/>
  <c r="BA596" i="3"/>
  <c r="AY596" i="3"/>
  <c r="X598" i="3"/>
  <c r="AU597" i="3"/>
  <c r="BC596" i="3" l="1"/>
  <c r="BM599" i="3"/>
  <c r="AV597" i="3"/>
  <c r="AT598" i="3"/>
  <c r="AU598" i="3"/>
  <c r="AO599" i="3"/>
  <c r="BF596" i="3"/>
  <c r="BJ595" i="3" s="1"/>
  <c r="BK595" i="3" s="1"/>
  <c r="BQ596" i="3"/>
  <c r="BB596" i="3"/>
  <c r="BA597" i="3"/>
  <c r="AY597" i="3"/>
  <c r="A601" i="3"/>
  <c r="AR600" i="3"/>
  <c r="B600" i="3"/>
  <c r="AQ600" i="3"/>
  <c r="D600" i="3"/>
  <c r="C600" i="3"/>
  <c r="S600" i="3"/>
  <c r="AK600" i="3"/>
  <c r="AM600" i="3"/>
  <c r="T600" i="3"/>
  <c r="R600" i="3"/>
  <c r="P600" i="3"/>
  <c r="AD600" i="3"/>
  <c r="O600" i="3"/>
  <c r="M600" i="3"/>
  <c r="U600" i="3"/>
  <c r="AE600" i="3"/>
  <c r="AF600" i="3"/>
  <c r="V600" i="3"/>
  <c r="Q600" i="3"/>
  <c r="G600" i="3"/>
  <c r="H600" i="3" s="1"/>
  <c r="F600" i="3"/>
  <c r="BM600" i="3" s="1"/>
  <c r="AX598" i="3"/>
  <c r="BN599" i="3"/>
  <c r="AG599" i="3"/>
  <c r="AN599" i="3"/>
  <c r="X599" i="3"/>
  <c r="BD596" i="3"/>
  <c r="BG596" i="3"/>
  <c r="BH596" i="3" s="1"/>
  <c r="BI596" i="3" s="1"/>
  <c r="Y599" i="3"/>
  <c r="Z599" i="3" s="1"/>
  <c r="AW598" i="3"/>
  <c r="AH599" i="3"/>
  <c r="BN600" i="3" l="1"/>
  <c r="BC597" i="3"/>
  <c r="BG597" i="3" s="1"/>
  <c r="BH597" i="3" s="1"/>
  <c r="BI597" i="3" s="1"/>
  <c r="AY598" i="3"/>
  <c r="AG600" i="3"/>
  <c r="AV598" i="3"/>
  <c r="AN600" i="3"/>
  <c r="AU599" i="3"/>
  <c r="BD597" i="3"/>
  <c r="AX599" i="3"/>
  <c r="AT599" i="3"/>
  <c r="AW599" i="3"/>
  <c r="AH600" i="3"/>
  <c r="AO600" i="3"/>
  <c r="X600" i="3"/>
  <c r="Y600" i="3"/>
  <c r="Z600" i="3" s="1"/>
  <c r="AR601" i="3"/>
  <c r="A602" i="3"/>
  <c r="AQ601" i="3"/>
  <c r="B601" i="3"/>
  <c r="D601" i="3"/>
  <c r="AM601" i="3"/>
  <c r="T601" i="3"/>
  <c r="C601" i="3"/>
  <c r="AK601" i="3"/>
  <c r="P601" i="3"/>
  <c r="S601" i="3"/>
  <c r="Q601" i="3"/>
  <c r="AD601" i="3"/>
  <c r="O601" i="3"/>
  <c r="M601" i="3"/>
  <c r="V601" i="3"/>
  <c r="AF601" i="3"/>
  <c r="AE601" i="3"/>
  <c r="U601" i="3"/>
  <c r="R601" i="3"/>
  <c r="F601" i="3"/>
  <c r="G601" i="3"/>
  <c r="H601" i="3" s="1"/>
  <c r="BF597" i="3"/>
  <c r="BJ596" i="3" s="1"/>
  <c r="BK596" i="3" s="1"/>
  <c r="BQ597" i="3"/>
  <c r="BB597" i="3"/>
  <c r="BA598" i="3"/>
  <c r="BC598" i="3" l="1"/>
  <c r="BD598" i="3" s="1"/>
  <c r="AY599" i="3"/>
  <c r="BM601" i="3"/>
  <c r="BN601" i="3"/>
  <c r="AU600" i="3"/>
  <c r="AO601" i="3"/>
  <c r="AT600" i="3"/>
  <c r="BQ598" i="3"/>
  <c r="BF598" i="3"/>
  <c r="BB598" i="3"/>
  <c r="AR602" i="3"/>
  <c r="AQ602" i="3"/>
  <c r="B602" i="3"/>
  <c r="A603" i="3"/>
  <c r="C602" i="3"/>
  <c r="AK602" i="3"/>
  <c r="AM602" i="3"/>
  <c r="T602" i="3"/>
  <c r="S602" i="3"/>
  <c r="Q602" i="3"/>
  <c r="D602" i="3"/>
  <c r="R602" i="3"/>
  <c r="AD602" i="3"/>
  <c r="O602" i="3"/>
  <c r="M602" i="3"/>
  <c r="AF602" i="3"/>
  <c r="P602" i="3"/>
  <c r="AE602" i="3"/>
  <c r="V602" i="3"/>
  <c r="U602" i="3"/>
  <c r="G602" i="3"/>
  <c r="H602" i="3" s="1"/>
  <c r="BN602" i="3" s="1"/>
  <c r="F602" i="3"/>
  <c r="AV599" i="3"/>
  <c r="BA599" i="3"/>
  <c r="AG601" i="3"/>
  <c r="X601" i="3"/>
  <c r="AN601" i="3"/>
  <c r="AX600" i="3"/>
  <c r="AW600" i="3"/>
  <c r="Y601" i="3"/>
  <c r="Z601" i="3" s="1"/>
  <c r="AH601" i="3"/>
  <c r="AV600" i="3" l="1"/>
  <c r="BG598" i="3"/>
  <c r="BH598" i="3" s="1"/>
  <c r="BI598" i="3" s="1"/>
  <c r="BC599" i="3"/>
  <c r="BD599" i="3" s="1"/>
  <c r="AN602" i="3"/>
  <c r="AH602" i="3"/>
  <c r="AX601" i="3"/>
  <c r="BA600" i="3"/>
  <c r="BQ600" i="3" s="1"/>
  <c r="BB599" i="3"/>
  <c r="BF599" i="3"/>
  <c r="BJ598" i="3" s="1"/>
  <c r="BK598" i="3" s="1"/>
  <c r="BQ599" i="3"/>
  <c r="A604" i="3"/>
  <c r="AQ603" i="3"/>
  <c r="AR603" i="3"/>
  <c r="B603" i="3"/>
  <c r="D603" i="3"/>
  <c r="C603" i="3"/>
  <c r="S603" i="3"/>
  <c r="AM603" i="3"/>
  <c r="AK603" i="3"/>
  <c r="Q603" i="3"/>
  <c r="R603" i="3"/>
  <c r="AD603" i="3"/>
  <c r="P603" i="3"/>
  <c r="O603" i="3"/>
  <c r="M603" i="3"/>
  <c r="AF603" i="3"/>
  <c r="AE603" i="3"/>
  <c r="U603" i="3"/>
  <c r="V603" i="3"/>
  <c r="G603" i="3"/>
  <c r="H603" i="3" s="1"/>
  <c r="F603" i="3"/>
  <c r="T603" i="3"/>
  <c r="AT601" i="3"/>
  <c r="AY600" i="3"/>
  <c r="BM602" i="3"/>
  <c r="AG602" i="3"/>
  <c r="AO602" i="3"/>
  <c r="AU601" i="3"/>
  <c r="AW601" i="3"/>
  <c r="Y602" i="3"/>
  <c r="Z602" i="3" s="1"/>
  <c r="BJ597" i="3"/>
  <c r="BK597" i="3" s="1"/>
  <c r="X602" i="3"/>
  <c r="BC600" i="3" l="1"/>
  <c r="BG600" i="3" s="1"/>
  <c r="BH600" i="3" s="1"/>
  <c r="BI600" i="3" s="1"/>
  <c r="BG599" i="3"/>
  <c r="BH599" i="3" s="1"/>
  <c r="BI599" i="3" s="1"/>
  <c r="BN603" i="3"/>
  <c r="BM603" i="3"/>
  <c r="AW602" i="3"/>
  <c r="AN603" i="3"/>
  <c r="AO603" i="3"/>
  <c r="AT602" i="3"/>
  <c r="AY601" i="3"/>
  <c r="AU602" i="3"/>
  <c r="AG603" i="3"/>
  <c r="BB600" i="3"/>
  <c r="Y603" i="3"/>
  <c r="Z603" i="3" s="1"/>
  <c r="BF600" i="3"/>
  <c r="BJ599" i="3" s="1"/>
  <c r="BK599" i="3" s="1"/>
  <c r="BD600" i="3"/>
  <c r="A605" i="3"/>
  <c r="AR604" i="3"/>
  <c r="B604" i="3"/>
  <c r="AQ604" i="3"/>
  <c r="D604" i="3"/>
  <c r="AM604" i="3"/>
  <c r="AK604" i="3"/>
  <c r="C604" i="3"/>
  <c r="T604" i="3"/>
  <c r="S604" i="3"/>
  <c r="Q604" i="3"/>
  <c r="AD604" i="3"/>
  <c r="P604" i="3"/>
  <c r="AE604" i="3"/>
  <c r="M604" i="3"/>
  <c r="AF604" i="3"/>
  <c r="U604" i="3"/>
  <c r="V604" i="3"/>
  <c r="O604" i="3"/>
  <c r="R604" i="3"/>
  <c r="F604" i="3"/>
  <c r="G604" i="3"/>
  <c r="H604" i="3" s="1"/>
  <c r="AX602" i="3"/>
  <c r="BA601" i="3"/>
  <c r="AV601" i="3"/>
  <c r="AH603" i="3"/>
  <c r="X603" i="3"/>
  <c r="BN604" i="3" l="1"/>
  <c r="AX603" i="3"/>
  <c r="AV602" i="3"/>
  <c r="BC601" i="3"/>
  <c r="BG601" i="3" s="1"/>
  <c r="BH601" i="3" s="1"/>
  <c r="BI601" i="3" s="1"/>
  <c r="BA602" i="3"/>
  <c r="BQ602" i="3" s="1"/>
  <c r="AN604" i="3"/>
  <c r="AU603" i="3"/>
  <c r="BF601" i="3"/>
  <c r="BJ600" i="3" s="1"/>
  <c r="BK600" i="3" s="1"/>
  <c r="BB601" i="3"/>
  <c r="BQ601" i="3"/>
  <c r="Y604" i="3"/>
  <c r="Z604" i="3" s="1"/>
  <c r="AR605" i="3"/>
  <c r="A606" i="3"/>
  <c r="AQ605" i="3"/>
  <c r="B605" i="3"/>
  <c r="C605" i="3"/>
  <c r="D605" i="3"/>
  <c r="AM605" i="3"/>
  <c r="AK605" i="3"/>
  <c r="S605" i="3"/>
  <c r="R605" i="3"/>
  <c r="AD605" i="3"/>
  <c r="P605" i="3"/>
  <c r="Q605" i="3"/>
  <c r="O605" i="3"/>
  <c r="AE605" i="3"/>
  <c r="M605" i="3"/>
  <c r="AF605" i="3"/>
  <c r="V605" i="3"/>
  <c r="U605" i="3"/>
  <c r="G605" i="3"/>
  <c r="H605" i="3" s="1"/>
  <c r="BN605" i="3" s="1"/>
  <c r="F605" i="3"/>
  <c r="T605" i="3"/>
  <c r="AT603" i="3"/>
  <c r="AW603" i="3"/>
  <c r="AY602" i="3"/>
  <c r="BM604" i="3"/>
  <c r="AO604" i="3"/>
  <c r="AG604" i="3"/>
  <c r="AH604" i="3"/>
  <c r="X604" i="3"/>
  <c r="BM605" i="3" l="1"/>
  <c r="BC602" i="3"/>
  <c r="BG602" i="3" s="1"/>
  <c r="BH602" i="3" s="1"/>
  <c r="BI602" i="3" s="1"/>
  <c r="AY603" i="3"/>
  <c r="BD601" i="3"/>
  <c r="BB602" i="3"/>
  <c r="BF602" i="3"/>
  <c r="BJ601" i="3" s="1"/>
  <c r="BK601" i="3" s="1"/>
  <c r="AO605" i="3"/>
  <c r="AU604" i="3"/>
  <c r="AX604" i="3"/>
  <c r="BA603" i="3"/>
  <c r="AV603" i="3"/>
  <c r="AT604" i="3"/>
  <c r="AW604" i="3"/>
  <c r="AG605" i="3"/>
  <c r="AH605" i="3"/>
  <c r="AN605" i="3"/>
  <c r="X605" i="3"/>
  <c r="AR606" i="3"/>
  <c r="AQ606" i="3"/>
  <c r="B606" i="3"/>
  <c r="A607" i="3"/>
  <c r="D606" i="3"/>
  <c r="C606" i="3"/>
  <c r="AK606" i="3"/>
  <c r="AM606" i="3"/>
  <c r="S606" i="3"/>
  <c r="R606" i="3"/>
  <c r="Q606" i="3"/>
  <c r="AD606" i="3"/>
  <c r="P606" i="3"/>
  <c r="O606" i="3"/>
  <c r="AE606" i="3"/>
  <c r="M606" i="3"/>
  <c r="AF606" i="3"/>
  <c r="V606" i="3"/>
  <c r="U606" i="3"/>
  <c r="G606" i="3"/>
  <c r="H606" i="3" s="1"/>
  <c r="F606" i="3"/>
  <c r="T606" i="3"/>
  <c r="Y605" i="3"/>
  <c r="Z605" i="3" s="1"/>
  <c r="BD602" i="3" l="1"/>
  <c r="AY604" i="3"/>
  <c r="BC603" i="3"/>
  <c r="BG603" i="3" s="1"/>
  <c r="BH603" i="3" s="1"/>
  <c r="BI603" i="3" s="1"/>
  <c r="BN606" i="3"/>
  <c r="AN606" i="3"/>
  <c r="AU605" i="3"/>
  <c r="Y606" i="3"/>
  <c r="Z606" i="3" s="1"/>
  <c r="BA604" i="3"/>
  <c r="BQ604" i="3" s="1"/>
  <c r="A608" i="3"/>
  <c r="AQ607" i="3"/>
  <c r="AR607" i="3"/>
  <c r="B607" i="3"/>
  <c r="C607" i="3"/>
  <c r="AK607" i="3"/>
  <c r="D607" i="3"/>
  <c r="AM607" i="3"/>
  <c r="S607" i="3"/>
  <c r="Q607" i="3"/>
  <c r="AD607" i="3"/>
  <c r="P607" i="3"/>
  <c r="AE607" i="3"/>
  <c r="O607" i="3"/>
  <c r="AF607" i="3"/>
  <c r="M607" i="3"/>
  <c r="V607" i="3"/>
  <c r="U607" i="3"/>
  <c r="R607" i="3"/>
  <c r="F607" i="3"/>
  <c r="G607" i="3"/>
  <c r="H607" i="3" s="1"/>
  <c r="T607" i="3"/>
  <c r="BQ603" i="3"/>
  <c r="BB603" i="3"/>
  <c r="BF603" i="3"/>
  <c r="BJ602" i="3" s="1"/>
  <c r="BK602" i="3" s="1"/>
  <c r="X606" i="3"/>
  <c r="AW605" i="3"/>
  <c r="BM606" i="3"/>
  <c r="AH606" i="3"/>
  <c r="AG606" i="3"/>
  <c r="AO606" i="3"/>
  <c r="AT605" i="3"/>
  <c r="AX605" i="3"/>
  <c r="AV604" i="3"/>
  <c r="BN607" i="3" l="1"/>
  <c r="AN607" i="3"/>
  <c r="BD603" i="3"/>
  <c r="BC604" i="3"/>
  <c r="BD604" i="3" s="1"/>
  <c r="BM607" i="3"/>
  <c r="BF604" i="3"/>
  <c r="BJ603" i="3" s="1"/>
  <c r="BK603" i="3" s="1"/>
  <c r="AW606" i="3"/>
  <c r="BB604" i="3"/>
  <c r="Y607" i="3"/>
  <c r="Z607" i="3" s="1"/>
  <c r="A609" i="3"/>
  <c r="AR608" i="3"/>
  <c r="B608" i="3"/>
  <c r="AQ608" i="3"/>
  <c r="D608" i="3"/>
  <c r="AK608" i="3"/>
  <c r="S608" i="3"/>
  <c r="C608" i="3"/>
  <c r="AM608" i="3"/>
  <c r="Q608" i="3"/>
  <c r="R608" i="3"/>
  <c r="AD608" i="3"/>
  <c r="P608" i="3"/>
  <c r="O608" i="3"/>
  <c r="AF608" i="3"/>
  <c r="V608" i="3"/>
  <c r="AE608" i="3"/>
  <c r="M608" i="3"/>
  <c r="U608" i="3"/>
  <c r="F608" i="3"/>
  <c r="BM608" i="3" s="1"/>
  <c r="G608" i="3"/>
  <c r="H608" i="3" s="1"/>
  <c r="T608" i="3"/>
  <c r="AU606" i="3"/>
  <c r="AT606" i="3"/>
  <c r="AX606" i="3"/>
  <c r="AY605" i="3"/>
  <c r="AG607" i="3"/>
  <c r="AH607" i="3"/>
  <c r="X607" i="3"/>
  <c r="AV605" i="3"/>
  <c r="BA605" i="3"/>
  <c r="AO607" i="3"/>
  <c r="BN608" i="3" l="1"/>
  <c r="BG604" i="3"/>
  <c r="BH604" i="3" s="1"/>
  <c r="BI604" i="3" s="1"/>
  <c r="AV606" i="3"/>
  <c r="AO608" i="3"/>
  <c r="AY606" i="3"/>
  <c r="Y608" i="3"/>
  <c r="Z608" i="3" s="1"/>
  <c r="BQ605" i="3"/>
  <c r="BF605" i="3"/>
  <c r="BJ604" i="3" s="1"/>
  <c r="BK604" i="3" s="1"/>
  <c r="BB605" i="3"/>
  <c r="AR609" i="3"/>
  <c r="A610" i="3"/>
  <c r="AQ609" i="3"/>
  <c r="B609" i="3"/>
  <c r="C609" i="3"/>
  <c r="D609" i="3"/>
  <c r="AK609" i="3"/>
  <c r="Q609" i="3"/>
  <c r="AM609" i="3"/>
  <c r="S609" i="3"/>
  <c r="R609" i="3"/>
  <c r="T609" i="3"/>
  <c r="AD609" i="3"/>
  <c r="P609" i="3"/>
  <c r="AE609" i="3"/>
  <c r="M609" i="3"/>
  <c r="O609" i="3"/>
  <c r="AF609" i="3"/>
  <c r="V609" i="3"/>
  <c r="U609" i="3"/>
  <c r="G609" i="3"/>
  <c r="H609" i="3" s="1"/>
  <c r="F609" i="3"/>
  <c r="AX607" i="3"/>
  <c r="X608" i="3"/>
  <c r="AU607" i="3"/>
  <c r="AT607" i="3"/>
  <c r="AW607" i="3"/>
  <c r="AG608" i="3"/>
  <c r="AH608" i="3"/>
  <c r="AN608" i="3"/>
  <c r="BC605" i="3"/>
  <c r="BA606" i="3"/>
  <c r="AN609" i="3" l="1"/>
  <c r="BC606" i="3"/>
  <c r="BG606" i="3" s="1"/>
  <c r="BH606" i="3" s="1"/>
  <c r="BI606" i="3" s="1"/>
  <c r="BN609" i="3"/>
  <c r="AG609" i="3"/>
  <c r="AU608" i="3"/>
  <c r="AO609" i="3"/>
  <c r="BD605" i="3"/>
  <c r="BG605" i="3"/>
  <c r="BH605" i="3" s="1"/>
  <c r="BI605" i="3" s="1"/>
  <c r="AV607" i="3"/>
  <c r="BA607" i="3"/>
  <c r="BB606" i="3"/>
  <c r="BF606" i="3"/>
  <c r="BJ605" i="3" s="1"/>
  <c r="BK605" i="3" s="1"/>
  <c r="BQ606" i="3"/>
  <c r="BD606" i="3"/>
  <c r="Y609" i="3"/>
  <c r="Z609" i="3" s="1"/>
  <c r="AR610" i="3"/>
  <c r="AQ610" i="3"/>
  <c r="B610" i="3"/>
  <c r="A611" i="3"/>
  <c r="D610" i="3"/>
  <c r="AK610" i="3"/>
  <c r="AM610" i="3"/>
  <c r="R610" i="3"/>
  <c r="Q610" i="3"/>
  <c r="C610" i="3"/>
  <c r="S610" i="3"/>
  <c r="P610" i="3"/>
  <c r="AD610" i="3"/>
  <c r="O610" i="3"/>
  <c r="M610" i="3"/>
  <c r="AE610" i="3"/>
  <c r="AF610" i="3"/>
  <c r="V610" i="3"/>
  <c r="U610" i="3"/>
  <c r="F610" i="3"/>
  <c r="BM610" i="3" s="1"/>
  <c r="G610" i="3"/>
  <c r="H610" i="3" s="1"/>
  <c r="T610" i="3"/>
  <c r="AW608" i="3"/>
  <c r="AT608" i="3"/>
  <c r="AX608" i="3"/>
  <c r="AY607" i="3"/>
  <c r="BM609" i="3"/>
  <c r="AH609" i="3"/>
  <c r="X609" i="3"/>
  <c r="BN610" i="3" l="1"/>
  <c r="AX609" i="3"/>
  <c r="BC607" i="3"/>
  <c r="BD607" i="3" s="1"/>
  <c r="AN610" i="3"/>
  <c r="AY608" i="3"/>
  <c r="A612" i="3"/>
  <c r="AQ611" i="3"/>
  <c r="AR611" i="3"/>
  <c r="B611" i="3"/>
  <c r="C611" i="3"/>
  <c r="AK611" i="3"/>
  <c r="T611" i="3"/>
  <c r="S611" i="3"/>
  <c r="AM611" i="3"/>
  <c r="D611" i="3"/>
  <c r="Q611" i="3"/>
  <c r="R611" i="3"/>
  <c r="AD611" i="3"/>
  <c r="P611" i="3"/>
  <c r="AE611" i="3"/>
  <c r="AF611" i="3"/>
  <c r="V611" i="3"/>
  <c r="O611" i="3"/>
  <c r="M611" i="3"/>
  <c r="U611" i="3"/>
  <c r="G611" i="3"/>
  <c r="H611" i="3" s="1"/>
  <c r="F611" i="3"/>
  <c r="AU609" i="3"/>
  <c r="Y610" i="3"/>
  <c r="Z610" i="3" s="1"/>
  <c r="AG610" i="3"/>
  <c r="X610" i="3"/>
  <c r="AO610" i="3"/>
  <c r="AT609" i="3"/>
  <c r="AV608" i="3"/>
  <c r="BA608" i="3"/>
  <c r="BF607" i="3"/>
  <c r="BJ606" i="3" s="1"/>
  <c r="BK606" i="3" s="1"/>
  <c r="BQ607" i="3"/>
  <c r="BB607" i="3"/>
  <c r="AH610" i="3"/>
  <c r="AW609" i="3"/>
  <c r="AY609" i="3" l="1"/>
  <c r="AN611" i="3"/>
  <c r="BN611" i="3"/>
  <c r="BM611" i="3"/>
  <c r="BG607" i="3"/>
  <c r="BH607" i="3" s="1"/>
  <c r="BI607" i="3" s="1"/>
  <c r="AT610" i="3"/>
  <c r="AO611" i="3"/>
  <c r="AX610" i="3"/>
  <c r="BC608" i="3"/>
  <c r="BG608" i="3" s="1"/>
  <c r="BH608" i="3" s="1"/>
  <c r="BI608" i="3" s="1"/>
  <c r="BB608" i="3"/>
  <c r="BF608" i="3"/>
  <c r="BJ607" i="3" s="1"/>
  <c r="BK607" i="3" s="1"/>
  <c r="BQ608" i="3"/>
  <c r="AV609" i="3"/>
  <c r="BA609" i="3"/>
  <c r="A613" i="3"/>
  <c r="AR612" i="3"/>
  <c r="B612" i="3"/>
  <c r="AQ612" i="3"/>
  <c r="C612" i="3"/>
  <c r="D612" i="3"/>
  <c r="AM612" i="3"/>
  <c r="T612" i="3"/>
  <c r="AK612" i="3"/>
  <c r="Q612" i="3"/>
  <c r="R612" i="3"/>
  <c r="S612" i="3"/>
  <c r="AD612" i="3"/>
  <c r="P612" i="3"/>
  <c r="O612" i="3"/>
  <c r="AE612" i="3"/>
  <c r="V612" i="3"/>
  <c r="M612" i="3"/>
  <c r="AF612" i="3"/>
  <c r="U612" i="3"/>
  <c r="G612" i="3"/>
  <c r="H612" i="3" s="1"/>
  <c r="F612" i="3"/>
  <c r="AW610" i="3"/>
  <c r="AG611" i="3"/>
  <c r="AH611" i="3"/>
  <c r="X611" i="3"/>
  <c r="Y611" i="3"/>
  <c r="Z611" i="3" s="1"/>
  <c r="AU610" i="3"/>
  <c r="BC609" i="3" l="1"/>
  <c r="BD609" i="3" s="1"/>
  <c r="BD608" i="3"/>
  <c r="AO612" i="3"/>
  <c r="BN612" i="3"/>
  <c r="AV610" i="3"/>
  <c r="AT611" i="3"/>
  <c r="AH612" i="3"/>
  <c r="AY610" i="3"/>
  <c r="AN612" i="3"/>
  <c r="Y612" i="3"/>
  <c r="Z612" i="3" s="1"/>
  <c r="BQ609" i="3"/>
  <c r="BB609" i="3"/>
  <c r="BF609" i="3"/>
  <c r="BJ608" i="3" s="1"/>
  <c r="BK608" i="3" s="1"/>
  <c r="AW611" i="3"/>
  <c r="BM612" i="3"/>
  <c r="AG612" i="3"/>
  <c r="BA610" i="3"/>
  <c r="AU611" i="3"/>
  <c r="AX611" i="3"/>
  <c r="AR613" i="3"/>
  <c r="A614" i="3"/>
  <c r="AQ613" i="3"/>
  <c r="B613" i="3"/>
  <c r="C613" i="3"/>
  <c r="D613" i="3"/>
  <c r="AK613" i="3"/>
  <c r="AM613" i="3"/>
  <c r="S613" i="3"/>
  <c r="R613" i="3"/>
  <c r="Q613" i="3"/>
  <c r="AD613" i="3"/>
  <c r="P613" i="3"/>
  <c r="M613" i="3"/>
  <c r="O613" i="3"/>
  <c r="AF613" i="3"/>
  <c r="U613" i="3"/>
  <c r="AE613" i="3"/>
  <c r="V613" i="3"/>
  <c r="F613" i="3"/>
  <c r="G613" i="3"/>
  <c r="H613" i="3" s="1"/>
  <c r="T613" i="3"/>
  <c r="BG609" i="3"/>
  <c r="BH609" i="3" s="1"/>
  <c r="BI609" i="3" s="1"/>
  <c r="X612" i="3"/>
  <c r="AG613" i="3" l="1"/>
  <c r="AO613" i="3"/>
  <c r="BN613" i="3"/>
  <c r="AT612" i="3"/>
  <c r="AX612" i="3"/>
  <c r="BC610" i="3"/>
  <c r="BD610" i="3" s="1"/>
  <c r="AW612" i="3"/>
  <c r="BA611" i="3"/>
  <c r="BB611" i="3" s="1"/>
  <c r="AY611" i="3"/>
  <c r="AR614" i="3"/>
  <c r="AQ614" i="3"/>
  <c r="B614" i="3"/>
  <c r="A615" i="3"/>
  <c r="C614" i="3"/>
  <c r="D614" i="3"/>
  <c r="AM614" i="3"/>
  <c r="S614" i="3"/>
  <c r="AK614" i="3"/>
  <c r="T614" i="3"/>
  <c r="Q614" i="3"/>
  <c r="AD614" i="3"/>
  <c r="R614" i="3"/>
  <c r="P614" i="3"/>
  <c r="M614" i="3"/>
  <c r="AE614" i="3"/>
  <c r="AF614" i="3"/>
  <c r="O614" i="3"/>
  <c r="U614" i="3"/>
  <c r="V614" i="3"/>
  <c r="G614" i="3"/>
  <c r="H614" i="3" s="1"/>
  <c r="F614" i="3"/>
  <c r="BB610" i="3"/>
  <c r="BQ610" i="3"/>
  <c r="BF610" i="3"/>
  <c r="BJ609" i="3" s="1"/>
  <c r="BK609" i="3" s="1"/>
  <c r="Y613" i="3"/>
  <c r="Z613" i="3" s="1"/>
  <c r="BM613" i="3"/>
  <c r="AH613" i="3"/>
  <c r="AN613" i="3"/>
  <c r="AU612" i="3"/>
  <c r="AV611" i="3"/>
  <c r="X613" i="3"/>
  <c r="AT613" i="3" l="1"/>
  <c r="AO614" i="3"/>
  <c r="AY612" i="3"/>
  <c r="BC611" i="3"/>
  <c r="BG611" i="3" s="1"/>
  <c r="BH611" i="3" s="1"/>
  <c r="BI611" i="3" s="1"/>
  <c r="BQ611" i="3"/>
  <c r="BN614" i="3"/>
  <c r="AV612" i="3"/>
  <c r="BG610" i="3"/>
  <c r="BH610" i="3" s="1"/>
  <c r="BI610" i="3" s="1"/>
  <c r="BA612" i="3"/>
  <c r="BQ612" i="3" s="1"/>
  <c r="AW613" i="3"/>
  <c r="BF611" i="3"/>
  <c r="BJ610" i="3" s="1"/>
  <c r="BK610" i="3" s="1"/>
  <c r="Y614" i="3"/>
  <c r="Z614" i="3" s="1"/>
  <c r="A616" i="3"/>
  <c r="AQ615" i="3"/>
  <c r="AR615" i="3"/>
  <c r="B615" i="3"/>
  <c r="D615" i="3"/>
  <c r="AM615" i="3"/>
  <c r="AK615" i="3"/>
  <c r="S615" i="3"/>
  <c r="Q615" i="3"/>
  <c r="C615" i="3"/>
  <c r="R615" i="3"/>
  <c r="AD615" i="3"/>
  <c r="P615" i="3"/>
  <c r="M615" i="3"/>
  <c r="AE615" i="3"/>
  <c r="V615" i="3"/>
  <c r="U615" i="3"/>
  <c r="O615" i="3"/>
  <c r="AF615" i="3"/>
  <c r="G615" i="3"/>
  <c r="H615" i="3" s="1"/>
  <c r="F615" i="3"/>
  <c r="T615" i="3"/>
  <c r="AX613" i="3"/>
  <c r="AU613" i="3"/>
  <c r="AV613" i="3" s="1"/>
  <c r="BM614" i="3"/>
  <c r="AG614" i="3"/>
  <c r="AH614" i="3"/>
  <c r="AN614" i="3"/>
  <c r="X614" i="3"/>
  <c r="BD611" i="3" l="1"/>
  <c r="BC612" i="3"/>
  <c r="BD612" i="3" s="1"/>
  <c r="BN615" i="3"/>
  <c r="BF612" i="3"/>
  <c r="BJ611" i="3" s="1"/>
  <c r="BK611" i="3" s="1"/>
  <c r="AY613" i="3"/>
  <c r="BC613" i="3" s="1"/>
  <c r="BD613" i="3" s="1"/>
  <c r="BB612" i="3"/>
  <c r="AN615" i="3"/>
  <c r="AX614" i="3"/>
  <c r="AH615" i="3"/>
  <c r="A617" i="3"/>
  <c r="AR616" i="3"/>
  <c r="B616" i="3"/>
  <c r="AQ616" i="3"/>
  <c r="C616" i="3"/>
  <c r="AK616" i="3"/>
  <c r="R616" i="3"/>
  <c r="D616" i="3"/>
  <c r="AM616" i="3"/>
  <c r="S616" i="3"/>
  <c r="Q616" i="3"/>
  <c r="AD616" i="3"/>
  <c r="P616" i="3"/>
  <c r="AE616" i="3"/>
  <c r="M616" i="3"/>
  <c r="U616" i="3"/>
  <c r="V616" i="3"/>
  <c r="O616" i="3"/>
  <c r="AF616" i="3"/>
  <c r="F616" i="3"/>
  <c r="G616" i="3"/>
  <c r="H616" i="3" s="1"/>
  <c r="T616" i="3"/>
  <c r="Y615" i="3"/>
  <c r="Z615" i="3" s="1"/>
  <c r="X615" i="3"/>
  <c r="AT614" i="3"/>
  <c r="AU614" i="3"/>
  <c r="AW614" i="3"/>
  <c r="BM615" i="3"/>
  <c r="AG615" i="3"/>
  <c r="AO615" i="3"/>
  <c r="BA613" i="3"/>
  <c r="BG612" i="3" l="1"/>
  <c r="BH612" i="3" s="1"/>
  <c r="BI612" i="3" s="1"/>
  <c r="BM616" i="3"/>
  <c r="AY614" i="3"/>
  <c r="AT615" i="3"/>
  <c r="AG616" i="3"/>
  <c r="AX615" i="3"/>
  <c r="AO616" i="3"/>
  <c r="AU615" i="3"/>
  <c r="AV615" i="3" s="1"/>
  <c r="BG613" i="3"/>
  <c r="BH613" i="3" s="1"/>
  <c r="BI613" i="3" s="1"/>
  <c r="Y616" i="3"/>
  <c r="Z616" i="3" s="1"/>
  <c r="BQ613" i="3"/>
  <c r="BF613" i="3"/>
  <c r="BJ612" i="3" s="1"/>
  <c r="BK612" i="3" s="1"/>
  <c r="BB613" i="3"/>
  <c r="AV614" i="3"/>
  <c r="BA614" i="3"/>
  <c r="AR617" i="3"/>
  <c r="A618" i="3"/>
  <c r="AQ617" i="3"/>
  <c r="B617" i="3"/>
  <c r="D617" i="3"/>
  <c r="C617" i="3"/>
  <c r="AK617" i="3"/>
  <c r="S617" i="3"/>
  <c r="R617" i="3"/>
  <c r="AM617" i="3"/>
  <c r="Q617" i="3"/>
  <c r="AD617" i="3"/>
  <c r="P617" i="3"/>
  <c r="O617" i="3"/>
  <c r="M617" i="3"/>
  <c r="AE617" i="3"/>
  <c r="AF617" i="3"/>
  <c r="U617" i="3"/>
  <c r="V617" i="3"/>
  <c r="F617" i="3"/>
  <c r="G617" i="3"/>
  <c r="H617" i="3" s="1"/>
  <c r="BN617" i="3" s="1"/>
  <c r="T617" i="3"/>
  <c r="AW615" i="3"/>
  <c r="BN616" i="3"/>
  <c r="AH616" i="3"/>
  <c r="AN616" i="3"/>
  <c r="X616" i="3"/>
  <c r="BM617" i="3" l="1"/>
  <c r="BC614" i="3"/>
  <c r="BG614" i="3" s="1"/>
  <c r="BH614" i="3" s="1"/>
  <c r="BI614" i="3" s="1"/>
  <c r="AX616" i="3"/>
  <c r="AY615" i="3"/>
  <c r="BC615" i="3" s="1"/>
  <c r="BG615" i="3" s="1"/>
  <c r="BH615" i="3" s="1"/>
  <c r="BI615" i="3" s="1"/>
  <c r="AO617" i="3"/>
  <c r="AR618" i="3"/>
  <c r="AQ618" i="3"/>
  <c r="B618" i="3"/>
  <c r="A619" i="3"/>
  <c r="C618" i="3"/>
  <c r="D618" i="3"/>
  <c r="AK618" i="3"/>
  <c r="AM618" i="3"/>
  <c r="S618" i="3"/>
  <c r="Q618" i="3"/>
  <c r="R618" i="3"/>
  <c r="AD618" i="3"/>
  <c r="P618" i="3"/>
  <c r="O618" i="3"/>
  <c r="AE618" i="3"/>
  <c r="AF618" i="3"/>
  <c r="V618" i="3"/>
  <c r="U618" i="3"/>
  <c r="M618" i="3"/>
  <c r="G618" i="3"/>
  <c r="H618" i="3" s="1"/>
  <c r="F618" i="3"/>
  <c r="T618" i="3"/>
  <c r="BF614" i="3"/>
  <c r="BJ613" i="3" s="1"/>
  <c r="BK613" i="3" s="1"/>
  <c r="BB614" i="3"/>
  <c r="BQ614" i="3"/>
  <c r="AT616" i="3"/>
  <c r="Y617" i="3"/>
  <c r="Z617" i="3" s="1"/>
  <c r="AG617" i="3"/>
  <c r="AH617" i="3"/>
  <c r="AN617" i="3"/>
  <c r="X617" i="3"/>
  <c r="AU616" i="3"/>
  <c r="AW616" i="3"/>
  <c r="BA615" i="3"/>
  <c r="BM618" i="3" l="1"/>
  <c r="BN618" i="3"/>
  <c r="BD614" i="3"/>
  <c r="BD615" i="3"/>
  <c r="AV616" i="3"/>
  <c r="AN618" i="3"/>
  <c r="AY616" i="3"/>
  <c r="AU617" i="3"/>
  <c r="AT617" i="3"/>
  <c r="Y618" i="3"/>
  <c r="Z618" i="3" s="1"/>
  <c r="AH618" i="3"/>
  <c r="BF615" i="3"/>
  <c r="BJ614" i="3" s="1"/>
  <c r="BK614" i="3" s="1"/>
  <c r="BB615" i="3"/>
  <c r="BQ615" i="3"/>
  <c r="AX617" i="3"/>
  <c r="AG618" i="3"/>
  <c r="AO618" i="3"/>
  <c r="X618" i="3"/>
  <c r="A620" i="3"/>
  <c r="AQ619" i="3"/>
  <c r="AR619" i="3"/>
  <c r="B619" i="3"/>
  <c r="C619" i="3"/>
  <c r="D619" i="3"/>
  <c r="R619" i="3"/>
  <c r="AK619" i="3"/>
  <c r="AM619" i="3"/>
  <c r="S619" i="3"/>
  <c r="T619" i="3"/>
  <c r="Q619" i="3"/>
  <c r="AD619" i="3"/>
  <c r="M619" i="3"/>
  <c r="P619" i="3"/>
  <c r="O619" i="3"/>
  <c r="V619" i="3"/>
  <c r="AE619" i="3"/>
  <c r="AF619" i="3"/>
  <c r="U619" i="3"/>
  <c r="G619" i="3"/>
  <c r="H619" i="3" s="1"/>
  <c r="F619" i="3"/>
  <c r="AW617" i="3"/>
  <c r="BA616" i="3"/>
  <c r="AY617" i="3" l="1"/>
  <c r="BC616" i="3"/>
  <c r="BG616" i="3" s="1"/>
  <c r="BH616" i="3" s="1"/>
  <c r="BI616" i="3" s="1"/>
  <c r="BM619" i="3"/>
  <c r="AT618" i="3"/>
  <c r="BN619" i="3"/>
  <c r="AV617" i="3"/>
  <c r="AX618" i="3"/>
  <c r="BD616" i="3"/>
  <c r="AO619" i="3"/>
  <c r="AU618" i="3"/>
  <c r="AG619" i="3"/>
  <c r="A621" i="3"/>
  <c r="AR620" i="3"/>
  <c r="B620" i="3"/>
  <c r="AQ620" i="3"/>
  <c r="C620" i="3"/>
  <c r="AK620" i="3"/>
  <c r="R620" i="3"/>
  <c r="Q620" i="3"/>
  <c r="AM620" i="3"/>
  <c r="D620" i="3"/>
  <c r="S620" i="3"/>
  <c r="AD620" i="3"/>
  <c r="P620" i="3"/>
  <c r="O620" i="3"/>
  <c r="AF620" i="3"/>
  <c r="U620" i="3"/>
  <c r="M620" i="3"/>
  <c r="AE620" i="3"/>
  <c r="V620" i="3"/>
  <c r="G620" i="3"/>
  <c r="H620" i="3" s="1"/>
  <c r="F620" i="3"/>
  <c r="T620" i="3"/>
  <c r="AH619" i="3"/>
  <c r="AN619" i="3"/>
  <c r="X619" i="3"/>
  <c r="AW618" i="3"/>
  <c r="BQ616" i="3"/>
  <c r="BF616" i="3"/>
  <c r="BJ615" i="3" s="1"/>
  <c r="BK615" i="3" s="1"/>
  <c r="BB616" i="3"/>
  <c r="Y619" i="3"/>
  <c r="Z619" i="3" s="1"/>
  <c r="BA617" i="3"/>
  <c r="BC617" i="3" l="1"/>
  <c r="BD617" i="3" s="1"/>
  <c r="BM620" i="3"/>
  <c r="BN620" i="3"/>
  <c r="AV618" i="3"/>
  <c r="AO620" i="3"/>
  <c r="AY618" i="3"/>
  <c r="BC618" i="3" s="1"/>
  <c r="BG617" i="3"/>
  <c r="BH617" i="3" s="1"/>
  <c r="BI617" i="3" s="1"/>
  <c r="AT619" i="3"/>
  <c r="AG620" i="3"/>
  <c r="BA618" i="3"/>
  <c r="BB618" i="3" s="1"/>
  <c r="AU619" i="3"/>
  <c r="AW619" i="3"/>
  <c r="Y620" i="3"/>
  <c r="Z620" i="3" s="1"/>
  <c r="BB617" i="3"/>
  <c r="BQ617" i="3"/>
  <c r="BF617" i="3"/>
  <c r="BJ616" i="3" s="1"/>
  <c r="BK616" i="3" s="1"/>
  <c r="AR621" i="3"/>
  <c r="A622" i="3"/>
  <c r="AQ621" i="3"/>
  <c r="B621" i="3"/>
  <c r="C621" i="3"/>
  <c r="AM621" i="3"/>
  <c r="AK621" i="3"/>
  <c r="T621" i="3"/>
  <c r="S621" i="3"/>
  <c r="Q621" i="3"/>
  <c r="D621" i="3"/>
  <c r="R621" i="3"/>
  <c r="AD621" i="3"/>
  <c r="P621" i="3"/>
  <c r="O621" i="3"/>
  <c r="V621" i="3"/>
  <c r="M621" i="3"/>
  <c r="AF621" i="3"/>
  <c r="AE621" i="3"/>
  <c r="U621" i="3"/>
  <c r="F621" i="3"/>
  <c r="G621" i="3"/>
  <c r="H621" i="3" s="1"/>
  <c r="AX619" i="3"/>
  <c r="AN620" i="3"/>
  <c r="X620" i="3"/>
  <c r="AH620" i="3"/>
  <c r="BM621" i="3" l="1"/>
  <c r="BQ618" i="3"/>
  <c r="AG621" i="3"/>
  <c r="AO621" i="3"/>
  <c r="AV619" i="3"/>
  <c r="BF618" i="3"/>
  <c r="BJ617" i="3" s="1"/>
  <c r="BK617" i="3" s="1"/>
  <c r="AW620" i="3"/>
  <c r="BA619" i="3"/>
  <c r="BF619" i="3" s="1"/>
  <c r="AT620" i="3"/>
  <c r="AY619" i="3"/>
  <c r="AU620" i="3"/>
  <c r="BD618" i="3"/>
  <c r="BG618" i="3"/>
  <c r="BH618" i="3" s="1"/>
  <c r="BI618" i="3" s="1"/>
  <c r="AR622" i="3"/>
  <c r="AQ622" i="3"/>
  <c r="B622" i="3"/>
  <c r="A623" i="3"/>
  <c r="D622" i="3"/>
  <c r="T622" i="3"/>
  <c r="C622" i="3"/>
  <c r="AM622" i="3"/>
  <c r="AK622" i="3"/>
  <c r="R622" i="3"/>
  <c r="AD622" i="3"/>
  <c r="S622" i="3"/>
  <c r="Q622" i="3"/>
  <c r="P622" i="3"/>
  <c r="O622" i="3"/>
  <c r="AF622" i="3"/>
  <c r="V622" i="3"/>
  <c r="AE622" i="3"/>
  <c r="M622" i="3"/>
  <c r="U622" i="3"/>
  <c r="G622" i="3"/>
  <c r="H622" i="3" s="1"/>
  <c r="F622" i="3"/>
  <c r="AX620" i="3"/>
  <c r="BN621" i="3"/>
  <c r="AN621" i="3"/>
  <c r="Y621" i="3"/>
  <c r="Z621" i="3" s="1"/>
  <c r="AH621" i="3"/>
  <c r="X621" i="3"/>
  <c r="BJ618" i="3" l="1"/>
  <c r="BK618" i="3" s="1"/>
  <c r="BN622" i="3"/>
  <c r="AV620" i="3"/>
  <c r="BB619" i="3"/>
  <c r="BQ619" i="3"/>
  <c r="BC619" i="3"/>
  <c r="BD619" i="3" s="1"/>
  <c r="BA620" i="3"/>
  <c r="BB620" i="3" s="1"/>
  <c r="AX621" i="3"/>
  <c r="AO622" i="3"/>
  <c r="A624" i="3"/>
  <c r="AQ623" i="3"/>
  <c r="AR623" i="3"/>
  <c r="B623" i="3"/>
  <c r="C623" i="3"/>
  <c r="D623" i="3"/>
  <c r="AK623" i="3"/>
  <c r="AM623" i="3"/>
  <c r="S623" i="3"/>
  <c r="R623" i="3"/>
  <c r="Q623" i="3"/>
  <c r="T623" i="3"/>
  <c r="AD623" i="3"/>
  <c r="AE623" i="3"/>
  <c r="M623" i="3"/>
  <c r="V623" i="3"/>
  <c r="U623" i="3"/>
  <c r="P623" i="3"/>
  <c r="O623" i="3"/>
  <c r="AF623" i="3"/>
  <c r="F623" i="3"/>
  <c r="G623" i="3"/>
  <c r="H623" i="3" s="1"/>
  <c r="BN623" i="3" s="1"/>
  <c r="AY620" i="3"/>
  <c r="AU621" i="3"/>
  <c r="BM622" i="3"/>
  <c r="AG622" i="3"/>
  <c r="AH622" i="3"/>
  <c r="AN622" i="3"/>
  <c r="Y622" i="3"/>
  <c r="Z622" i="3" s="1"/>
  <c r="AT621" i="3"/>
  <c r="AW621" i="3"/>
  <c r="X622" i="3"/>
  <c r="BM623" i="3" l="1"/>
  <c r="AV621" i="3"/>
  <c r="BC620" i="3"/>
  <c r="BD620" i="3" s="1"/>
  <c r="BQ620" i="3"/>
  <c r="BG619" i="3"/>
  <c r="BH619" i="3" s="1"/>
  <c r="BI619" i="3" s="1"/>
  <c r="BF620" i="3"/>
  <c r="BJ619" i="3" s="1"/>
  <c r="BK619" i="3" s="1"/>
  <c r="AY621" i="3"/>
  <c r="BC621" i="3" s="1"/>
  <c r="BG621" i="3" s="1"/>
  <c r="BH621" i="3" s="1"/>
  <c r="BI621" i="3" s="1"/>
  <c r="AX622" i="3"/>
  <c r="AO623" i="3"/>
  <c r="Y623" i="3"/>
  <c r="Z623" i="3" s="1"/>
  <c r="BA621" i="3"/>
  <c r="AW622" i="3"/>
  <c r="AT622" i="3"/>
  <c r="AH623" i="3"/>
  <c r="AG623" i="3"/>
  <c r="AN623" i="3"/>
  <c r="A625" i="3"/>
  <c r="AR624" i="3"/>
  <c r="B624" i="3"/>
  <c r="AQ624" i="3"/>
  <c r="D624" i="3"/>
  <c r="C624" i="3"/>
  <c r="AM624" i="3"/>
  <c r="AK624" i="3"/>
  <c r="S624" i="3"/>
  <c r="Q624" i="3"/>
  <c r="AD624" i="3"/>
  <c r="T624" i="3"/>
  <c r="R624" i="3"/>
  <c r="AE624" i="3"/>
  <c r="P624" i="3"/>
  <c r="O624" i="3"/>
  <c r="M624" i="3"/>
  <c r="AF624" i="3"/>
  <c r="V624" i="3"/>
  <c r="U624" i="3"/>
  <c r="G624" i="3"/>
  <c r="H624" i="3" s="1"/>
  <c r="F624" i="3"/>
  <c r="AU622" i="3"/>
  <c r="X623" i="3"/>
  <c r="BN624" i="3" l="1"/>
  <c r="BM624" i="3"/>
  <c r="BD621" i="3"/>
  <c r="BG620" i="3"/>
  <c r="BH620" i="3" s="1"/>
  <c r="BI620" i="3" s="1"/>
  <c r="AY622" i="3"/>
  <c r="AV622" i="3"/>
  <c r="AT623" i="3"/>
  <c r="AN624" i="3"/>
  <c r="AH624" i="3"/>
  <c r="AU623" i="3"/>
  <c r="BB621" i="3"/>
  <c r="BQ621" i="3"/>
  <c r="BF621" i="3"/>
  <c r="BJ620" i="3" s="1"/>
  <c r="BK620" i="3" s="1"/>
  <c r="AG624" i="3"/>
  <c r="AO624" i="3"/>
  <c r="X624" i="3"/>
  <c r="AW623" i="3"/>
  <c r="BA622" i="3"/>
  <c r="Y624" i="3"/>
  <c r="Z624" i="3" s="1"/>
  <c r="AR625" i="3"/>
  <c r="A626" i="3"/>
  <c r="AQ625" i="3"/>
  <c r="B625" i="3"/>
  <c r="D625" i="3"/>
  <c r="AM625" i="3"/>
  <c r="R625" i="3"/>
  <c r="C625" i="3"/>
  <c r="AK625" i="3"/>
  <c r="S625" i="3"/>
  <c r="Q625" i="3"/>
  <c r="AD625" i="3"/>
  <c r="P625" i="3"/>
  <c r="O625" i="3"/>
  <c r="M625" i="3"/>
  <c r="AE625" i="3"/>
  <c r="AF625" i="3"/>
  <c r="V625" i="3"/>
  <c r="U625" i="3"/>
  <c r="G625" i="3"/>
  <c r="H625" i="3" s="1"/>
  <c r="F625" i="3"/>
  <c r="T625" i="3"/>
  <c r="AX623" i="3"/>
  <c r="BC622" i="3" l="1"/>
  <c r="BG622" i="3" s="1"/>
  <c r="BH622" i="3" s="1"/>
  <c r="BI622" i="3" s="1"/>
  <c r="BN625" i="3"/>
  <c r="AV623" i="3"/>
  <c r="AN625" i="3"/>
  <c r="BA623" i="3"/>
  <c r="BB623" i="3" s="1"/>
  <c r="AG625" i="3"/>
  <c r="Y625" i="3"/>
  <c r="Z625" i="3" s="1"/>
  <c r="AW624" i="3"/>
  <c r="AX624" i="3"/>
  <c r="AT624" i="3"/>
  <c r="X625" i="3"/>
  <c r="BM625" i="3"/>
  <c r="AO625" i="3"/>
  <c r="AY623" i="3"/>
  <c r="AU624" i="3"/>
  <c r="AR626" i="3"/>
  <c r="AQ626" i="3"/>
  <c r="B626" i="3"/>
  <c r="A627" i="3"/>
  <c r="D626" i="3"/>
  <c r="AK626" i="3"/>
  <c r="T626" i="3"/>
  <c r="Q626" i="3"/>
  <c r="C626" i="3"/>
  <c r="AM626" i="3"/>
  <c r="S626" i="3"/>
  <c r="AD626" i="3"/>
  <c r="P626" i="3"/>
  <c r="M626" i="3"/>
  <c r="AF626" i="3"/>
  <c r="AE626" i="3"/>
  <c r="U626" i="3"/>
  <c r="V626" i="3"/>
  <c r="O626" i="3"/>
  <c r="F626" i="3"/>
  <c r="R626" i="3"/>
  <c r="G626" i="3"/>
  <c r="H626" i="3" s="1"/>
  <c r="BB622" i="3"/>
  <c r="BQ622" i="3"/>
  <c r="BF622" i="3"/>
  <c r="BJ621" i="3" s="1"/>
  <c r="BK621" i="3" s="1"/>
  <c r="AH625" i="3"/>
  <c r="BD622" i="3" l="1"/>
  <c r="AN626" i="3"/>
  <c r="AX625" i="3"/>
  <c r="BC623" i="3"/>
  <c r="BD623" i="3" s="1"/>
  <c r="BQ623" i="3"/>
  <c r="BN626" i="3"/>
  <c r="BF623" i="3"/>
  <c r="BJ622" i="3" s="1"/>
  <c r="BK622" i="3" s="1"/>
  <c r="AY624" i="3"/>
  <c r="BA624" i="3"/>
  <c r="BF624" i="3" s="1"/>
  <c r="AV624" i="3"/>
  <c r="A628" i="3"/>
  <c r="AQ627" i="3"/>
  <c r="AR627" i="3"/>
  <c r="B627" i="3"/>
  <c r="D627" i="3"/>
  <c r="AK627" i="3"/>
  <c r="AM627" i="3"/>
  <c r="C627" i="3"/>
  <c r="Q627" i="3"/>
  <c r="S627" i="3"/>
  <c r="AD627" i="3"/>
  <c r="P627" i="3"/>
  <c r="R627" i="3"/>
  <c r="O627" i="3"/>
  <c r="M627" i="3"/>
  <c r="U627" i="3"/>
  <c r="AF627" i="3"/>
  <c r="AE627" i="3"/>
  <c r="V627" i="3"/>
  <c r="F627" i="3"/>
  <c r="BM627" i="3" s="1"/>
  <c r="G627" i="3"/>
  <c r="H627" i="3" s="1"/>
  <c r="T627" i="3"/>
  <c r="BM626" i="3"/>
  <c r="AG626" i="3"/>
  <c r="AH626" i="3"/>
  <c r="AO626" i="3"/>
  <c r="AU625" i="3"/>
  <c r="Y626" i="3"/>
  <c r="Z626" i="3" s="1"/>
  <c r="X626" i="3"/>
  <c r="AT625" i="3"/>
  <c r="AW625" i="3"/>
  <c r="AY625" i="3" l="1"/>
  <c r="BJ623" i="3"/>
  <c r="BK623" i="3" s="1"/>
  <c r="BN627" i="3"/>
  <c r="BG623" i="3"/>
  <c r="BH623" i="3" s="1"/>
  <c r="BI623" i="3" s="1"/>
  <c r="BC624" i="3"/>
  <c r="BD624" i="3" s="1"/>
  <c r="BQ624" i="3"/>
  <c r="BB624" i="3"/>
  <c r="AU626" i="3"/>
  <c r="AN627" i="3"/>
  <c r="AT626" i="3"/>
  <c r="AX626" i="3"/>
  <c r="AV625" i="3"/>
  <c r="BA625" i="3"/>
  <c r="AH627" i="3"/>
  <c r="AW626" i="3"/>
  <c r="Y627" i="3"/>
  <c r="Z627" i="3" s="1"/>
  <c r="AG627" i="3"/>
  <c r="X627" i="3"/>
  <c r="AO627" i="3"/>
  <c r="A629" i="3"/>
  <c r="AR628" i="3"/>
  <c r="B628" i="3"/>
  <c r="AQ628" i="3"/>
  <c r="C628" i="3"/>
  <c r="D628" i="3"/>
  <c r="AK628" i="3"/>
  <c r="S628" i="3"/>
  <c r="AM628" i="3"/>
  <c r="Q628" i="3"/>
  <c r="R628" i="3"/>
  <c r="AD628" i="3"/>
  <c r="P628" i="3"/>
  <c r="O628" i="3"/>
  <c r="M628" i="3"/>
  <c r="AE628" i="3"/>
  <c r="AF628" i="3"/>
  <c r="U628" i="3"/>
  <c r="V628" i="3"/>
  <c r="G628" i="3"/>
  <c r="H628" i="3" s="1"/>
  <c r="F628" i="3"/>
  <c r="T628" i="3"/>
  <c r="BC625" i="3" l="1"/>
  <c r="BM628" i="3"/>
  <c r="BN628" i="3"/>
  <c r="BG624" i="3"/>
  <c r="BH624" i="3" s="1"/>
  <c r="BI624" i="3" s="1"/>
  <c r="AV626" i="3"/>
  <c r="AN628" i="3"/>
  <c r="AY626" i="3"/>
  <c r="AU627" i="3"/>
  <c r="BA626" i="3"/>
  <c r="BQ626" i="3" s="1"/>
  <c r="AR629" i="3"/>
  <c r="A630" i="3"/>
  <c r="AQ629" i="3"/>
  <c r="B629" i="3"/>
  <c r="D629" i="3"/>
  <c r="C629" i="3"/>
  <c r="AK629" i="3"/>
  <c r="AM629" i="3"/>
  <c r="T629" i="3"/>
  <c r="S629" i="3"/>
  <c r="Q629" i="3"/>
  <c r="R629" i="3"/>
  <c r="AD629" i="3"/>
  <c r="O629" i="3"/>
  <c r="M629" i="3"/>
  <c r="AE629" i="3"/>
  <c r="P629" i="3"/>
  <c r="V629" i="3"/>
  <c r="AF629" i="3"/>
  <c r="U629" i="3"/>
  <c r="G629" i="3"/>
  <c r="H629" i="3" s="1"/>
  <c r="F629" i="3"/>
  <c r="BM629" i="3" s="1"/>
  <c r="AO628" i="3"/>
  <c r="Y628" i="3"/>
  <c r="Z628" i="3" s="1"/>
  <c r="AG628" i="3"/>
  <c r="AH628" i="3"/>
  <c r="AX627" i="3"/>
  <c r="BD625" i="3"/>
  <c r="BG625" i="3"/>
  <c r="BH625" i="3" s="1"/>
  <c r="BI625" i="3" s="1"/>
  <c r="AT627" i="3"/>
  <c r="AW627" i="3"/>
  <c r="BB625" i="3"/>
  <c r="BF625" i="3"/>
  <c r="BJ624" i="3" s="1"/>
  <c r="BK624" i="3" s="1"/>
  <c r="BQ625" i="3"/>
  <c r="X628" i="3"/>
  <c r="BN629" i="3" l="1"/>
  <c r="BC626" i="3"/>
  <c r="BG626" i="3" s="1"/>
  <c r="BH626" i="3" s="1"/>
  <c r="BI626" i="3" s="1"/>
  <c r="AN629" i="3"/>
  <c r="BB626" i="3"/>
  <c r="AT628" i="3"/>
  <c r="AG629" i="3"/>
  <c r="BF626" i="3"/>
  <c r="BJ625" i="3" s="1"/>
  <c r="BK625" i="3" s="1"/>
  <c r="BA627" i="3"/>
  <c r="AV627" i="3"/>
  <c r="Y629" i="3"/>
  <c r="Z629" i="3" s="1"/>
  <c r="AY627" i="3"/>
  <c r="AW628" i="3"/>
  <c r="AH629" i="3"/>
  <c r="AO629" i="3"/>
  <c r="AU628" i="3"/>
  <c r="AX628" i="3"/>
  <c r="AR630" i="3"/>
  <c r="AQ630" i="3"/>
  <c r="B630" i="3"/>
  <c r="A631" i="3"/>
  <c r="C630" i="3"/>
  <c r="AM630" i="3"/>
  <c r="S630" i="3"/>
  <c r="AK630" i="3"/>
  <c r="D630" i="3"/>
  <c r="R630" i="3"/>
  <c r="Q630" i="3"/>
  <c r="P630" i="3"/>
  <c r="AD630" i="3"/>
  <c r="AE630" i="3"/>
  <c r="O630" i="3"/>
  <c r="AF630" i="3"/>
  <c r="V630" i="3"/>
  <c r="M630" i="3"/>
  <c r="U630" i="3"/>
  <c r="G630" i="3"/>
  <c r="H630" i="3" s="1"/>
  <c r="F630" i="3"/>
  <c r="T630" i="3"/>
  <c r="X629" i="3"/>
  <c r="BD626" i="3" l="1"/>
  <c r="BM630" i="3"/>
  <c r="AO630" i="3"/>
  <c r="BN630" i="3"/>
  <c r="AU629" i="3"/>
  <c r="AV628" i="3"/>
  <c r="AW629" i="3"/>
  <c r="BA628" i="3"/>
  <c r="BQ628" i="3" s="1"/>
  <c r="BB627" i="3"/>
  <c r="BF627" i="3"/>
  <c r="BQ627" i="3"/>
  <c r="AH630" i="3"/>
  <c r="X630" i="3"/>
  <c r="AY628" i="3"/>
  <c r="A632" i="3"/>
  <c r="AQ631" i="3"/>
  <c r="AR631" i="3"/>
  <c r="B631" i="3"/>
  <c r="C631" i="3"/>
  <c r="T631" i="3"/>
  <c r="S631" i="3"/>
  <c r="D631" i="3"/>
  <c r="AM631" i="3"/>
  <c r="AK631" i="3"/>
  <c r="R631" i="3"/>
  <c r="AD631" i="3"/>
  <c r="Q631" i="3"/>
  <c r="P631" i="3"/>
  <c r="AF631" i="3"/>
  <c r="U631" i="3"/>
  <c r="O631" i="3"/>
  <c r="AE631" i="3"/>
  <c r="M631" i="3"/>
  <c r="V631" i="3"/>
  <c r="G631" i="3"/>
  <c r="H631" i="3" s="1"/>
  <c r="F631" i="3"/>
  <c r="AT629" i="3"/>
  <c r="AX629" i="3"/>
  <c r="Y630" i="3"/>
  <c r="Z630" i="3" s="1"/>
  <c r="AG630" i="3"/>
  <c r="AN630" i="3"/>
  <c r="BC627" i="3"/>
  <c r="BC628" i="3" l="1"/>
  <c r="BG628" i="3" s="1"/>
  <c r="BH628" i="3" s="1"/>
  <c r="BI628" i="3" s="1"/>
  <c r="BM631" i="3"/>
  <c r="AW630" i="3"/>
  <c r="AO631" i="3"/>
  <c r="BN631" i="3"/>
  <c r="AG631" i="3"/>
  <c r="AY629" i="3"/>
  <c r="AT630" i="3"/>
  <c r="BB628" i="3"/>
  <c r="BF628" i="3"/>
  <c r="BJ627" i="3" s="1"/>
  <c r="BK627" i="3" s="1"/>
  <c r="BD627" i="3"/>
  <c r="BG627" i="3"/>
  <c r="BH627" i="3" s="1"/>
  <c r="BI627" i="3" s="1"/>
  <c r="AV629" i="3"/>
  <c r="BA629" i="3"/>
  <c r="A633" i="3"/>
  <c r="AR632" i="3"/>
  <c r="B632" i="3"/>
  <c r="AQ632" i="3"/>
  <c r="D632" i="3"/>
  <c r="C632" i="3"/>
  <c r="AM632" i="3"/>
  <c r="AK632" i="3"/>
  <c r="T632" i="3"/>
  <c r="R632" i="3"/>
  <c r="Q632" i="3"/>
  <c r="P632" i="3"/>
  <c r="S632" i="3"/>
  <c r="AD632" i="3"/>
  <c r="O632" i="3"/>
  <c r="M632" i="3"/>
  <c r="AE632" i="3"/>
  <c r="AF632" i="3"/>
  <c r="V632" i="3"/>
  <c r="U632" i="3"/>
  <c r="G632" i="3"/>
  <c r="H632" i="3" s="1"/>
  <c r="BN632" i="3" s="1"/>
  <c r="F632" i="3"/>
  <c r="BM632" i="3" s="1"/>
  <c r="BJ626" i="3"/>
  <c r="AN631" i="3"/>
  <c r="X631" i="3"/>
  <c r="Y631" i="3"/>
  <c r="Z631" i="3" s="1"/>
  <c r="BD628" i="3"/>
  <c r="AU630" i="3"/>
  <c r="AH631" i="3"/>
  <c r="AX630" i="3"/>
  <c r="AY630" i="3" l="1"/>
  <c r="AX631" i="3"/>
  <c r="BC629" i="3"/>
  <c r="BG629" i="3" s="1"/>
  <c r="BH629" i="3" s="1"/>
  <c r="BI629" i="3" s="1"/>
  <c r="AG632" i="3"/>
  <c r="AN632" i="3"/>
  <c r="BA630" i="3"/>
  <c r="BB630" i="3" s="1"/>
  <c r="BK626" i="3"/>
  <c r="BK6" i="3" s="1"/>
  <c r="A232" i="2" s="1"/>
  <c r="BK5" i="3"/>
  <c r="A692" i="3" s="1"/>
  <c r="B692" i="3" s="1"/>
  <c r="BF629" i="3"/>
  <c r="BJ628" i="3" s="1"/>
  <c r="BK628" i="3" s="1"/>
  <c r="BB629" i="3"/>
  <c r="BQ629" i="3"/>
  <c r="AU631" i="3"/>
  <c r="AW631" i="3"/>
  <c r="AY631" i="3" s="1"/>
  <c r="AT631" i="3"/>
  <c r="AH632" i="3"/>
  <c r="AO632" i="3"/>
  <c r="X632" i="3"/>
  <c r="AV630" i="3"/>
  <c r="Y632" i="3"/>
  <c r="Z632" i="3" s="1"/>
  <c r="AR633" i="3"/>
  <c r="A634" i="3"/>
  <c r="AQ633" i="3"/>
  <c r="B633" i="3"/>
  <c r="C633" i="3"/>
  <c r="D633" i="3"/>
  <c r="AK633" i="3"/>
  <c r="S633" i="3"/>
  <c r="Q633" i="3"/>
  <c r="AM633" i="3"/>
  <c r="T633" i="3"/>
  <c r="P633" i="3"/>
  <c r="AD633" i="3"/>
  <c r="O633" i="3"/>
  <c r="AE633" i="3"/>
  <c r="M633" i="3"/>
  <c r="AF633" i="3"/>
  <c r="V633" i="3"/>
  <c r="U633" i="3"/>
  <c r="F633" i="3"/>
  <c r="R633" i="3"/>
  <c r="G633" i="3"/>
  <c r="H633" i="3" s="1"/>
  <c r="BN633" i="3" s="1"/>
  <c r="BD629" i="3" l="1"/>
  <c r="BC630" i="3"/>
  <c r="BG630" i="3" s="1"/>
  <c r="BH630" i="3" s="1"/>
  <c r="BI630" i="3" s="1"/>
  <c r="AH633" i="3"/>
  <c r="A688" i="3"/>
  <c r="A690" i="3"/>
  <c r="B690" i="3" s="1"/>
  <c r="A691" i="3"/>
  <c r="B691" i="3" s="1"/>
  <c r="A231" i="2"/>
  <c r="C231" i="2"/>
  <c r="B231" i="2"/>
  <c r="B232" i="2"/>
  <c r="BM633" i="3"/>
  <c r="AU632" i="3"/>
  <c r="AT632" i="3"/>
  <c r="AW632" i="3"/>
  <c r="AN633" i="3"/>
  <c r="BF630" i="3"/>
  <c r="BJ629" i="3" s="1"/>
  <c r="BK629" i="3" s="1"/>
  <c r="BQ630" i="3"/>
  <c r="BD630" i="3"/>
  <c r="Y633" i="3"/>
  <c r="Z633" i="3" s="1"/>
  <c r="AR634" i="3"/>
  <c r="AQ634" i="3"/>
  <c r="B634" i="3"/>
  <c r="A635" i="3"/>
  <c r="C634" i="3"/>
  <c r="D634" i="3"/>
  <c r="S634" i="3"/>
  <c r="AK634" i="3"/>
  <c r="AM634" i="3"/>
  <c r="T634" i="3"/>
  <c r="R634" i="3"/>
  <c r="AD634" i="3"/>
  <c r="O634" i="3"/>
  <c r="AE634" i="3"/>
  <c r="P634" i="3"/>
  <c r="M634" i="3"/>
  <c r="AF634" i="3"/>
  <c r="V634" i="3"/>
  <c r="U634" i="3"/>
  <c r="F634" i="3"/>
  <c r="Q634" i="3"/>
  <c r="G634" i="3"/>
  <c r="H634" i="3" s="1"/>
  <c r="BN634" i="3" s="1"/>
  <c r="AG633" i="3"/>
  <c r="AO633" i="3"/>
  <c r="X633" i="3"/>
  <c r="AX632" i="3"/>
  <c r="AV631" i="3"/>
  <c r="BC631" i="3" s="1"/>
  <c r="BA631" i="3"/>
  <c r="AT633" i="3" l="1"/>
  <c r="B688" i="3"/>
  <c r="C688" i="3"/>
  <c r="F688" i="3"/>
  <c r="M688" i="3"/>
  <c r="O688" i="3"/>
  <c r="Q688" i="3"/>
  <c r="S688" i="3"/>
  <c r="U688" i="3"/>
  <c r="AE688" i="3"/>
  <c r="AK688" i="3"/>
  <c r="AR688" i="3"/>
  <c r="D688" i="3"/>
  <c r="G688" i="3"/>
  <c r="H688" i="3" s="1"/>
  <c r="P688" i="3"/>
  <c r="R688" i="3"/>
  <c r="T688" i="3"/>
  <c r="V688" i="3"/>
  <c r="AD688" i="3"/>
  <c r="AF688" i="3"/>
  <c r="AM688" i="3"/>
  <c r="AQ688" i="3"/>
  <c r="BM634" i="3"/>
  <c r="AV632" i="3"/>
  <c r="BA632" i="3"/>
  <c r="BQ632" i="3" s="1"/>
  <c r="AG634" i="3"/>
  <c r="AY632" i="3"/>
  <c r="AW633" i="3"/>
  <c r="AO634" i="3"/>
  <c r="BF631" i="3"/>
  <c r="BJ630" i="3" s="1"/>
  <c r="BK630" i="3" s="1"/>
  <c r="BQ631" i="3"/>
  <c r="BB631" i="3"/>
  <c r="BD631" i="3"/>
  <c r="BG631" i="3"/>
  <c r="BH631" i="3" s="1"/>
  <c r="BI631" i="3" s="1"/>
  <c r="Y634" i="3"/>
  <c r="Z634" i="3" s="1"/>
  <c r="A636" i="3"/>
  <c r="AQ635" i="3"/>
  <c r="AR635" i="3"/>
  <c r="B635" i="3"/>
  <c r="C635" i="3"/>
  <c r="AM635" i="3"/>
  <c r="AK635" i="3"/>
  <c r="D635" i="3"/>
  <c r="S635" i="3"/>
  <c r="R635" i="3"/>
  <c r="Q635" i="3"/>
  <c r="AD635" i="3"/>
  <c r="P635" i="3"/>
  <c r="O635" i="3"/>
  <c r="M635" i="3"/>
  <c r="AF635" i="3"/>
  <c r="AE635" i="3"/>
  <c r="V635" i="3"/>
  <c r="U635" i="3"/>
  <c r="G635" i="3"/>
  <c r="H635" i="3" s="1"/>
  <c r="BN635" i="3" s="1"/>
  <c r="F635" i="3"/>
  <c r="T635" i="3"/>
  <c r="AU633" i="3"/>
  <c r="AX633" i="3"/>
  <c r="AH634" i="3"/>
  <c r="AN634" i="3"/>
  <c r="X634" i="3"/>
  <c r="AN688" i="3" l="1"/>
  <c r="BM635" i="3"/>
  <c r="AV633" i="3"/>
  <c r="BF632" i="3"/>
  <c r="BJ631" i="3" s="1"/>
  <c r="BK631" i="3" s="1"/>
  <c r="AH688" i="3"/>
  <c r="AG688" i="3"/>
  <c r="Y688" i="3"/>
  <c r="Z688" i="3" s="1"/>
  <c r="AO688" i="3"/>
  <c r="X688" i="3"/>
  <c r="BC632" i="3"/>
  <c r="BG632" i="3" s="1"/>
  <c r="BH632" i="3" s="1"/>
  <c r="BI632" i="3" s="1"/>
  <c r="BB632" i="3"/>
  <c r="AT634" i="3"/>
  <c r="AY633" i="3"/>
  <c r="AU634" i="3"/>
  <c r="AW634" i="3"/>
  <c r="AG635" i="3"/>
  <c r="AO635" i="3"/>
  <c r="Y635" i="3"/>
  <c r="Z635" i="3" s="1"/>
  <c r="A637" i="3"/>
  <c r="AR636" i="3"/>
  <c r="B636" i="3"/>
  <c r="AQ636" i="3"/>
  <c r="D636" i="3"/>
  <c r="C636" i="3"/>
  <c r="AM636" i="3"/>
  <c r="T636" i="3"/>
  <c r="S636" i="3"/>
  <c r="AK636" i="3"/>
  <c r="Q636" i="3"/>
  <c r="AD636" i="3"/>
  <c r="P636" i="3"/>
  <c r="O636" i="3"/>
  <c r="AE636" i="3"/>
  <c r="M636" i="3"/>
  <c r="AF636" i="3"/>
  <c r="V636" i="3"/>
  <c r="U636" i="3"/>
  <c r="R636" i="3"/>
  <c r="G636" i="3"/>
  <c r="H636" i="3" s="1"/>
  <c r="BN636" i="3" s="1"/>
  <c r="F636" i="3"/>
  <c r="X635" i="3"/>
  <c r="BA633" i="3"/>
  <c r="AX634" i="3"/>
  <c r="AH635" i="3"/>
  <c r="AN635" i="3"/>
  <c r="BC633" i="3" l="1"/>
  <c r="BD633" i="3" s="1"/>
  <c r="BM636" i="3"/>
  <c r="BD632" i="3"/>
  <c r="AV634" i="3"/>
  <c r="AW688" i="3"/>
  <c r="AT688" i="3"/>
  <c r="AU688" i="3"/>
  <c r="AX688" i="3"/>
  <c r="AY634" i="3"/>
  <c r="AN636" i="3"/>
  <c r="AG636" i="3"/>
  <c r="BA634" i="3"/>
  <c r="BQ634" i="3" s="1"/>
  <c r="BQ633" i="3"/>
  <c r="BB633" i="3"/>
  <c r="BF633" i="3"/>
  <c r="BJ632" i="3" s="1"/>
  <c r="BK632" i="3" s="1"/>
  <c r="AX635" i="3"/>
  <c r="AT635" i="3"/>
  <c r="AW635" i="3"/>
  <c r="AU635" i="3"/>
  <c r="AH636" i="3"/>
  <c r="AO636" i="3"/>
  <c r="X636" i="3"/>
  <c r="Y636" i="3"/>
  <c r="Z636" i="3" s="1"/>
  <c r="AR637" i="3"/>
  <c r="A638" i="3"/>
  <c r="AQ637" i="3"/>
  <c r="B637" i="3"/>
  <c r="D637" i="3"/>
  <c r="S637" i="3"/>
  <c r="C637" i="3"/>
  <c r="AK637" i="3"/>
  <c r="AM637" i="3"/>
  <c r="Q637" i="3"/>
  <c r="R637" i="3"/>
  <c r="P637" i="3"/>
  <c r="AD637" i="3"/>
  <c r="AE637" i="3"/>
  <c r="M637" i="3"/>
  <c r="U637" i="3"/>
  <c r="O637" i="3"/>
  <c r="AF637" i="3"/>
  <c r="V637" i="3"/>
  <c r="G637" i="3"/>
  <c r="H637" i="3" s="1"/>
  <c r="F637" i="3"/>
  <c r="T637" i="3"/>
  <c r="BG633" i="3" l="1"/>
  <c r="BH633" i="3" s="1"/>
  <c r="BI633" i="3" s="1"/>
  <c r="BM637" i="3"/>
  <c r="BC634" i="3"/>
  <c r="BD634" i="3" s="1"/>
  <c r="AY688" i="3"/>
  <c r="AV688" i="3"/>
  <c r="BA688" i="3"/>
  <c r="BB688" i="3" s="1"/>
  <c r="AY635" i="3"/>
  <c r="BN637" i="3"/>
  <c r="AN637" i="3"/>
  <c r="AX636" i="3"/>
  <c r="AH637" i="3"/>
  <c r="AT636" i="3"/>
  <c r="AU636" i="3"/>
  <c r="BF634" i="3"/>
  <c r="BJ633" i="3" s="1"/>
  <c r="BK633" i="3" s="1"/>
  <c r="BB634" i="3"/>
  <c r="X637" i="3"/>
  <c r="AR638" i="3"/>
  <c r="AQ638" i="3"/>
  <c r="B638" i="3"/>
  <c r="A639" i="3"/>
  <c r="D638" i="3"/>
  <c r="AM638" i="3"/>
  <c r="AK638" i="3"/>
  <c r="R638" i="3"/>
  <c r="C638" i="3"/>
  <c r="S638" i="3"/>
  <c r="Q638" i="3"/>
  <c r="AD638" i="3"/>
  <c r="P638" i="3"/>
  <c r="O638" i="3"/>
  <c r="M638" i="3"/>
  <c r="AE638" i="3"/>
  <c r="AF638" i="3"/>
  <c r="V638" i="3"/>
  <c r="U638" i="3"/>
  <c r="G638" i="3"/>
  <c r="H638" i="3" s="1"/>
  <c r="F638" i="3"/>
  <c r="T638" i="3"/>
  <c r="BA635" i="3"/>
  <c r="AV635" i="3"/>
  <c r="Y637" i="3"/>
  <c r="Z637" i="3" s="1"/>
  <c r="AG637" i="3"/>
  <c r="AO637" i="3"/>
  <c r="AW636" i="3"/>
  <c r="BM638" i="3" l="1"/>
  <c r="BC635" i="3"/>
  <c r="BG635" i="3" s="1"/>
  <c r="BH635" i="3" s="1"/>
  <c r="BI635" i="3" s="1"/>
  <c r="BG634" i="3"/>
  <c r="BH634" i="3" s="1"/>
  <c r="BI634" i="3" s="1"/>
  <c r="AY636" i="3"/>
  <c r="BC688" i="3"/>
  <c r="BD688" i="3" s="1"/>
  <c r="BN638" i="3"/>
  <c r="AV636" i="3"/>
  <c r="AX637" i="3"/>
  <c r="AO638" i="3"/>
  <c r="Y638" i="3"/>
  <c r="Z638" i="3" s="1"/>
  <c r="BQ635" i="3"/>
  <c r="BB635" i="3"/>
  <c r="BF635" i="3"/>
  <c r="BJ634" i="3" s="1"/>
  <c r="BK634" i="3" s="1"/>
  <c r="X638" i="3"/>
  <c r="AT637" i="3"/>
  <c r="A640" i="3"/>
  <c r="AQ639" i="3"/>
  <c r="AR639" i="3"/>
  <c r="B639" i="3"/>
  <c r="C639" i="3"/>
  <c r="D639" i="3"/>
  <c r="S639" i="3"/>
  <c r="AM639" i="3"/>
  <c r="AK639" i="3"/>
  <c r="Q639" i="3"/>
  <c r="AD639" i="3"/>
  <c r="P639" i="3"/>
  <c r="O639" i="3"/>
  <c r="AE639" i="3"/>
  <c r="U639" i="3"/>
  <c r="M639" i="3"/>
  <c r="AF639" i="3"/>
  <c r="V639" i="3"/>
  <c r="F639" i="3"/>
  <c r="R639" i="3"/>
  <c r="G639" i="3"/>
  <c r="H639" i="3" s="1"/>
  <c r="T639" i="3"/>
  <c r="BA636" i="3"/>
  <c r="AW637" i="3"/>
  <c r="AG638" i="3"/>
  <c r="AH638" i="3"/>
  <c r="AN638" i="3"/>
  <c r="AU637" i="3"/>
  <c r="BD635" i="3" l="1"/>
  <c r="BM639" i="3"/>
  <c r="BC636" i="3"/>
  <c r="BG636" i="3" s="1"/>
  <c r="BH636" i="3" s="1"/>
  <c r="BI636" i="3" s="1"/>
  <c r="BG688" i="3"/>
  <c r="BH688" i="3" s="1"/>
  <c r="BI688" i="3" s="1"/>
  <c r="BN639" i="3"/>
  <c r="AY637" i="3"/>
  <c r="AO639" i="3"/>
  <c r="AU638" i="3"/>
  <c r="BQ636" i="3"/>
  <c r="BF636" i="3"/>
  <c r="BJ635" i="3" s="1"/>
  <c r="BK635" i="3" s="1"/>
  <c r="BB636" i="3"/>
  <c r="AV637" i="3"/>
  <c r="BA637" i="3"/>
  <c r="AH639" i="3"/>
  <c r="X639" i="3"/>
  <c r="AX638" i="3"/>
  <c r="Y639" i="3"/>
  <c r="Z639" i="3" s="1"/>
  <c r="AG639" i="3"/>
  <c r="AN639" i="3"/>
  <c r="A641" i="3"/>
  <c r="AR640" i="3"/>
  <c r="B640" i="3"/>
  <c r="AQ640" i="3"/>
  <c r="C640" i="3"/>
  <c r="AK640" i="3"/>
  <c r="S640" i="3"/>
  <c r="Q640" i="3"/>
  <c r="D640" i="3"/>
  <c r="AM640" i="3"/>
  <c r="R640" i="3"/>
  <c r="AD640" i="3"/>
  <c r="P640" i="3"/>
  <c r="M640" i="3"/>
  <c r="AE640" i="3"/>
  <c r="V640" i="3"/>
  <c r="O640" i="3"/>
  <c r="AF640" i="3"/>
  <c r="U640" i="3"/>
  <c r="F640" i="3"/>
  <c r="G640" i="3"/>
  <c r="H640" i="3" s="1"/>
  <c r="BN640" i="3" s="1"/>
  <c r="T640" i="3"/>
  <c r="AW638" i="3"/>
  <c r="AT638" i="3"/>
  <c r="AU639" i="3" l="1"/>
  <c r="BD636" i="3"/>
  <c r="BG690" i="3"/>
  <c r="BH690" i="3" s="1"/>
  <c r="BI690" i="3" s="1"/>
  <c r="BG689" i="3"/>
  <c r="BH689" i="3" s="1"/>
  <c r="BI689" i="3" s="1"/>
  <c r="AT639" i="3"/>
  <c r="BC637" i="3"/>
  <c r="BG637" i="3" s="1"/>
  <c r="BH637" i="3" s="1"/>
  <c r="BI637" i="3" s="1"/>
  <c r="AN640" i="3"/>
  <c r="BM640" i="3"/>
  <c r="Y640" i="3"/>
  <c r="Z640" i="3" s="1"/>
  <c r="BA638" i="3"/>
  <c r="AV638" i="3"/>
  <c r="AR641" i="3"/>
  <c r="A642" i="3"/>
  <c r="AQ641" i="3"/>
  <c r="B641" i="3"/>
  <c r="C641" i="3"/>
  <c r="D641" i="3"/>
  <c r="AM641" i="3"/>
  <c r="AK641" i="3"/>
  <c r="T641" i="3"/>
  <c r="S641" i="3"/>
  <c r="AD641" i="3"/>
  <c r="R641" i="3"/>
  <c r="Q641" i="3"/>
  <c r="P641" i="3"/>
  <c r="O641" i="3"/>
  <c r="AE641" i="3"/>
  <c r="M641" i="3"/>
  <c r="AF641" i="3"/>
  <c r="V641" i="3"/>
  <c r="U641" i="3"/>
  <c r="G641" i="3"/>
  <c r="H641" i="3" s="1"/>
  <c r="F641" i="3"/>
  <c r="BB637" i="3"/>
  <c r="BF637" i="3"/>
  <c r="BJ636" i="3" s="1"/>
  <c r="BK636" i="3" s="1"/>
  <c r="BQ637" i="3"/>
  <c r="AY638" i="3"/>
  <c r="AG640" i="3"/>
  <c r="X640" i="3"/>
  <c r="AW639" i="3"/>
  <c r="AH640" i="3"/>
  <c r="AO640" i="3"/>
  <c r="AX639" i="3"/>
  <c r="AV639" i="3" l="1"/>
  <c r="BD637" i="3"/>
  <c r="BA639" i="3"/>
  <c r="BF639" i="3" s="1"/>
  <c r="AX640" i="3"/>
  <c r="BM641" i="3"/>
  <c r="AO641" i="3"/>
  <c r="AG641" i="3"/>
  <c r="BB638" i="3"/>
  <c r="BF638" i="3"/>
  <c r="BJ637" i="3" s="1"/>
  <c r="BK637" i="3" s="1"/>
  <c r="BQ638" i="3"/>
  <c r="AT640" i="3"/>
  <c r="AW640" i="3"/>
  <c r="AU640" i="3"/>
  <c r="AY639" i="3"/>
  <c r="BN641" i="3"/>
  <c r="AH641" i="3"/>
  <c r="AN641" i="3"/>
  <c r="X641" i="3"/>
  <c r="Y641" i="3"/>
  <c r="Z641" i="3" s="1"/>
  <c r="AR642" i="3"/>
  <c r="AQ642" i="3"/>
  <c r="B642" i="3"/>
  <c r="A643" i="3"/>
  <c r="C642" i="3"/>
  <c r="D642" i="3"/>
  <c r="AK642" i="3"/>
  <c r="S642" i="3"/>
  <c r="R642" i="3"/>
  <c r="Q642" i="3"/>
  <c r="AD642" i="3"/>
  <c r="P642" i="3"/>
  <c r="AM642" i="3"/>
  <c r="AE642" i="3"/>
  <c r="M642" i="3"/>
  <c r="AF642" i="3"/>
  <c r="O642" i="3"/>
  <c r="V642" i="3"/>
  <c r="U642" i="3"/>
  <c r="F642" i="3"/>
  <c r="G642" i="3"/>
  <c r="H642" i="3" s="1"/>
  <c r="T642" i="3"/>
  <c r="BC638" i="3"/>
  <c r="BC639" i="3" l="1"/>
  <c r="AN642" i="3"/>
  <c r="BQ639" i="3"/>
  <c r="BB639" i="3"/>
  <c r="AY640" i="3"/>
  <c r="BM642" i="3"/>
  <c r="AX641" i="3"/>
  <c r="AT641" i="3"/>
  <c r="AG642" i="3"/>
  <c r="Y642" i="3"/>
  <c r="Z642" i="3" s="1"/>
  <c r="BD639" i="3"/>
  <c r="BG639" i="3"/>
  <c r="BH639" i="3" s="1"/>
  <c r="BI639" i="3" s="1"/>
  <c r="A644" i="3"/>
  <c r="AQ643" i="3"/>
  <c r="AR643" i="3"/>
  <c r="B643" i="3"/>
  <c r="D643" i="3"/>
  <c r="AK643" i="3"/>
  <c r="C643" i="3"/>
  <c r="AM643" i="3"/>
  <c r="T643" i="3"/>
  <c r="R643" i="3"/>
  <c r="Q643" i="3"/>
  <c r="AD643" i="3"/>
  <c r="S643" i="3"/>
  <c r="P643" i="3"/>
  <c r="O643" i="3"/>
  <c r="AF643" i="3"/>
  <c r="V643" i="3"/>
  <c r="U643" i="3"/>
  <c r="AE643" i="3"/>
  <c r="M643" i="3"/>
  <c r="G643" i="3"/>
  <c r="H643" i="3" s="1"/>
  <c r="F643" i="3"/>
  <c r="BD638" i="3"/>
  <c r="BG638" i="3"/>
  <c r="BH638" i="3" s="1"/>
  <c r="BI638" i="3" s="1"/>
  <c r="AV640" i="3"/>
  <c r="BA640" i="3"/>
  <c r="AH642" i="3"/>
  <c r="BN642" i="3"/>
  <c r="AO642" i="3"/>
  <c r="X642" i="3"/>
  <c r="AU641" i="3"/>
  <c r="BJ638" i="3"/>
  <c r="BK638" i="3" s="1"/>
  <c r="AW641" i="3"/>
  <c r="BN643" i="3" l="1"/>
  <c r="AU642" i="3"/>
  <c r="AN643" i="3"/>
  <c r="BC640" i="3"/>
  <c r="BD640" i="3" s="1"/>
  <c r="AY641" i="3"/>
  <c r="BM643" i="3"/>
  <c r="AV641" i="3"/>
  <c r="AT642" i="3"/>
  <c r="AW642" i="3"/>
  <c r="BB640" i="3"/>
  <c r="BQ640" i="3"/>
  <c r="BF640" i="3"/>
  <c r="BJ639" i="3" s="1"/>
  <c r="BK639" i="3" s="1"/>
  <c r="Y643" i="3"/>
  <c r="Z643" i="3" s="1"/>
  <c r="A645" i="3"/>
  <c r="AR644" i="3"/>
  <c r="B644" i="3"/>
  <c r="AQ644" i="3"/>
  <c r="D644" i="3"/>
  <c r="C644" i="3"/>
  <c r="AK644" i="3"/>
  <c r="AM644" i="3"/>
  <c r="T644" i="3"/>
  <c r="R644" i="3"/>
  <c r="S644" i="3"/>
  <c r="AD644" i="3"/>
  <c r="Q644" i="3"/>
  <c r="P644" i="3"/>
  <c r="O644" i="3"/>
  <c r="U644" i="3"/>
  <c r="V644" i="3"/>
  <c r="M644" i="3"/>
  <c r="AE644" i="3"/>
  <c r="AF644" i="3"/>
  <c r="G644" i="3"/>
  <c r="H644" i="3" s="1"/>
  <c r="F644" i="3"/>
  <c r="BM644" i="3" s="1"/>
  <c r="AH643" i="3"/>
  <c r="BA641" i="3"/>
  <c r="AX642" i="3"/>
  <c r="AG643" i="3"/>
  <c r="X643" i="3"/>
  <c r="AO643" i="3"/>
  <c r="AV642" i="3" l="1"/>
  <c r="BN644" i="3"/>
  <c r="BG640" i="3"/>
  <c r="BH640" i="3" s="1"/>
  <c r="BI640" i="3" s="1"/>
  <c r="BC641" i="3"/>
  <c r="BD641" i="3" s="1"/>
  <c r="AN644" i="3"/>
  <c r="AY642" i="3"/>
  <c r="BC642" i="3" s="1"/>
  <c r="BD642" i="3" s="1"/>
  <c r="AT643" i="3"/>
  <c r="BA642" i="3"/>
  <c r="BQ642" i="3" s="1"/>
  <c r="AU643" i="3"/>
  <c r="Y644" i="3"/>
  <c r="Z644" i="3" s="1"/>
  <c r="AR645" i="3"/>
  <c r="A646" i="3"/>
  <c r="AQ645" i="3"/>
  <c r="B645" i="3"/>
  <c r="C645" i="3"/>
  <c r="AM645" i="3"/>
  <c r="S645" i="3"/>
  <c r="R645" i="3"/>
  <c r="Q645" i="3"/>
  <c r="D645" i="3"/>
  <c r="AK645" i="3"/>
  <c r="AD645" i="3"/>
  <c r="P645" i="3"/>
  <c r="O645" i="3"/>
  <c r="M645" i="3"/>
  <c r="AF645" i="3"/>
  <c r="AE645" i="3"/>
  <c r="U645" i="3"/>
  <c r="V645" i="3"/>
  <c r="G645" i="3"/>
  <c r="H645" i="3" s="1"/>
  <c r="BN645" i="3" s="1"/>
  <c r="F645" i="3"/>
  <c r="T645" i="3"/>
  <c r="AX643" i="3"/>
  <c r="AG644" i="3"/>
  <c r="AO644" i="3"/>
  <c r="BQ641" i="3"/>
  <c r="BF641" i="3"/>
  <c r="BJ640" i="3" s="1"/>
  <c r="BK640" i="3" s="1"/>
  <c r="BB641" i="3"/>
  <c r="AW643" i="3"/>
  <c r="AH644" i="3"/>
  <c r="X644" i="3"/>
  <c r="BM645" i="3" l="1"/>
  <c r="BG641" i="3"/>
  <c r="BH641" i="3" s="1"/>
  <c r="BI641" i="3" s="1"/>
  <c r="AO645" i="3"/>
  <c r="AV643" i="3"/>
  <c r="BG642" i="3"/>
  <c r="BH642" i="3" s="1"/>
  <c r="BI642" i="3" s="1"/>
  <c r="BB642" i="3"/>
  <c r="BF642" i="3"/>
  <c r="BJ641" i="3" s="1"/>
  <c r="BK641" i="3" s="1"/>
  <c r="AX644" i="3"/>
  <c r="AG645" i="3"/>
  <c r="AY643" i="3"/>
  <c r="BA643" i="3"/>
  <c r="BB643" i="3" s="1"/>
  <c r="AR646" i="3"/>
  <c r="AQ646" i="3"/>
  <c r="B646" i="3"/>
  <c r="A647" i="3"/>
  <c r="C646" i="3"/>
  <c r="AM646" i="3"/>
  <c r="T646" i="3"/>
  <c r="D646" i="3"/>
  <c r="AK646" i="3"/>
  <c r="S646" i="3"/>
  <c r="Q646" i="3"/>
  <c r="R646" i="3"/>
  <c r="AD646" i="3"/>
  <c r="P646" i="3"/>
  <c r="O646" i="3"/>
  <c r="AE646" i="3"/>
  <c r="M646" i="3"/>
  <c r="AF646" i="3"/>
  <c r="V646" i="3"/>
  <c r="U646" i="3"/>
  <c r="F646" i="3"/>
  <c r="G646" i="3"/>
  <c r="H646" i="3" s="1"/>
  <c r="AW644" i="3"/>
  <c r="AU644" i="3"/>
  <c r="Y645" i="3"/>
  <c r="Z645" i="3" s="1"/>
  <c r="AH645" i="3"/>
  <c r="AN645" i="3"/>
  <c r="AT644" i="3"/>
  <c r="X645" i="3"/>
  <c r="BC643" i="3" l="1"/>
  <c r="BM646" i="3"/>
  <c r="BN646" i="3"/>
  <c r="AY644" i="3"/>
  <c r="BF643" i="3"/>
  <c r="BJ642" i="3" s="1"/>
  <c r="BK642" i="3" s="1"/>
  <c r="AW645" i="3"/>
  <c r="AU645" i="3"/>
  <c r="AG646" i="3"/>
  <c r="AN646" i="3"/>
  <c r="BQ643" i="3"/>
  <c r="AV644" i="3"/>
  <c r="BA644" i="3"/>
  <c r="AT645" i="3"/>
  <c r="AX645" i="3"/>
  <c r="BD643" i="3"/>
  <c r="BG643" i="3"/>
  <c r="BH643" i="3" s="1"/>
  <c r="BI643" i="3" s="1"/>
  <c r="AH646" i="3"/>
  <c r="AO646" i="3"/>
  <c r="X646" i="3"/>
  <c r="Y646" i="3"/>
  <c r="Z646" i="3" s="1"/>
  <c r="A648" i="3"/>
  <c r="AQ647" i="3"/>
  <c r="AR647" i="3"/>
  <c r="B647" i="3"/>
  <c r="C647" i="3"/>
  <c r="AK647" i="3"/>
  <c r="AM647" i="3"/>
  <c r="D647" i="3"/>
  <c r="R647" i="3"/>
  <c r="Q647" i="3"/>
  <c r="S647" i="3"/>
  <c r="AD647" i="3"/>
  <c r="P647" i="3"/>
  <c r="O647" i="3"/>
  <c r="AE647" i="3"/>
  <c r="V647" i="3"/>
  <c r="M647" i="3"/>
  <c r="AF647" i="3"/>
  <c r="U647" i="3"/>
  <c r="G647" i="3"/>
  <c r="H647" i="3" s="1"/>
  <c r="BN647" i="3" s="1"/>
  <c r="F647" i="3"/>
  <c r="T647" i="3"/>
  <c r="BM647" i="3" l="1"/>
  <c r="BC644" i="3"/>
  <c r="BG644" i="3" s="1"/>
  <c r="BH644" i="3" s="1"/>
  <c r="BI644" i="3" s="1"/>
  <c r="AT646" i="3"/>
  <c r="AU646" i="3"/>
  <c r="AY645" i="3"/>
  <c r="AO647" i="3"/>
  <c r="AW646" i="3"/>
  <c r="AH647" i="3"/>
  <c r="Y647" i="3"/>
  <c r="Z647" i="3" s="1"/>
  <c r="A649" i="3"/>
  <c r="AR648" i="3"/>
  <c r="B648" i="3"/>
  <c r="AQ648" i="3"/>
  <c r="D648" i="3"/>
  <c r="C648" i="3"/>
  <c r="AK648" i="3"/>
  <c r="R648" i="3"/>
  <c r="AM648" i="3"/>
  <c r="S648" i="3"/>
  <c r="Q648" i="3"/>
  <c r="AD648" i="3"/>
  <c r="P648" i="3"/>
  <c r="O648" i="3"/>
  <c r="M648" i="3"/>
  <c r="U648" i="3"/>
  <c r="V648" i="3"/>
  <c r="AF648" i="3"/>
  <c r="AE648" i="3"/>
  <c r="F648" i="3"/>
  <c r="G648" i="3"/>
  <c r="H648" i="3" s="1"/>
  <c r="BN648" i="3" s="1"/>
  <c r="T648" i="3"/>
  <c r="AV645" i="3"/>
  <c r="BA645" i="3"/>
  <c r="AG647" i="3"/>
  <c r="AN647" i="3"/>
  <c r="X647" i="3"/>
  <c r="AX646" i="3"/>
  <c r="BQ644" i="3"/>
  <c r="BF644" i="3"/>
  <c r="BJ643" i="3" s="1"/>
  <c r="BK643" i="3" s="1"/>
  <c r="BB644" i="3"/>
  <c r="BD644" i="3" l="1"/>
  <c r="BM648" i="3"/>
  <c r="AV646" i="3"/>
  <c r="AN648" i="3"/>
  <c r="BC645" i="3"/>
  <c r="BD645" i="3" s="1"/>
  <c r="BA646" i="3"/>
  <c r="BB646" i="3" s="1"/>
  <c r="AT647" i="3"/>
  <c r="AU647" i="3"/>
  <c r="AX647" i="3"/>
  <c r="BB645" i="3"/>
  <c r="BF645" i="3"/>
  <c r="BJ644" i="3" s="1"/>
  <c r="BK644" i="3" s="1"/>
  <c r="BQ645" i="3"/>
  <c r="AW647" i="3"/>
  <c r="Y648" i="3"/>
  <c r="Z648" i="3" s="1"/>
  <c r="X648" i="3"/>
  <c r="AY646" i="3"/>
  <c r="AH648" i="3"/>
  <c r="AG648" i="3"/>
  <c r="AR649" i="3"/>
  <c r="A650" i="3"/>
  <c r="AQ649" i="3"/>
  <c r="B649" i="3"/>
  <c r="C649" i="3"/>
  <c r="D649" i="3"/>
  <c r="AM649" i="3"/>
  <c r="AK649" i="3"/>
  <c r="R649" i="3"/>
  <c r="Q649" i="3"/>
  <c r="S649" i="3"/>
  <c r="AD649" i="3"/>
  <c r="P649" i="3"/>
  <c r="O649" i="3"/>
  <c r="M649" i="3"/>
  <c r="AE649" i="3"/>
  <c r="AF649" i="3"/>
  <c r="V649" i="3"/>
  <c r="U649" i="3"/>
  <c r="F649" i="3"/>
  <c r="G649" i="3"/>
  <c r="H649" i="3" s="1"/>
  <c r="T649" i="3"/>
  <c r="AO648" i="3"/>
  <c r="BC646" i="3" l="1"/>
  <c r="BG646" i="3" s="1"/>
  <c r="BH646" i="3" s="1"/>
  <c r="BI646" i="3" s="1"/>
  <c r="BG645" i="3"/>
  <c r="BH645" i="3" s="1"/>
  <c r="BI645" i="3" s="1"/>
  <c r="BQ646" i="3"/>
  <c r="BN649" i="3"/>
  <c r="BF646" i="3"/>
  <c r="BJ645" i="3" s="1"/>
  <c r="BK645" i="3" s="1"/>
  <c r="AY647" i="3"/>
  <c r="AV647" i="3"/>
  <c r="AW648" i="3"/>
  <c r="AN649" i="3"/>
  <c r="BA647" i="3"/>
  <c r="BF647" i="3" s="1"/>
  <c r="AR650" i="3"/>
  <c r="AQ650" i="3"/>
  <c r="B650" i="3"/>
  <c r="A651" i="3"/>
  <c r="C650" i="3"/>
  <c r="D650" i="3"/>
  <c r="S650" i="3"/>
  <c r="Q650" i="3"/>
  <c r="R650" i="3"/>
  <c r="AM650" i="3"/>
  <c r="AK650" i="3"/>
  <c r="AD650" i="3"/>
  <c r="P650" i="3"/>
  <c r="O650" i="3"/>
  <c r="M650" i="3"/>
  <c r="AF650" i="3"/>
  <c r="U650" i="3"/>
  <c r="V650" i="3"/>
  <c r="AE650" i="3"/>
  <c r="G650" i="3"/>
  <c r="H650" i="3" s="1"/>
  <c r="F650" i="3"/>
  <c r="T650" i="3"/>
  <c r="BD646" i="3"/>
  <c r="X649" i="3"/>
  <c r="Y649" i="3"/>
  <c r="Z649" i="3" s="1"/>
  <c r="BM649" i="3"/>
  <c r="AG649" i="3"/>
  <c r="AH649" i="3"/>
  <c r="AO649" i="3"/>
  <c r="AU648" i="3"/>
  <c r="AX648" i="3"/>
  <c r="AT648" i="3"/>
  <c r="BM650" i="3" l="1"/>
  <c r="BN650" i="3"/>
  <c r="BJ646" i="3"/>
  <c r="BK646" i="3" s="1"/>
  <c r="AY648" i="3"/>
  <c r="BC647" i="3"/>
  <c r="BG647" i="3" s="1"/>
  <c r="BH647" i="3" s="1"/>
  <c r="BI647" i="3" s="1"/>
  <c r="AT649" i="3"/>
  <c r="BQ647" i="3"/>
  <c r="BB647" i="3"/>
  <c r="AU649" i="3"/>
  <c r="AW649" i="3"/>
  <c r="AV648" i="3"/>
  <c r="BA648" i="3"/>
  <c r="AN650" i="3"/>
  <c r="AO650" i="3"/>
  <c r="Y650" i="3"/>
  <c r="Z650" i="3" s="1"/>
  <c r="AX649" i="3"/>
  <c r="AG650" i="3"/>
  <c r="X650" i="3"/>
  <c r="A652" i="3"/>
  <c r="AQ651" i="3"/>
  <c r="AR651" i="3"/>
  <c r="B651" i="3"/>
  <c r="C651" i="3"/>
  <c r="AM651" i="3"/>
  <c r="AK651" i="3"/>
  <c r="T651" i="3"/>
  <c r="S651" i="3"/>
  <c r="R651" i="3"/>
  <c r="Q651" i="3"/>
  <c r="D651" i="3"/>
  <c r="AD651" i="3"/>
  <c r="O651" i="3"/>
  <c r="M651" i="3"/>
  <c r="U651" i="3"/>
  <c r="V651" i="3"/>
  <c r="P651" i="3"/>
  <c r="AE651" i="3"/>
  <c r="AF651" i="3"/>
  <c r="G651" i="3"/>
  <c r="H651" i="3" s="1"/>
  <c r="F651" i="3"/>
  <c r="AH650" i="3"/>
  <c r="BD647" i="3" l="1"/>
  <c r="BC648" i="3"/>
  <c r="BD648" i="3" s="1"/>
  <c r="BM651" i="3"/>
  <c r="AN651" i="3"/>
  <c r="AV649" i="3"/>
  <c r="AH651" i="3"/>
  <c r="AW650" i="3"/>
  <c r="AY649" i="3"/>
  <c r="BB648" i="3"/>
  <c r="BF648" i="3"/>
  <c r="BJ647" i="3" s="1"/>
  <c r="BK647" i="3" s="1"/>
  <c r="BQ648" i="3"/>
  <c r="A653" i="3"/>
  <c r="AR652" i="3"/>
  <c r="B652" i="3"/>
  <c r="AQ652" i="3"/>
  <c r="D652" i="3"/>
  <c r="C652" i="3"/>
  <c r="AK652" i="3"/>
  <c r="AM652" i="3"/>
  <c r="Q652" i="3"/>
  <c r="S652" i="3"/>
  <c r="R652" i="3"/>
  <c r="AD652" i="3"/>
  <c r="P652" i="3"/>
  <c r="O652" i="3"/>
  <c r="AF652" i="3"/>
  <c r="AE652" i="3"/>
  <c r="U652" i="3"/>
  <c r="M652" i="3"/>
  <c r="V652" i="3"/>
  <c r="G652" i="3"/>
  <c r="H652" i="3" s="1"/>
  <c r="F652" i="3"/>
  <c r="T652" i="3"/>
  <c r="AU650" i="3"/>
  <c r="AX650" i="3"/>
  <c r="BN651" i="3"/>
  <c r="AG651" i="3"/>
  <c r="AO651" i="3"/>
  <c r="X651" i="3"/>
  <c r="BA649" i="3"/>
  <c r="Y651" i="3"/>
  <c r="Z651" i="3" s="1"/>
  <c r="AT650" i="3"/>
  <c r="AY650" i="3" l="1"/>
  <c r="BG648" i="3"/>
  <c r="BH648" i="3" s="1"/>
  <c r="BI648" i="3" s="1"/>
  <c r="BM652" i="3"/>
  <c r="AO652" i="3"/>
  <c r="BC649" i="3"/>
  <c r="BG649" i="3" s="1"/>
  <c r="BH649" i="3" s="1"/>
  <c r="BI649" i="3" s="1"/>
  <c r="AW651" i="3"/>
  <c r="AU651" i="3"/>
  <c r="AV650" i="3"/>
  <c r="BC650" i="3" s="1"/>
  <c r="BA650" i="3"/>
  <c r="AX651" i="3"/>
  <c r="AT651" i="3"/>
  <c r="Y652" i="3"/>
  <c r="Z652" i="3" s="1"/>
  <c r="BN652" i="3"/>
  <c r="AG652" i="3"/>
  <c r="AH652" i="3"/>
  <c r="AN652" i="3"/>
  <c r="X652" i="3"/>
  <c r="BF649" i="3"/>
  <c r="BJ648" i="3" s="1"/>
  <c r="BK648" i="3" s="1"/>
  <c r="BB649" i="3"/>
  <c r="BQ649" i="3"/>
  <c r="AQ653" i="3"/>
  <c r="B653" i="3"/>
  <c r="A654" i="3"/>
  <c r="AR653" i="3"/>
  <c r="C653" i="3"/>
  <c r="S653" i="3"/>
  <c r="Q653" i="3"/>
  <c r="D653" i="3"/>
  <c r="AK653" i="3"/>
  <c r="AM653" i="3"/>
  <c r="T653" i="3"/>
  <c r="R653" i="3"/>
  <c r="AD653" i="3"/>
  <c r="P653" i="3"/>
  <c r="O653" i="3"/>
  <c r="AE653" i="3"/>
  <c r="AF653" i="3"/>
  <c r="V653" i="3"/>
  <c r="U653" i="3"/>
  <c r="M653" i="3"/>
  <c r="G653" i="3"/>
  <c r="H653" i="3" s="1"/>
  <c r="F653" i="3"/>
  <c r="BN653" i="3" l="1"/>
  <c r="BD649" i="3"/>
  <c r="AY651" i="3"/>
  <c r="AT652" i="3"/>
  <c r="AO653" i="3"/>
  <c r="AX652" i="3"/>
  <c r="BD650" i="3"/>
  <c r="BG650" i="3"/>
  <c r="BH650" i="3" s="1"/>
  <c r="BI650" i="3" s="1"/>
  <c r="AR654" i="3"/>
  <c r="AQ654" i="3"/>
  <c r="B654" i="3"/>
  <c r="A655" i="3"/>
  <c r="C654" i="3"/>
  <c r="S654" i="3"/>
  <c r="AM654" i="3"/>
  <c r="AK654" i="3"/>
  <c r="D654" i="3"/>
  <c r="T654" i="3"/>
  <c r="R654" i="3"/>
  <c r="Q654" i="3"/>
  <c r="AD654" i="3"/>
  <c r="P654" i="3"/>
  <c r="AE654" i="3"/>
  <c r="V654" i="3"/>
  <c r="O654" i="3"/>
  <c r="M654" i="3"/>
  <c r="AF654" i="3"/>
  <c r="U654" i="3"/>
  <c r="G654" i="3"/>
  <c r="H654" i="3" s="1"/>
  <c r="BN654" i="3" s="1"/>
  <c r="F654" i="3"/>
  <c r="Y653" i="3"/>
  <c r="Z653" i="3" s="1"/>
  <c r="BB650" i="3"/>
  <c r="BQ650" i="3"/>
  <c r="BF650" i="3"/>
  <c r="BJ649" i="3" s="1"/>
  <c r="BK649" i="3" s="1"/>
  <c r="BM653" i="3"/>
  <c r="AG653" i="3"/>
  <c r="AN653" i="3"/>
  <c r="AU652" i="3"/>
  <c r="AV652" i="3" s="1"/>
  <c r="AW652" i="3"/>
  <c r="AV651" i="3"/>
  <c r="BA651" i="3"/>
  <c r="AH653" i="3"/>
  <c r="X653" i="3"/>
  <c r="BC651" i="3" l="1"/>
  <c r="BG651" i="3" s="1"/>
  <c r="BH651" i="3" s="1"/>
  <c r="BI651" i="3" s="1"/>
  <c r="BM654" i="3"/>
  <c r="AO654" i="3"/>
  <c r="AH654" i="3"/>
  <c r="AX653" i="3"/>
  <c r="AY652" i="3"/>
  <c r="BC652" i="3" s="1"/>
  <c r="BA652" i="3"/>
  <c r="BQ652" i="3" s="1"/>
  <c r="AU653" i="3"/>
  <c r="BF651" i="3"/>
  <c r="BJ650" i="3" s="1"/>
  <c r="BK650" i="3" s="1"/>
  <c r="BQ651" i="3"/>
  <c r="BB651" i="3"/>
  <c r="AT653" i="3"/>
  <c r="AW653" i="3"/>
  <c r="AG654" i="3"/>
  <c r="Y654" i="3"/>
  <c r="Z654" i="3" s="1"/>
  <c r="AN654" i="3"/>
  <c r="X654" i="3"/>
  <c r="A656" i="3"/>
  <c r="AQ655" i="3"/>
  <c r="AR655" i="3"/>
  <c r="B655" i="3"/>
  <c r="C655" i="3"/>
  <c r="D655" i="3"/>
  <c r="AM655" i="3"/>
  <c r="T655" i="3"/>
  <c r="Q655" i="3"/>
  <c r="S655" i="3"/>
  <c r="R655" i="3"/>
  <c r="AD655" i="3"/>
  <c r="AK655" i="3"/>
  <c r="O655" i="3"/>
  <c r="M655" i="3"/>
  <c r="P655" i="3"/>
  <c r="AE655" i="3"/>
  <c r="AF655" i="3"/>
  <c r="U655" i="3"/>
  <c r="V655" i="3"/>
  <c r="G655" i="3"/>
  <c r="H655" i="3" s="1"/>
  <c r="F655" i="3"/>
  <c r="AO655" i="3" l="1"/>
  <c r="BD651" i="3"/>
  <c r="BM655" i="3"/>
  <c r="BN655" i="3"/>
  <c r="AT654" i="3"/>
  <c r="AX654" i="3"/>
  <c r="AU654" i="3"/>
  <c r="AV653" i="3"/>
  <c r="AY653" i="3"/>
  <c r="BF652" i="3"/>
  <c r="BJ651" i="3" s="1"/>
  <c r="BK651" i="3" s="1"/>
  <c r="BB652" i="3"/>
  <c r="BA653" i="3"/>
  <c r="BF653" i="3" s="1"/>
  <c r="AG655" i="3"/>
  <c r="Y655" i="3"/>
  <c r="Z655" i="3" s="1"/>
  <c r="BD652" i="3"/>
  <c r="BG652" i="3"/>
  <c r="BH652" i="3" s="1"/>
  <c r="BI652" i="3" s="1"/>
  <c r="AH655" i="3"/>
  <c r="AW654" i="3"/>
  <c r="A657" i="3"/>
  <c r="AR656" i="3"/>
  <c r="B656" i="3"/>
  <c r="AQ656" i="3"/>
  <c r="C656" i="3"/>
  <c r="D656" i="3"/>
  <c r="AK656" i="3"/>
  <c r="T656" i="3"/>
  <c r="S656" i="3"/>
  <c r="AM656" i="3"/>
  <c r="R656" i="3"/>
  <c r="Q656" i="3"/>
  <c r="AD656" i="3"/>
  <c r="O656" i="3"/>
  <c r="AF656" i="3"/>
  <c r="AE656" i="3"/>
  <c r="M656" i="3"/>
  <c r="U656" i="3"/>
  <c r="P656" i="3"/>
  <c r="V656" i="3"/>
  <c r="F656" i="3"/>
  <c r="G656" i="3"/>
  <c r="H656" i="3" s="1"/>
  <c r="AN655" i="3"/>
  <c r="X655" i="3"/>
  <c r="BN656" i="3" l="1"/>
  <c r="BM656" i="3"/>
  <c r="AV654" i="3"/>
  <c r="BJ652" i="3"/>
  <c r="BK652" i="3" s="1"/>
  <c r="AT655" i="3"/>
  <c r="BC653" i="3"/>
  <c r="BD653" i="3" s="1"/>
  <c r="AY654" i="3"/>
  <c r="BB653" i="3"/>
  <c r="BQ653" i="3"/>
  <c r="AN656" i="3"/>
  <c r="AG656" i="3"/>
  <c r="AR657" i="3"/>
  <c r="A658" i="3"/>
  <c r="AQ657" i="3"/>
  <c r="B657" i="3"/>
  <c r="C657" i="3"/>
  <c r="Q657" i="3"/>
  <c r="R657" i="3"/>
  <c r="D657" i="3"/>
  <c r="AM657" i="3"/>
  <c r="AK657" i="3"/>
  <c r="S657" i="3"/>
  <c r="AD657" i="3"/>
  <c r="P657" i="3"/>
  <c r="O657" i="3"/>
  <c r="AE657" i="3"/>
  <c r="M657" i="3"/>
  <c r="V657" i="3"/>
  <c r="U657" i="3"/>
  <c r="AF657" i="3"/>
  <c r="F657" i="3"/>
  <c r="G657" i="3"/>
  <c r="H657" i="3" s="1"/>
  <c r="T657" i="3"/>
  <c r="Y656" i="3"/>
  <c r="Z656" i="3" s="1"/>
  <c r="AX655" i="3"/>
  <c r="AW655" i="3"/>
  <c r="AH656" i="3"/>
  <c r="AO656" i="3"/>
  <c r="X656" i="3"/>
  <c r="AU655" i="3"/>
  <c r="BA654" i="3"/>
  <c r="BC654" i="3" l="1"/>
  <c r="BD654" i="3" s="1"/>
  <c r="BG653" i="3"/>
  <c r="BH653" i="3" s="1"/>
  <c r="BI653" i="3" s="1"/>
  <c r="AY655" i="3"/>
  <c r="BM657" i="3"/>
  <c r="BA655" i="3"/>
  <c r="BF655" i="3" s="1"/>
  <c r="AO657" i="3"/>
  <c r="AX656" i="3"/>
  <c r="AV655" i="3"/>
  <c r="Y657" i="3"/>
  <c r="Z657" i="3" s="1"/>
  <c r="BB654" i="3"/>
  <c r="BQ654" i="3"/>
  <c r="BF654" i="3"/>
  <c r="AR658" i="3"/>
  <c r="B658" i="3"/>
  <c r="AQ658" i="3"/>
  <c r="A659" i="3"/>
  <c r="C658" i="3"/>
  <c r="AK658" i="3"/>
  <c r="D658" i="3"/>
  <c r="AM658" i="3"/>
  <c r="T658" i="3"/>
  <c r="S658" i="3"/>
  <c r="Q658" i="3"/>
  <c r="AD658" i="3"/>
  <c r="P658" i="3"/>
  <c r="AE658" i="3"/>
  <c r="O658" i="3"/>
  <c r="U658" i="3"/>
  <c r="V658" i="3"/>
  <c r="M658" i="3"/>
  <c r="AF658" i="3"/>
  <c r="R658" i="3"/>
  <c r="G658" i="3"/>
  <c r="H658" i="3" s="1"/>
  <c r="F658" i="3"/>
  <c r="AT656" i="3"/>
  <c r="AU656" i="3"/>
  <c r="AW656" i="3"/>
  <c r="BN657" i="3"/>
  <c r="AH657" i="3"/>
  <c r="AG657" i="3"/>
  <c r="AN657" i="3"/>
  <c r="X657" i="3"/>
  <c r="BG654" i="3" l="1"/>
  <c r="BH654" i="3" s="1"/>
  <c r="BI654" i="3" s="1"/>
  <c r="BN658" i="3"/>
  <c r="AY656" i="3"/>
  <c r="AN658" i="3"/>
  <c r="BQ655" i="3"/>
  <c r="BC655" i="3"/>
  <c r="BD655" i="3" s="1"/>
  <c r="BM658" i="3"/>
  <c r="AG658" i="3"/>
  <c r="BB655" i="3"/>
  <c r="AU657" i="3"/>
  <c r="AV656" i="3"/>
  <c r="AR659" i="3"/>
  <c r="B659" i="3"/>
  <c r="AQ659" i="3"/>
  <c r="A660" i="3"/>
  <c r="C659" i="3"/>
  <c r="D659" i="3"/>
  <c r="AM659" i="3"/>
  <c r="AK659" i="3"/>
  <c r="S659" i="3"/>
  <c r="Q659" i="3"/>
  <c r="R659" i="3"/>
  <c r="P659" i="3"/>
  <c r="AD659" i="3"/>
  <c r="AE659" i="3"/>
  <c r="U659" i="3"/>
  <c r="O659" i="3"/>
  <c r="M659" i="3"/>
  <c r="AF659" i="3"/>
  <c r="V659" i="3"/>
  <c r="G659" i="3"/>
  <c r="H659" i="3" s="1"/>
  <c r="F659" i="3"/>
  <c r="BM659" i="3" s="1"/>
  <c r="T659" i="3"/>
  <c r="BJ654" i="3"/>
  <c r="BK654" i="3" s="1"/>
  <c r="BJ653" i="3"/>
  <c r="BK653" i="3" s="1"/>
  <c r="Y658" i="3"/>
  <c r="Z658" i="3" s="1"/>
  <c r="AX657" i="3"/>
  <c r="AH658" i="3"/>
  <c r="AO658" i="3"/>
  <c r="AT657" i="3"/>
  <c r="AW657" i="3"/>
  <c r="BA656" i="3"/>
  <c r="X658" i="3"/>
  <c r="BN659" i="3" l="1"/>
  <c r="BG655" i="3"/>
  <c r="BH655" i="3" s="1"/>
  <c r="BI655" i="3" s="1"/>
  <c r="BC656" i="3"/>
  <c r="BG656" i="3" s="1"/>
  <c r="BH656" i="3" s="1"/>
  <c r="BI656" i="3" s="1"/>
  <c r="AT658" i="3"/>
  <c r="AY657" i="3"/>
  <c r="AU658" i="3"/>
  <c r="AW658" i="3"/>
  <c r="Y659" i="3"/>
  <c r="Z659" i="3" s="1"/>
  <c r="AO659" i="3"/>
  <c r="A661" i="3"/>
  <c r="AR660" i="3"/>
  <c r="B660" i="3"/>
  <c r="AQ660" i="3"/>
  <c r="D660" i="3"/>
  <c r="AM660" i="3"/>
  <c r="C660" i="3"/>
  <c r="S660" i="3"/>
  <c r="AD660" i="3"/>
  <c r="P660" i="3"/>
  <c r="AK660" i="3"/>
  <c r="R660" i="3"/>
  <c r="Q660" i="3"/>
  <c r="O660" i="3"/>
  <c r="AF660" i="3"/>
  <c r="AE660" i="3"/>
  <c r="M660" i="3"/>
  <c r="V660" i="3"/>
  <c r="F660" i="3"/>
  <c r="U660" i="3"/>
  <c r="G660" i="3"/>
  <c r="H660" i="3" s="1"/>
  <c r="BN660" i="3" s="1"/>
  <c r="T660" i="3"/>
  <c r="BF656" i="3"/>
  <c r="BJ655" i="3" s="1"/>
  <c r="BK655" i="3" s="1"/>
  <c r="BQ656" i="3"/>
  <c r="BB656" i="3"/>
  <c r="AV657" i="3"/>
  <c r="BA657" i="3"/>
  <c r="AG659" i="3"/>
  <c r="AX658" i="3"/>
  <c r="AH659" i="3"/>
  <c r="AN659" i="3"/>
  <c r="X659" i="3"/>
  <c r="BM660" i="3" l="1"/>
  <c r="AY658" i="3"/>
  <c r="BD656" i="3"/>
  <c r="AV658" i="3"/>
  <c r="BC657" i="3"/>
  <c r="BD657" i="3" s="1"/>
  <c r="AO660" i="3"/>
  <c r="AX659" i="3"/>
  <c r="AT659" i="3"/>
  <c r="BQ657" i="3"/>
  <c r="BB657" i="3"/>
  <c r="BF657" i="3"/>
  <c r="AQ661" i="3"/>
  <c r="B661" i="3"/>
  <c r="A662" i="3"/>
  <c r="AR661" i="3"/>
  <c r="C661" i="3"/>
  <c r="D661" i="3"/>
  <c r="AM661" i="3"/>
  <c r="T661" i="3"/>
  <c r="AK661" i="3"/>
  <c r="R661" i="3"/>
  <c r="Q661" i="3"/>
  <c r="AD661" i="3"/>
  <c r="S661" i="3"/>
  <c r="M661" i="3"/>
  <c r="AF661" i="3"/>
  <c r="V661" i="3"/>
  <c r="P661" i="3"/>
  <c r="O661" i="3"/>
  <c r="AE661" i="3"/>
  <c r="U661" i="3"/>
  <c r="G661" i="3"/>
  <c r="H661" i="3" s="1"/>
  <c r="F661" i="3"/>
  <c r="AH660" i="3"/>
  <c r="X660" i="3"/>
  <c r="AU659" i="3"/>
  <c r="AW659" i="3"/>
  <c r="Y660" i="3"/>
  <c r="Z660" i="3" s="1"/>
  <c r="AG660" i="3"/>
  <c r="AN660" i="3"/>
  <c r="BA658" i="3"/>
  <c r="AO661" i="3" l="1"/>
  <c r="BC658" i="3"/>
  <c r="BG658" i="3" s="1"/>
  <c r="BH658" i="3" s="1"/>
  <c r="BI658" i="3" s="1"/>
  <c r="BG657" i="3"/>
  <c r="BH657" i="3" s="1"/>
  <c r="BI657" i="3" s="1"/>
  <c r="BN661" i="3"/>
  <c r="AY659" i="3"/>
  <c r="AV659" i="3"/>
  <c r="AU660" i="3"/>
  <c r="AG661" i="3"/>
  <c r="AW660" i="3"/>
  <c r="BA659" i="3"/>
  <c r="BQ659" i="3" s="1"/>
  <c r="AT660" i="3"/>
  <c r="AX660" i="3"/>
  <c r="AR662" i="3"/>
  <c r="AQ662" i="3"/>
  <c r="B662" i="3"/>
  <c r="A663" i="3"/>
  <c r="C662" i="3"/>
  <c r="D662" i="3"/>
  <c r="S662" i="3"/>
  <c r="AK662" i="3"/>
  <c r="AM662" i="3"/>
  <c r="R662" i="3"/>
  <c r="Q662" i="3"/>
  <c r="AD662" i="3"/>
  <c r="P662" i="3"/>
  <c r="AE662" i="3"/>
  <c r="AF662" i="3"/>
  <c r="V662" i="3"/>
  <c r="O662" i="3"/>
  <c r="M662" i="3"/>
  <c r="U662" i="3"/>
  <c r="G662" i="3"/>
  <c r="H662" i="3" s="1"/>
  <c r="BN662" i="3" s="1"/>
  <c r="F662" i="3"/>
  <c r="BM662" i="3" s="1"/>
  <c r="T662" i="3"/>
  <c r="BQ658" i="3"/>
  <c r="BF658" i="3"/>
  <c r="BJ657" i="3" s="1"/>
  <c r="BK657" i="3" s="1"/>
  <c r="BB658" i="3"/>
  <c r="Y661" i="3"/>
  <c r="Z661" i="3" s="1"/>
  <c r="BJ656" i="3"/>
  <c r="BK656" i="3" s="1"/>
  <c r="AH661" i="3"/>
  <c r="AN661" i="3"/>
  <c r="X661" i="3"/>
  <c r="BM661" i="3"/>
  <c r="AU661" i="3" l="1"/>
  <c r="BD658" i="3"/>
  <c r="BC659" i="3"/>
  <c r="BG659" i="3" s="1"/>
  <c r="BH659" i="3" s="1"/>
  <c r="BI659" i="3" s="1"/>
  <c r="AY660" i="3"/>
  <c r="AN662" i="3"/>
  <c r="AT661" i="3"/>
  <c r="AV661" i="3" s="1"/>
  <c r="AW661" i="3"/>
  <c r="AH662" i="3"/>
  <c r="BF659" i="3"/>
  <c r="BJ658" i="3" s="1"/>
  <c r="BK658" i="3" s="1"/>
  <c r="BB659" i="3"/>
  <c r="AV660" i="3"/>
  <c r="BA660" i="3"/>
  <c r="AR663" i="3"/>
  <c r="A664" i="3"/>
  <c r="AQ663" i="3"/>
  <c r="B663" i="3"/>
  <c r="C663" i="3"/>
  <c r="AM663" i="3"/>
  <c r="Q663" i="3"/>
  <c r="D663" i="3"/>
  <c r="AK663" i="3"/>
  <c r="T663" i="3"/>
  <c r="S663" i="3"/>
  <c r="R663" i="3"/>
  <c r="AD663" i="3"/>
  <c r="P663" i="3"/>
  <c r="O663" i="3"/>
  <c r="AE663" i="3"/>
  <c r="M663" i="3"/>
  <c r="AF663" i="3"/>
  <c r="V663" i="3"/>
  <c r="U663" i="3"/>
  <c r="F663" i="3"/>
  <c r="G663" i="3"/>
  <c r="H663" i="3" s="1"/>
  <c r="X662" i="3"/>
  <c r="AX661" i="3"/>
  <c r="Y662" i="3"/>
  <c r="Z662" i="3" s="1"/>
  <c r="AG662" i="3"/>
  <c r="AO662" i="3"/>
  <c r="BM663" i="3" l="1"/>
  <c r="BN663" i="3"/>
  <c r="BD659" i="3"/>
  <c r="AU662" i="3"/>
  <c r="BC660" i="3"/>
  <c r="BD660" i="3" s="1"/>
  <c r="AN663" i="3"/>
  <c r="AY661" i="3"/>
  <c r="BC661" i="3" s="1"/>
  <c r="Y663" i="3"/>
  <c r="Z663" i="3" s="1"/>
  <c r="A665" i="3"/>
  <c r="AR664" i="3"/>
  <c r="B664" i="3"/>
  <c r="AQ664" i="3"/>
  <c r="C664" i="3"/>
  <c r="D664" i="3"/>
  <c r="AK664" i="3"/>
  <c r="S664" i="3"/>
  <c r="Q664" i="3"/>
  <c r="AM664" i="3"/>
  <c r="AD664" i="3"/>
  <c r="P664" i="3"/>
  <c r="T664" i="3"/>
  <c r="R664" i="3"/>
  <c r="AF664" i="3"/>
  <c r="U664" i="3"/>
  <c r="O664" i="3"/>
  <c r="AE664" i="3"/>
  <c r="M664" i="3"/>
  <c r="V664" i="3"/>
  <c r="G664" i="3"/>
  <c r="H664" i="3" s="1"/>
  <c r="F664" i="3"/>
  <c r="BB660" i="3"/>
  <c r="BQ660" i="3"/>
  <c r="BF660" i="3"/>
  <c r="BJ659" i="3" s="1"/>
  <c r="BK659" i="3" s="1"/>
  <c r="AG663" i="3"/>
  <c r="AW662" i="3"/>
  <c r="AT662" i="3"/>
  <c r="AX662" i="3"/>
  <c r="AH663" i="3"/>
  <c r="AO663" i="3"/>
  <c r="X663" i="3"/>
  <c r="BA661" i="3"/>
  <c r="BM664" i="3" l="1"/>
  <c r="AN664" i="3"/>
  <c r="BG660" i="3"/>
  <c r="BH660" i="3" s="1"/>
  <c r="BI660" i="3" s="1"/>
  <c r="AU663" i="3"/>
  <c r="AG664" i="3"/>
  <c r="BQ661" i="3"/>
  <c r="BB661" i="3"/>
  <c r="BF661" i="3"/>
  <c r="Y664" i="3"/>
  <c r="Z664" i="3" s="1"/>
  <c r="BA662" i="3"/>
  <c r="AV662" i="3"/>
  <c r="BD661" i="3"/>
  <c r="BG661" i="3"/>
  <c r="BH661" i="3" s="1"/>
  <c r="BI661" i="3" s="1"/>
  <c r="AR665" i="3"/>
  <c r="A666" i="3"/>
  <c r="AQ665" i="3"/>
  <c r="B665" i="3"/>
  <c r="C665" i="3"/>
  <c r="D665" i="3"/>
  <c r="T665" i="3"/>
  <c r="AM665" i="3"/>
  <c r="AK665" i="3"/>
  <c r="S665" i="3"/>
  <c r="Q665" i="3"/>
  <c r="P665" i="3"/>
  <c r="AD665" i="3"/>
  <c r="AE665" i="3"/>
  <c r="M665" i="3"/>
  <c r="V665" i="3"/>
  <c r="U665" i="3"/>
  <c r="O665" i="3"/>
  <c r="AF665" i="3"/>
  <c r="R665" i="3"/>
  <c r="G665" i="3"/>
  <c r="H665" i="3" s="1"/>
  <c r="F665" i="3"/>
  <c r="AY662" i="3"/>
  <c r="AW663" i="3"/>
  <c r="AT663" i="3"/>
  <c r="AX663" i="3"/>
  <c r="BN664" i="3"/>
  <c r="AH664" i="3"/>
  <c r="AO664" i="3"/>
  <c r="X664" i="3"/>
  <c r="AX664" i="3" l="1"/>
  <c r="BN665" i="3"/>
  <c r="AY663" i="3"/>
  <c r="AH665" i="3"/>
  <c r="AO665" i="3"/>
  <c r="BQ662" i="3"/>
  <c r="BB662" i="3"/>
  <c r="BF662" i="3"/>
  <c r="BJ661" i="3" s="1"/>
  <c r="BK661" i="3" s="1"/>
  <c r="AV663" i="3"/>
  <c r="BA663" i="3"/>
  <c r="Y665" i="3"/>
  <c r="Z665" i="3" s="1"/>
  <c r="AR666" i="3"/>
  <c r="AQ666" i="3"/>
  <c r="B666" i="3"/>
  <c r="A667" i="3"/>
  <c r="AM666" i="3"/>
  <c r="T666" i="3"/>
  <c r="S666" i="3"/>
  <c r="C666" i="3"/>
  <c r="D666" i="3"/>
  <c r="R666" i="3"/>
  <c r="Q666" i="3"/>
  <c r="AK666" i="3"/>
  <c r="AD666" i="3"/>
  <c r="AE666" i="3"/>
  <c r="M666" i="3"/>
  <c r="P666" i="3"/>
  <c r="O666" i="3"/>
  <c r="AF666" i="3"/>
  <c r="V666" i="3"/>
  <c r="U666" i="3"/>
  <c r="F666" i="3"/>
  <c r="G666" i="3"/>
  <c r="H666" i="3" s="1"/>
  <c r="BJ660" i="3"/>
  <c r="BK660" i="3" s="1"/>
  <c r="AT664" i="3"/>
  <c r="AW664" i="3"/>
  <c r="X665" i="3"/>
  <c r="AU664" i="3"/>
  <c r="BM665" i="3"/>
  <c r="AG665" i="3"/>
  <c r="AN665" i="3"/>
  <c r="BC662" i="3"/>
  <c r="AY664" i="3" l="1"/>
  <c r="BC663" i="3"/>
  <c r="BG663" i="3" s="1"/>
  <c r="BH663" i="3" s="1"/>
  <c r="BI663" i="3" s="1"/>
  <c r="BM666" i="3"/>
  <c r="AT665" i="3"/>
  <c r="AV664" i="3"/>
  <c r="AN666" i="3"/>
  <c r="AX665" i="3"/>
  <c r="BD663" i="3"/>
  <c r="Y666" i="3"/>
  <c r="Z666" i="3" s="1"/>
  <c r="BG662" i="3"/>
  <c r="BH662" i="3" s="1"/>
  <c r="BI662" i="3" s="1"/>
  <c r="BD662" i="3"/>
  <c r="A668" i="3"/>
  <c r="AQ667" i="3"/>
  <c r="AR667" i="3"/>
  <c r="B667" i="3"/>
  <c r="C667" i="3"/>
  <c r="D667" i="3"/>
  <c r="AM667" i="3"/>
  <c r="AK667" i="3"/>
  <c r="S667" i="3"/>
  <c r="AD667" i="3"/>
  <c r="R667" i="3"/>
  <c r="Q667" i="3"/>
  <c r="P667" i="3"/>
  <c r="O667" i="3"/>
  <c r="AE667" i="3"/>
  <c r="M667" i="3"/>
  <c r="AF667" i="3"/>
  <c r="U667" i="3"/>
  <c r="V667" i="3"/>
  <c r="F667" i="3"/>
  <c r="G667" i="3"/>
  <c r="H667" i="3" s="1"/>
  <c r="T667" i="3"/>
  <c r="BB663" i="3"/>
  <c r="BQ663" i="3"/>
  <c r="BF663" i="3"/>
  <c r="BJ662" i="3" s="1"/>
  <c r="BK662" i="3" s="1"/>
  <c r="AW665" i="3"/>
  <c r="AU665" i="3"/>
  <c r="BA664" i="3"/>
  <c r="BN666" i="3"/>
  <c r="AH666" i="3"/>
  <c r="AG666" i="3"/>
  <c r="AO666" i="3"/>
  <c r="X666" i="3"/>
  <c r="BC664" i="3" l="1"/>
  <c r="BD664" i="3" s="1"/>
  <c r="BM667" i="3"/>
  <c r="AV665" i="3"/>
  <c r="AY665" i="3"/>
  <c r="AO667" i="3"/>
  <c r="AW666" i="3"/>
  <c r="AH667" i="3"/>
  <c r="Y667" i="3"/>
  <c r="Z667" i="3" s="1"/>
  <c r="BB664" i="3"/>
  <c r="BQ664" i="3"/>
  <c r="BF664" i="3"/>
  <c r="BJ663" i="3" s="1"/>
  <c r="BK663" i="3" s="1"/>
  <c r="A669" i="3"/>
  <c r="AR668" i="3"/>
  <c r="B668" i="3"/>
  <c r="AQ668" i="3"/>
  <c r="C668" i="3"/>
  <c r="S668" i="3"/>
  <c r="D668" i="3"/>
  <c r="AM668" i="3"/>
  <c r="AK668" i="3"/>
  <c r="T668" i="3"/>
  <c r="Q668" i="3"/>
  <c r="AD668" i="3"/>
  <c r="P668" i="3"/>
  <c r="O668" i="3"/>
  <c r="M668" i="3"/>
  <c r="AE668" i="3"/>
  <c r="AF668" i="3"/>
  <c r="V668" i="3"/>
  <c r="U668" i="3"/>
  <c r="R668" i="3"/>
  <c r="F668" i="3"/>
  <c r="G668" i="3"/>
  <c r="H668" i="3" s="1"/>
  <c r="AT666" i="3"/>
  <c r="BA665" i="3"/>
  <c r="AU666" i="3"/>
  <c r="AX666" i="3"/>
  <c r="BN667" i="3"/>
  <c r="AG667" i="3"/>
  <c r="AN667" i="3"/>
  <c r="X667" i="3"/>
  <c r="BG664" i="3" l="1"/>
  <c r="BH664" i="3" s="1"/>
  <c r="BI664" i="3" s="1"/>
  <c r="BM668" i="3"/>
  <c r="AY666" i="3"/>
  <c r="BC665" i="3"/>
  <c r="BD665" i="3" s="1"/>
  <c r="AW667" i="3"/>
  <c r="AO668" i="3"/>
  <c r="Y668" i="3"/>
  <c r="Z668" i="3" s="1"/>
  <c r="AQ669" i="3"/>
  <c r="B669" i="3"/>
  <c r="A670" i="3"/>
  <c r="AR669" i="3"/>
  <c r="D669" i="3"/>
  <c r="S669" i="3"/>
  <c r="AM669" i="3"/>
  <c r="C669" i="3"/>
  <c r="AK669" i="3"/>
  <c r="R669" i="3"/>
  <c r="P669" i="3"/>
  <c r="Q669" i="3"/>
  <c r="AD669" i="3"/>
  <c r="O669" i="3"/>
  <c r="M669" i="3"/>
  <c r="AE669" i="3"/>
  <c r="AF669" i="3"/>
  <c r="U669" i="3"/>
  <c r="V669" i="3"/>
  <c r="G669" i="3"/>
  <c r="H669" i="3" s="1"/>
  <c r="F669" i="3"/>
  <c r="T669" i="3"/>
  <c r="BF665" i="3"/>
  <c r="BJ664" i="3" s="1"/>
  <c r="BK664" i="3" s="1"/>
  <c r="BB665" i="3"/>
  <c r="BQ665" i="3"/>
  <c r="AV666" i="3"/>
  <c r="BA666" i="3"/>
  <c r="AU667" i="3"/>
  <c r="AX667" i="3"/>
  <c r="X668" i="3"/>
  <c r="AT667" i="3"/>
  <c r="BN668" i="3"/>
  <c r="AG668" i="3"/>
  <c r="AH668" i="3"/>
  <c r="AN668" i="3"/>
  <c r="BC666" i="3" l="1"/>
  <c r="BD666" i="3" s="1"/>
  <c r="AO669" i="3"/>
  <c r="BG665" i="3"/>
  <c r="BH665" i="3" s="1"/>
  <c r="BI665" i="3" s="1"/>
  <c r="BN669" i="3"/>
  <c r="AU668" i="3"/>
  <c r="AY667" i="3"/>
  <c r="AX668" i="3"/>
  <c r="Y669" i="3"/>
  <c r="Z669" i="3" s="1"/>
  <c r="AG669" i="3"/>
  <c r="AV667" i="3"/>
  <c r="BA667" i="3"/>
  <c r="BB666" i="3"/>
  <c r="BF666" i="3"/>
  <c r="BJ665" i="3" s="1"/>
  <c r="BK665" i="3" s="1"/>
  <c r="BQ666" i="3"/>
  <c r="AR670" i="3"/>
  <c r="AQ670" i="3"/>
  <c r="B670" i="3"/>
  <c r="A671" i="3"/>
  <c r="D670" i="3"/>
  <c r="C670" i="3"/>
  <c r="AM670" i="3"/>
  <c r="R670" i="3"/>
  <c r="S670" i="3"/>
  <c r="AK670" i="3"/>
  <c r="Q670" i="3"/>
  <c r="P670" i="3"/>
  <c r="AD670" i="3"/>
  <c r="M670" i="3"/>
  <c r="O670" i="3"/>
  <c r="AF670" i="3"/>
  <c r="AE670" i="3"/>
  <c r="V670" i="3"/>
  <c r="U670" i="3"/>
  <c r="G670" i="3"/>
  <c r="H670" i="3" s="1"/>
  <c r="F670" i="3"/>
  <c r="T670" i="3"/>
  <c r="X669" i="3"/>
  <c r="AT668" i="3"/>
  <c r="AW668" i="3"/>
  <c r="BM669" i="3"/>
  <c r="AH669" i="3"/>
  <c r="AN669" i="3"/>
  <c r="BG666" i="3" l="1"/>
  <c r="BH666" i="3" s="1"/>
  <c r="BI666" i="3" s="1"/>
  <c r="AY668" i="3"/>
  <c r="AU669" i="3"/>
  <c r="BC667" i="3"/>
  <c r="BG667" i="3" s="1"/>
  <c r="BH667" i="3" s="1"/>
  <c r="BI667" i="3" s="1"/>
  <c r="BN670" i="3"/>
  <c r="AO670" i="3"/>
  <c r="Y670" i="3"/>
  <c r="Z670" i="3" s="1"/>
  <c r="AV668" i="3"/>
  <c r="BC668" i="3" s="1"/>
  <c r="BA668" i="3"/>
  <c r="AR671" i="3"/>
  <c r="B671" i="3"/>
  <c r="AQ671" i="3"/>
  <c r="A672" i="3"/>
  <c r="C671" i="3"/>
  <c r="D671" i="3"/>
  <c r="AK671" i="3"/>
  <c r="AM671" i="3"/>
  <c r="S671" i="3"/>
  <c r="AD671" i="3"/>
  <c r="Q671" i="3"/>
  <c r="P671" i="3"/>
  <c r="O671" i="3"/>
  <c r="AE671" i="3"/>
  <c r="AF671" i="3"/>
  <c r="M671" i="3"/>
  <c r="U671" i="3"/>
  <c r="V671" i="3"/>
  <c r="R671" i="3"/>
  <c r="G671" i="3"/>
  <c r="H671" i="3" s="1"/>
  <c r="F671" i="3"/>
  <c r="T671" i="3"/>
  <c r="BQ667" i="3"/>
  <c r="BF667" i="3"/>
  <c r="BJ666" i="3" s="1"/>
  <c r="BK666" i="3" s="1"/>
  <c r="BB667" i="3"/>
  <c r="X670" i="3"/>
  <c r="AX669" i="3"/>
  <c r="AT669" i="3"/>
  <c r="AW669" i="3"/>
  <c r="BM670" i="3"/>
  <c r="AG670" i="3"/>
  <c r="AH670" i="3"/>
  <c r="AN670" i="3"/>
  <c r="BN671" i="3" l="1"/>
  <c r="BD667" i="3"/>
  <c r="BM671" i="3"/>
  <c r="AN671" i="3"/>
  <c r="AG671" i="3"/>
  <c r="Y671" i="3"/>
  <c r="Z671" i="3" s="1"/>
  <c r="AX670" i="3"/>
  <c r="BA669" i="3"/>
  <c r="AV669" i="3"/>
  <c r="A673" i="3"/>
  <c r="AR672" i="3"/>
  <c r="B672" i="3"/>
  <c r="AQ672" i="3"/>
  <c r="C672" i="3"/>
  <c r="D672" i="3"/>
  <c r="AK672" i="3"/>
  <c r="S672" i="3"/>
  <c r="R672" i="3"/>
  <c r="Q672" i="3"/>
  <c r="AD672" i="3"/>
  <c r="AM672" i="3"/>
  <c r="P672" i="3"/>
  <c r="O672" i="3"/>
  <c r="M672" i="3"/>
  <c r="AF672" i="3"/>
  <c r="V672" i="3"/>
  <c r="AE672" i="3"/>
  <c r="U672" i="3"/>
  <c r="F672" i="3"/>
  <c r="G672" i="3"/>
  <c r="H672" i="3" s="1"/>
  <c r="T672" i="3"/>
  <c r="BQ668" i="3"/>
  <c r="BB668" i="3"/>
  <c r="BF668" i="3"/>
  <c r="BJ667" i="3" s="1"/>
  <c r="BK667" i="3" s="1"/>
  <c r="BD668" i="3"/>
  <c r="BG668" i="3"/>
  <c r="BH668" i="3" s="1"/>
  <c r="BI668" i="3" s="1"/>
  <c r="AH671" i="3"/>
  <c r="AT670" i="3"/>
  <c r="AW670" i="3"/>
  <c r="AY669" i="3"/>
  <c r="AU670" i="3"/>
  <c r="AO671" i="3"/>
  <c r="X671" i="3"/>
  <c r="AT671" i="3" l="1"/>
  <c r="AY670" i="3"/>
  <c r="BM672" i="3"/>
  <c r="AW671" i="3"/>
  <c r="AN672" i="3"/>
  <c r="AU671" i="3"/>
  <c r="AG672" i="3"/>
  <c r="Y672" i="3"/>
  <c r="Z672" i="3" s="1"/>
  <c r="BC669" i="3"/>
  <c r="BD669" i="3" s="1"/>
  <c r="AV670" i="3"/>
  <c r="BA670" i="3"/>
  <c r="AR673" i="3"/>
  <c r="A674" i="3"/>
  <c r="AQ673" i="3"/>
  <c r="B673" i="3"/>
  <c r="C673" i="3"/>
  <c r="D673" i="3"/>
  <c r="AK673" i="3"/>
  <c r="AM673" i="3"/>
  <c r="S673" i="3"/>
  <c r="T673" i="3"/>
  <c r="Q673" i="3"/>
  <c r="R673" i="3"/>
  <c r="AD673" i="3"/>
  <c r="P673" i="3"/>
  <c r="O673" i="3"/>
  <c r="M673" i="3"/>
  <c r="AE673" i="3"/>
  <c r="U673" i="3"/>
  <c r="AF673" i="3"/>
  <c r="V673" i="3"/>
  <c r="G673" i="3"/>
  <c r="H673" i="3" s="1"/>
  <c r="F673" i="3"/>
  <c r="BB669" i="3"/>
  <c r="BF669" i="3"/>
  <c r="BJ668" i="3" s="1"/>
  <c r="BK668" i="3" s="1"/>
  <c r="BQ669" i="3"/>
  <c r="AH672" i="3"/>
  <c r="AX671" i="3"/>
  <c r="BN672" i="3"/>
  <c r="AO672" i="3"/>
  <c r="X672" i="3"/>
  <c r="AV671" i="3" l="1"/>
  <c r="BC670" i="3"/>
  <c r="BA671" i="3"/>
  <c r="BB671" i="3" s="1"/>
  <c r="BM673" i="3"/>
  <c r="AN673" i="3"/>
  <c r="AX672" i="3"/>
  <c r="AU672" i="3"/>
  <c r="BG669" i="3"/>
  <c r="BH669" i="3" s="1"/>
  <c r="BI669" i="3" s="1"/>
  <c r="AY671" i="3"/>
  <c r="Y673" i="3"/>
  <c r="Z673" i="3" s="1"/>
  <c r="AR674" i="3"/>
  <c r="B674" i="3"/>
  <c r="AQ674" i="3"/>
  <c r="A675" i="3"/>
  <c r="C674" i="3"/>
  <c r="R674" i="3"/>
  <c r="AM674" i="3"/>
  <c r="D674" i="3"/>
  <c r="AK674" i="3"/>
  <c r="S674" i="3"/>
  <c r="P674" i="3"/>
  <c r="AD674" i="3"/>
  <c r="O674" i="3"/>
  <c r="M674" i="3"/>
  <c r="AE674" i="3"/>
  <c r="AF674" i="3"/>
  <c r="V674" i="3"/>
  <c r="U674" i="3"/>
  <c r="Q674" i="3"/>
  <c r="G674" i="3"/>
  <c r="H674" i="3" s="1"/>
  <c r="F674" i="3"/>
  <c r="T674" i="3"/>
  <c r="BQ670" i="3"/>
  <c r="BB670" i="3"/>
  <c r="BF670" i="3"/>
  <c r="BJ669" i="3" s="1"/>
  <c r="BK669" i="3" s="1"/>
  <c r="BD670" i="3"/>
  <c r="BG670" i="3"/>
  <c r="BH670" i="3" s="1"/>
  <c r="BI670" i="3" s="1"/>
  <c r="AT672" i="3"/>
  <c r="AW672" i="3"/>
  <c r="BN673" i="3"/>
  <c r="AG673" i="3"/>
  <c r="AH673" i="3"/>
  <c r="AO673" i="3"/>
  <c r="X673" i="3"/>
  <c r="BC671" i="3" l="1"/>
  <c r="BG671" i="3" s="1"/>
  <c r="BH671" i="3" s="1"/>
  <c r="BI671" i="3" s="1"/>
  <c r="BN674" i="3"/>
  <c r="AO674" i="3"/>
  <c r="AY672" i="3"/>
  <c r="BQ671" i="3"/>
  <c r="BF671" i="3"/>
  <c r="BJ670" i="3" s="1"/>
  <c r="BK670" i="3" s="1"/>
  <c r="AU673" i="3"/>
  <c r="AG674" i="3"/>
  <c r="BD671" i="3"/>
  <c r="X674" i="3"/>
  <c r="BM674" i="3"/>
  <c r="BA672" i="3"/>
  <c r="AV672" i="3"/>
  <c r="A676" i="3"/>
  <c r="AQ675" i="3"/>
  <c r="AR675" i="3"/>
  <c r="B675" i="3"/>
  <c r="D675" i="3"/>
  <c r="T675" i="3"/>
  <c r="S675" i="3"/>
  <c r="C675" i="3"/>
  <c r="AM675" i="3"/>
  <c r="Q675" i="3"/>
  <c r="R675" i="3"/>
  <c r="AK675" i="3"/>
  <c r="AD675" i="3"/>
  <c r="P675" i="3"/>
  <c r="O675" i="3"/>
  <c r="M675" i="3"/>
  <c r="AF675" i="3"/>
  <c r="AE675" i="3"/>
  <c r="V675" i="3"/>
  <c r="U675" i="3"/>
  <c r="G675" i="3"/>
  <c r="H675" i="3" s="1"/>
  <c r="BN675" i="3" s="1"/>
  <c r="F675" i="3"/>
  <c r="AW673" i="3"/>
  <c r="AN674" i="3"/>
  <c r="AT673" i="3"/>
  <c r="AX673" i="3"/>
  <c r="Y674" i="3"/>
  <c r="Z674" i="3" s="1"/>
  <c r="AH674" i="3"/>
  <c r="BC672" i="3" l="1"/>
  <c r="BM675" i="3"/>
  <c r="AO675" i="3"/>
  <c r="AW674" i="3"/>
  <c r="AG675" i="3"/>
  <c r="AV673" i="3"/>
  <c r="BA673" i="3"/>
  <c r="BD672" i="3"/>
  <c r="BG672" i="3"/>
  <c r="BH672" i="3" s="1"/>
  <c r="BI672" i="3" s="1"/>
  <c r="Y675" i="3"/>
  <c r="Z675" i="3" s="1"/>
  <c r="AQ676" i="3"/>
  <c r="AR676" i="3"/>
  <c r="B676" i="3"/>
  <c r="D676" i="3"/>
  <c r="C676" i="3"/>
  <c r="AK676" i="3"/>
  <c r="T676" i="3"/>
  <c r="S676" i="3"/>
  <c r="AM676" i="3"/>
  <c r="R676" i="3"/>
  <c r="Q676" i="3"/>
  <c r="AD676" i="3"/>
  <c r="P676" i="3"/>
  <c r="O676" i="3"/>
  <c r="AE676" i="3"/>
  <c r="M676" i="3"/>
  <c r="AF676" i="3"/>
  <c r="U676" i="3"/>
  <c r="V676" i="3"/>
  <c r="F676" i="3"/>
  <c r="G676" i="3"/>
  <c r="H676" i="3" s="1"/>
  <c r="BF672" i="3"/>
  <c r="BJ671" i="3" s="1"/>
  <c r="BK671" i="3" s="1"/>
  <c r="BB672" i="3"/>
  <c r="BQ672" i="3"/>
  <c r="X675" i="3"/>
  <c r="AX674" i="3"/>
  <c r="AU674" i="3"/>
  <c r="AY673" i="3"/>
  <c r="AH675" i="3"/>
  <c r="AN675" i="3"/>
  <c r="AT674" i="3"/>
  <c r="AY674" i="3" l="1"/>
  <c r="BN676" i="3"/>
  <c r="AN676" i="3"/>
  <c r="AV674" i="3"/>
  <c r="BA674" i="3"/>
  <c r="AT675" i="3"/>
  <c r="AX675" i="3"/>
  <c r="Y676" i="3"/>
  <c r="Z676" i="3" s="1"/>
  <c r="BB673" i="3"/>
  <c r="BF673" i="3"/>
  <c r="BJ672" i="3" s="1"/>
  <c r="BK672" i="3" s="1"/>
  <c r="BQ673" i="3"/>
  <c r="AU675" i="3"/>
  <c r="AW675" i="3"/>
  <c r="AG676" i="3"/>
  <c r="X676" i="3"/>
  <c r="BC673" i="3"/>
  <c r="BM676" i="3"/>
  <c r="AH676" i="3"/>
  <c r="AO676" i="3"/>
  <c r="BC674" i="3" l="1"/>
  <c r="AY675" i="3"/>
  <c r="AX676" i="3"/>
  <c r="AT676" i="3"/>
  <c r="BD674" i="3"/>
  <c r="BG674" i="3"/>
  <c r="BH674" i="3" s="1"/>
  <c r="BI674" i="3" s="1"/>
  <c r="BD673" i="3"/>
  <c r="BG673" i="3"/>
  <c r="BH673" i="3" s="1"/>
  <c r="BI673" i="3" s="1"/>
  <c r="BB674" i="3"/>
  <c r="BQ674" i="3"/>
  <c r="BF674" i="3"/>
  <c r="BJ673" i="3" s="1"/>
  <c r="BK673" i="3" s="1"/>
  <c r="BA675" i="3"/>
  <c r="AU676" i="3"/>
  <c r="AW676" i="3"/>
  <c r="AV675" i="3"/>
  <c r="BC675" i="3" l="1"/>
  <c r="BD675" i="3" s="1"/>
  <c r="AY676" i="3"/>
  <c r="AV676" i="3"/>
  <c r="BQ675" i="3"/>
  <c r="BB675" i="3"/>
  <c r="BF675" i="3"/>
  <c r="BJ674" i="3" s="1"/>
  <c r="BK674" i="3" s="1"/>
  <c r="BA676" i="3"/>
  <c r="BG675" i="3" l="1"/>
  <c r="BH675" i="3" s="1"/>
  <c r="BI675" i="3" s="1"/>
  <c r="BC676" i="3"/>
  <c r="BG676" i="3" s="1"/>
  <c r="BH676" i="3" s="1"/>
  <c r="BI676" i="3" s="1"/>
  <c r="BQ676" i="3"/>
  <c r="BB676" i="3"/>
  <c r="BF676" i="3"/>
  <c r="BD676" i="3" l="1"/>
  <c r="BJ676" i="3"/>
  <c r="BK676" i="3" s="1"/>
  <c r="BJ675" i="3"/>
  <c r="BK675" i="3" s="1"/>
  <c r="H3" i="8" l="1"/>
  <c r="H38" i="2"/>
  <c r="H159" i="8" l="1"/>
  <c r="H158" i="8" s="1"/>
  <c r="H157" i="8" s="1"/>
  <c r="H156" i="8" s="1"/>
  <c r="H155" i="8" s="1"/>
  <c r="H154" i="8" s="1"/>
  <c r="H153" i="8" s="1"/>
  <c r="H152" i="8" s="1"/>
  <c r="H151" i="8" s="1"/>
  <c r="H150" i="8" s="1"/>
  <c r="H149" i="8" s="1"/>
  <c r="H148" i="8" s="1"/>
  <c r="H147" i="8" s="1"/>
  <c r="H146" i="8" s="1"/>
  <c r="H145" i="8" s="1"/>
  <c r="H144" i="8" s="1"/>
  <c r="H143" i="8" s="1"/>
  <c r="H142" i="8" s="1"/>
  <c r="H141" i="8" s="1"/>
  <c r="H140" i="8" s="1"/>
  <c r="H139" i="8" s="1"/>
  <c r="H138" i="8" s="1"/>
  <c r="H137" i="8" s="1"/>
  <c r="H136" i="8" s="1"/>
  <c r="H135" i="8" s="1"/>
  <c r="H134" i="8" s="1"/>
  <c r="H133" i="8" s="1"/>
  <c r="H132" i="8" s="1"/>
  <c r="H131" i="8" s="1"/>
  <c r="H130" i="8" s="1"/>
  <c r="H129" i="8" s="1"/>
  <c r="H128" i="8" s="1"/>
  <c r="H127" i="8" s="1"/>
  <c r="H126" i="8" s="1"/>
  <c r="H125" i="8" s="1"/>
  <c r="H124" i="8" s="1"/>
  <c r="H123" i="8" s="1"/>
  <c r="H122" i="8" s="1"/>
  <c r="H121" i="8" s="1"/>
  <c r="H120" i="8" s="1"/>
  <c r="H119" i="8" s="1"/>
  <c r="H118" i="8" s="1"/>
  <c r="H117" i="8" s="1"/>
  <c r="H116" i="8" s="1"/>
  <c r="H115" i="8" s="1"/>
  <c r="H114" i="8" s="1"/>
  <c r="H113" i="8" s="1"/>
  <c r="H112" i="8" s="1"/>
  <c r="H111" i="8" s="1"/>
  <c r="H110" i="8" s="1"/>
  <c r="H109" i="8" s="1"/>
  <c r="H108" i="8" s="1"/>
  <c r="H107" i="8" s="1"/>
  <c r="H106" i="8" s="1"/>
  <c r="H105" i="8" s="1"/>
  <c r="H104" i="8" s="1"/>
  <c r="H103" i="8" s="1"/>
  <c r="H102" i="8" s="1"/>
  <c r="H101" i="8" s="1"/>
  <c r="H100" i="8" s="1"/>
  <c r="H99" i="8" s="1"/>
  <c r="H98" i="8" s="1"/>
  <c r="H97" i="8" s="1"/>
  <c r="H96" i="8" s="1"/>
  <c r="H95" i="8" s="1"/>
  <c r="H94" i="8" s="1"/>
  <c r="H93" i="8" s="1"/>
  <c r="H92" i="8" s="1"/>
  <c r="H91" i="8" s="1"/>
  <c r="H90" i="8" s="1"/>
  <c r="H89" i="8" s="1"/>
  <c r="H88" i="8" s="1"/>
  <c r="H87" i="8" s="1"/>
  <c r="H86" i="8" s="1"/>
  <c r="H85" i="8" s="1"/>
  <c r="H84" i="8" s="1"/>
  <c r="H83" i="8" s="1"/>
  <c r="H82" i="8" s="1"/>
  <c r="H81" i="8" s="1"/>
  <c r="H80" i="8" s="1"/>
  <c r="H79" i="8" s="1"/>
  <c r="H78" i="8" s="1"/>
  <c r="H77" i="8" s="1"/>
  <c r="H76" i="8" s="1"/>
  <c r="H75" i="8" s="1"/>
  <c r="H74" i="8" s="1"/>
  <c r="H73" i="8" s="1"/>
  <c r="H72" i="8" s="1"/>
  <c r="H71" i="8" s="1"/>
  <c r="H70" i="8" s="1"/>
  <c r="H69" i="8" s="1"/>
  <c r="H68" i="8" s="1"/>
  <c r="H67" i="8" s="1"/>
  <c r="H66" i="8" s="1"/>
  <c r="H65" i="8" s="1"/>
  <c r="H64" i="8" s="1"/>
  <c r="H63" i="8" s="1"/>
  <c r="H62" i="8" s="1"/>
  <c r="H61" i="8" s="1"/>
  <c r="H60" i="8" s="1"/>
  <c r="H59" i="8" s="1"/>
  <c r="H58" i="8" s="1"/>
  <c r="H57" i="8" s="1"/>
  <c r="H56" i="8" s="1"/>
  <c r="H55" i="8" s="1"/>
  <c r="H54" i="8" s="1"/>
  <c r="H53" i="8" s="1"/>
  <c r="H52" i="8" s="1"/>
  <c r="H51" i="8" s="1"/>
  <c r="H50" i="8" s="1"/>
  <c r="H49" i="8" s="1"/>
  <c r="H48" i="8" s="1"/>
  <c r="H47" i="8" s="1"/>
  <c r="H46" i="8" s="1"/>
  <c r="H45" i="8" s="1"/>
  <c r="H44" i="8" s="1"/>
  <c r="H43" i="8" s="1"/>
  <c r="H42" i="8" s="1"/>
  <c r="H41" i="8" s="1"/>
  <c r="H40" i="8" s="1"/>
  <c r="H39" i="8" s="1"/>
  <c r="H38" i="8" s="1"/>
  <c r="H37" i="8" s="1"/>
  <c r="H36" i="8" s="1"/>
  <c r="H35" i="8" s="1"/>
  <c r="H34" i="8" s="1"/>
  <c r="H33" i="8" s="1"/>
  <c r="H32" i="8" s="1"/>
  <c r="H31" i="8" s="1"/>
  <c r="H30" i="8" s="1"/>
  <c r="H29" i="8" s="1"/>
  <c r="H28" i="8" s="1"/>
  <c r="H27" i="8" s="1"/>
  <c r="H26" i="8" s="1"/>
  <c r="H25" i="8" s="1"/>
  <c r="H24" i="8" s="1"/>
  <c r="H23" i="8" s="1"/>
  <c r="H22" i="8" s="1"/>
  <c r="H21" i="8" s="1"/>
  <c r="H20" i="8" s="1"/>
  <c r="H19" i="8" s="1"/>
  <c r="H18" i="8" s="1"/>
  <c r="H17" i="8" s="1"/>
  <c r="H16" i="8" s="1"/>
  <c r="H15" i="8" s="1"/>
  <c r="H14" i="8" s="1"/>
  <c r="H13" i="8" s="1"/>
  <c r="H12" i="8" s="1"/>
  <c r="H11" i="8" s="1"/>
  <c r="H10" i="8" s="1"/>
  <c r="H9" i="8" s="1"/>
  <c r="H8" i="8" s="1"/>
  <c r="H7" i="8" s="1"/>
  <c r="H6" i="8" s="1"/>
  <c r="H4" i="8" s="1"/>
  <c r="B39" i="2" l="1"/>
  <c r="E24" i="1" l="1"/>
  <c r="B40" i="2"/>
  <c r="R6" i="8" s="1"/>
  <c r="S6" i="8" s="1"/>
  <c r="B236" i="2" s="1"/>
  <c r="B233" i="2"/>
  <c r="A233" i="2"/>
  <c r="B234" i="2" l="1"/>
  <c r="B41" i="2"/>
  <c r="E23" i="1" s="1"/>
  <c r="C64" i="16" s="1"/>
  <c r="A234" i="2" l="1"/>
  <c r="D64"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Timothy Hegarty</author>
    <author>BDATSC</author>
  </authors>
  <commentList>
    <comment ref="A3" authorId="0" shapeId="0" xr:uid="{00000000-0006-0000-0000-000001000000}">
      <text>
        <r>
          <rPr>
            <b/>
            <sz val="11"/>
            <color indexed="10"/>
            <rFont val="Tahoma"/>
            <family val="2"/>
          </rPr>
          <t>Welcome to the LM27403 Design Tool!</t>
        </r>
        <r>
          <rPr>
            <sz val="9"/>
            <color indexed="81"/>
            <rFont val="Tahoma"/>
            <family val="2"/>
          </rPr>
          <t xml:space="preserve">
This stand-alone tool facilitates and assists the power supply engineer with design of a DC-DC buck regulator based on the </t>
        </r>
        <r>
          <rPr>
            <b/>
            <sz val="9"/>
            <color indexed="81"/>
            <rFont val="Tahoma"/>
            <family val="2"/>
          </rPr>
          <t>LM27403 voltage-mode PWM controller</t>
        </r>
        <r>
          <rPr>
            <sz val="9"/>
            <color indexed="81"/>
            <rFont val="Tahoma"/>
            <family val="2"/>
          </rPr>
          <t xml:space="preserve">. As such, the user can expeditiously arrive at an optimized design by virtue of the following:
- Determine output filter inductance and input and output filter capacitances
- Select components for soft-start, UVLO, OCP and OTP
- Optimize compensation values and pole/zero placement in terms of control loop stability using crossover frquency as a performance metric
- Inspect regulator efficiency and component power dissipation
- Analyze efficiency based on selected MOSFET parameters
- Review auto-generated schematic and BOM list
</t>
        </r>
        <r>
          <rPr>
            <b/>
            <sz val="9"/>
            <color indexed="81"/>
            <rFont val="Tahoma"/>
            <family val="2"/>
          </rPr>
          <t>IMPORTANT:</t>
        </r>
        <r>
          <rPr>
            <sz val="9"/>
            <color indexed="81"/>
            <rFont val="Tahoma"/>
            <family val="2"/>
          </rPr>
          <t xml:space="preserve"> You must enable macros if Microsoft Excel asks as the file is being opened. U.S. English notation is used throughout.
</t>
        </r>
        <r>
          <rPr>
            <u/>
            <sz val="9"/>
            <color indexed="12"/>
            <rFont val="Tahoma"/>
            <family val="2"/>
          </rPr>
          <t>www.ti.com/pol</t>
        </r>
        <r>
          <rPr>
            <sz val="9"/>
            <color indexed="81"/>
            <rFont val="Tahoma"/>
            <family val="2"/>
          </rPr>
          <t xml:space="preserve">
</t>
        </r>
        <r>
          <rPr>
            <b/>
            <sz val="9"/>
            <color indexed="81"/>
            <rFont val="Tahoma"/>
            <family val="2"/>
          </rPr>
          <t xml:space="preserve">
Rev. 22, Timothy Hegarty, Texas Instruments, Inc.</t>
        </r>
      </text>
    </comment>
    <comment ref="O3" authorId="0" shapeId="0" xr:uid="{00000000-0006-0000-0000-000002000000}">
      <text>
        <r>
          <rPr>
            <b/>
            <u/>
            <sz val="11"/>
            <color indexed="10"/>
            <rFont val="Tahoma"/>
            <family val="2"/>
          </rPr>
          <t>Texas Instruments</t>
        </r>
        <r>
          <rPr>
            <sz val="11"/>
            <color indexed="10"/>
            <rFont val="Tahoma"/>
            <family val="2"/>
          </rPr>
          <t>:</t>
        </r>
        <r>
          <rPr>
            <sz val="9"/>
            <color indexed="81"/>
            <rFont val="Tahoma"/>
            <family val="2"/>
          </rPr>
          <t xml:space="preserve">
</t>
        </r>
        <r>
          <rPr>
            <b/>
            <sz val="9"/>
            <color indexed="81"/>
            <rFont val="Tahoma"/>
            <family val="2"/>
          </rPr>
          <t>Limited Use Policy</t>
        </r>
        <r>
          <rPr>
            <sz val="9"/>
            <color indexed="81"/>
            <rFont val="Tahoma"/>
            <family val="2"/>
          </rPr>
          <t xml:space="preserve">
You must treat this software and documentation like any other copyrighted material.
</t>
        </r>
        <r>
          <rPr>
            <b/>
            <sz val="9"/>
            <color indexed="81"/>
            <rFont val="Tahoma"/>
            <family val="2"/>
          </rPr>
          <t>You may not:</t>
        </r>
        <r>
          <rPr>
            <sz val="9"/>
            <color indexed="81"/>
            <rFont val="Tahoma"/>
            <family val="2"/>
          </rPr>
          <t xml:space="preserve">
- Copy documentation of the software
- Copy this software except to make archival or backup copies
- Reverse engineer, disassemble, decompile or make any attempt to discover the source code of the Software 
- Place the software onto a server so that it is accessible via a public network such as the internet 
- Sublicense, rent, lease or lend any portion of the software or documentation.
Texas Instruments is not responsible for the validity of any design created with this software and urges all designs to be fully tested and carefully verified. Refer to the LM27403 product datasheet and EVM user guides for more details.
</t>
        </r>
        <r>
          <rPr>
            <b/>
            <sz val="9"/>
            <color indexed="81"/>
            <rFont val="Tahoma"/>
            <family val="2"/>
          </rPr>
          <t>Rev. 22, Timothy Hegarty, Texas Instruments, Inc.</t>
        </r>
      </text>
    </comment>
    <comment ref="E6" authorId="0" shapeId="0" xr:uid="{00000000-0006-0000-0000-000003000000}">
      <text>
        <r>
          <rPr>
            <b/>
            <u/>
            <sz val="9"/>
            <color rgb="FF000000"/>
            <rFont val="Tahoma"/>
            <family val="2"/>
          </rPr>
          <t>Nominal Input Voltage</t>
        </r>
        <r>
          <rPr>
            <b/>
            <sz val="9"/>
            <color rgb="FF000000"/>
            <rFont val="Tahoma"/>
            <family val="2"/>
          </rPr>
          <t>:</t>
        </r>
        <r>
          <rPr>
            <sz val="9"/>
            <color rgb="FF000000"/>
            <rFont val="Tahoma"/>
            <family val="2"/>
          </rPr>
          <t xml:space="preserve">
</t>
        </r>
        <r>
          <rPr>
            <sz val="9"/>
            <color rgb="FF000000"/>
            <rFont val="Tahoma"/>
            <family val="2"/>
          </rPr>
          <t xml:space="preserve">Enter the nominal input voltage.
</t>
        </r>
        <r>
          <rPr>
            <sz val="9"/>
            <color rgb="FF000000"/>
            <rFont val="Tahoma"/>
            <family val="2"/>
          </rPr>
          <t xml:space="preserve">The LM27403 input operating voltage range is 3.0V to 20V.
</t>
        </r>
        <r>
          <rPr>
            <sz val="9"/>
            <color rgb="FF000000"/>
            <rFont val="Tahoma"/>
            <family val="2"/>
          </rPr>
          <t xml:space="preserve">
</t>
        </r>
        <r>
          <rPr>
            <b/>
            <sz val="9"/>
            <color rgb="FF000000"/>
            <rFont val="Tahoma"/>
            <family val="2"/>
          </rPr>
          <t>The text in this cell is red if:</t>
        </r>
        <r>
          <rPr>
            <sz val="9"/>
            <color rgb="FF000000"/>
            <rFont val="Tahoma"/>
            <family val="2"/>
          </rPr>
          <t xml:space="preserve">
</t>
        </r>
        <r>
          <rPr>
            <sz val="9"/>
            <color rgb="FF000000"/>
            <rFont val="Tahoma"/>
            <family val="2"/>
          </rPr>
          <t xml:space="preserve">-The input voltage is above </t>
        </r>
        <r>
          <rPr>
            <b/>
            <sz val="9"/>
            <color rgb="FFFF0000"/>
            <rFont val="Tahoma"/>
            <family val="2"/>
          </rPr>
          <t>20V</t>
        </r>
        <r>
          <rPr>
            <sz val="9"/>
            <color rgb="FF000000"/>
            <rFont val="Tahoma"/>
            <family val="2"/>
          </rPr>
          <t xml:space="preserve">
</t>
        </r>
        <r>
          <rPr>
            <sz val="9"/>
            <color rgb="FF000000"/>
            <rFont val="Tahoma"/>
            <family val="2"/>
          </rPr>
          <t xml:space="preserve">-The input voltage is below </t>
        </r>
        <r>
          <rPr>
            <b/>
            <sz val="9"/>
            <color rgb="FFFF0000"/>
            <rFont val="Tahoma"/>
            <family val="2"/>
          </rPr>
          <t>3.0V</t>
        </r>
      </text>
    </comment>
    <comment ref="E7" authorId="0" shapeId="0" xr:uid="{00000000-0006-0000-0000-000004000000}">
      <text>
        <r>
          <rPr>
            <b/>
            <u/>
            <sz val="9"/>
            <color rgb="FF000000"/>
            <rFont val="Tahoma"/>
            <family val="2"/>
          </rPr>
          <t>Output Voltage</t>
        </r>
        <r>
          <rPr>
            <b/>
            <sz val="9"/>
            <color rgb="FF000000"/>
            <rFont val="Tahoma"/>
            <family val="2"/>
          </rPr>
          <t xml:space="preserve">:
</t>
        </r>
        <r>
          <rPr>
            <sz val="9"/>
            <color rgb="FF000000"/>
            <rFont val="Tahoma"/>
            <family val="2"/>
          </rPr>
          <t>Enter the desired output voltage.</t>
        </r>
        <r>
          <rPr>
            <b/>
            <sz val="9"/>
            <color rgb="FF000000"/>
            <rFont val="Tahoma"/>
            <family val="2"/>
          </rPr>
          <t xml:space="preserve">
</t>
        </r>
        <r>
          <rPr>
            <b/>
            <sz val="9"/>
            <color rgb="FF000000"/>
            <rFont val="Tahoma"/>
            <family val="2"/>
          </rPr>
          <t xml:space="preserve">
</t>
        </r>
        <r>
          <rPr>
            <sz val="9"/>
            <color rgb="FF000000"/>
            <rFont val="Tahoma"/>
            <family val="2"/>
          </rPr>
          <t>The text in this cell is red if:</t>
        </r>
        <r>
          <rPr>
            <b/>
            <sz val="9"/>
            <color rgb="FF000000"/>
            <rFont val="Tahoma"/>
            <family val="2"/>
          </rPr>
          <t xml:space="preserve">
</t>
        </r>
        <r>
          <rPr>
            <b/>
            <sz val="9"/>
            <color rgb="FFFF0000"/>
            <rFont val="Tahoma"/>
            <family val="2"/>
          </rPr>
          <t xml:space="preserve">-The output voltage is above the input voltage 
</t>
        </r>
        <r>
          <rPr>
            <b/>
            <sz val="9"/>
            <color rgb="FFFF0000"/>
            <rFont val="Tahoma"/>
            <family val="2"/>
          </rPr>
          <t>-The output voltage is below 0.6V</t>
        </r>
      </text>
    </comment>
    <comment ref="E9" authorId="0" shapeId="0" xr:uid="{00000000-0006-0000-0000-000005000000}">
      <text>
        <r>
          <rPr>
            <b/>
            <u/>
            <sz val="9"/>
            <color rgb="FF000000"/>
            <rFont val="Tahoma"/>
            <family val="2"/>
          </rPr>
          <t>Operating Frequency</t>
        </r>
        <r>
          <rPr>
            <b/>
            <sz val="9"/>
            <color rgb="FF000000"/>
            <rFont val="Tahoma"/>
            <family val="2"/>
          </rPr>
          <t xml:space="preserve"> (set by R</t>
        </r>
        <r>
          <rPr>
            <b/>
            <vertAlign val="subscript"/>
            <sz val="9"/>
            <color rgb="FF000000"/>
            <rFont val="Tahoma"/>
            <family val="2"/>
          </rPr>
          <t>FADJ</t>
        </r>
        <r>
          <rPr>
            <b/>
            <sz val="9"/>
            <color rgb="FF000000"/>
            <rFont val="Tahoma"/>
            <family val="2"/>
          </rPr>
          <t>):</t>
        </r>
        <r>
          <rPr>
            <sz val="9"/>
            <color rgb="FF000000"/>
            <rFont val="Tahoma"/>
            <family val="2"/>
          </rPr>
          <t xml:space="preserve">
</t>
        </r>
        <r>
          <rPr>
            <sz val="9"/>
            <color rgb="FF000000"/>
            <rFont val="Tahoma"/>
            <family val="2"/>
          </rPr>
          <t>This cell defines the free running frequency set by the R</t>
        </r>
        <r>
          <rPr>
            <vertAlign val="subscript"/>
            <sz val="9"/>
            <color rgb="FF000000"/>
            <rFont val="Tahoma"/>
            <family val="2"/>
          </rPr>
          <t>FADJ</t>
        </r>
        <r>
          <rPr>
            <sz val="9"/>
            <color rgb="FF000000"/>
            <rFont val="Tahoma"/>
            <family val="2"/>
          </rPr>
          <t xml:space="preserve"> resistor. 
</t>
        </r>
        <r>
          <rPr>
            <sz val="9"/>
            <color rgb="FF000000"/>
            <rFont val="Tahoma"/>
            <family val="2"/>
          </rPr>
          <t xml:space="preserve">
</t>
        </r>
        <r>
          <rPr>
            <b/>
            <sz val="9"/>
            <color rgb="FF000000"/>
            <rFont val="Tahoma"/>
            <family val="2"/>
          </rPr>
          <t xml:space="preserve">The text in this cell is blue if:
</t>
        </r>
        <r>
          <rPr>
            <b/>
            <sz val="9"/>
            <color rgb="FF0000FF"/>
            <rFont val="Tahoma"/>
            <family val="2"/>
          </rPr>
          <t>-The frequency set by R</t>
        </r>
        <r>
          <rPr>
            <b/>
            <vertAlign val="subscript"/>
            <sz val="9"/>
            <color rgb="FF0000FF"/>
            <rFont val="Tahoma"/>
            <family val="2"/>
          </rPr>
          <t>FADJ</t>
        </r>
        <r>
          <rPr>
            <b/>
            <sz val="9"/>
            <color rgb="FF0000FF"/>
            <rFont val="Tahoma"/>
            <family val="2"/>
          </rPr>
          <t xml:space="preserve"> is greater than the SYNC frequency.</t>
        </r>
        <r>
          <rPr>
            <sz val="9"/>
            <color rgb="FF000000"/>
            <rFont val="Tahoma"/>
            <family val="2"/>
          </rPr>
          <t xml:space="preserve">
</t>
        </r>
        <r>
          <rPr>
            <sz val="9"/>
            <color rgb="FF000000"/>
            <rFont val="Tahoma"/>
            <family val="2"/>
          </rPr>
          <t xml:space="preserve">
</t>
        </r>
        <r>
          <rPr>
            <b/>
            <sz val="9"/>
            <color rgb="FF000000"/>
            <rFont val="Tahoma"/>
            <family val="2"/>
          </rPr>
          <t xml:space="preserve">The text in this cell is red if:
</t>
        </r>
        <r>
          <rPr>
            <b/>
            <sz val="9"/>
            <color rgb="FFFF0000"/>
            <rFont val="Tahoma"/>
            <family val="2"/>
          </rPr>
          <t xml:space="preserve">-The frequency is below 200 kHz
</t>
        </r>
        <r>
          <rPr>
            <b/>
            <sz val="9"/>
            <color rgb="FFFF0000"/>
            <rFont val="Tahoma"/>
            <family val="2"/>
          </rPr>
          <t>-The frequency is above 1.2 MHz</t>
        </r>
        <r>
          <rPr>
            <sz val="11"/>
            <color rgb="FF000000"/>
            <rFont val="Tahoma"/>
            <family val="2"/>
          </rPr>
          <t xml:space="preserve">
</t>
        </r>
      </text>
    </comment>
    <comment ref="E10" authorId="0" shapeId="0" xr:uid="{00000000-0006-0000-0000-000006000000}">
      <text>
        <r>
          <rPr>
            <b/>
            <u/>
            <sz val="9"/>
            <color indexed="81"/>
            <rFont val="Tahoma"/>
            <family val="2"/>
          </rPr>
          <t>Operating SYNC Frequency</t>
        </r>
        <r>
          <rPr>
            <b/>
            <sz val="9"/>
            <color indexed="81"/>
            <rFont val="Tahoma"/>
            <family val="2"/>
          </rPr>
          <t xml:space="preserve">:
</t>
        </r>
        <r>
          <rPr>
            <sz val="9"/>
            <color indexed="81"/>
            <rFont val="Tahoma"/>
            <family val="2"/>
          </rPr>
          <t>This frequency sets the switching frequency the LM27403 should synchronize to. If SYNC is not used, the SYNC pin should be grounded and a default of 200kHz should be inserted here.</t>
        </r>
        <r>
          <rPr>
            <b/>
            <sz val="9"/>
            <color indexed="81"/>
            <rFont val="Tahoma"/>
            <family val="2"/>
          </rPr>
          <t xml:space="preserve">
The text in this cell is blue if 
</t>
        </r>
        <r>
          <rPr>
            <b/>
            <sz val="9"/>
            <color indexed="39"/>
            <rFont val="Tahoma"/>
            <family val="2"/>
          </rPr>
          <t>-The SYNC frequency is greater than the frequency set by R</t>
        </r>
        <r>
          <rPr>
            <b/>
            <vertAlign val="subscript"/>
            <sz val="9"/>
            <color indexed="39"/>
            <rFont val="Tahoma"/>
            <family val="2"/>
          </rPr>
          <t>FADJ</t>
        </r>
        <r>
          <rPr>
            <b/>
            <sz val="9"/>
            <color indexed="39"/>
            <rFont val="Tahoma"/>
            <family val="2"/>
          </rPr>
          <t>.</t>
        </r>
        <r>
          <rPr>
            <b/>
            <sz val="9"/>
            <color indexed="81"/>
            <rFont val="Tahoma"/>
            <family val="2"/>
          </rPr>
          <t xml:space="preserve">
The text in this cell is red if:
</t>
        </r>
        <r>
          <rPr>
            <b/>
            <sz val="9"/>
            <color indexed="10"/>
            <rFont val="Tahoma"/>
            <family val="2"/>
          </rPr>
          <t>- The frequency is below 200 kHz;
- The frequency is above 1.2 MHz;
- The frequency exceeds the programmed frequency (set by the R</t>
        </r>
        <r>
          <rPr>
            <b/>
            <vertAlign val="subscript"/>
            <sz val="9"/>
            <color indexed="10"/>
            <rFont val="Tahoma"/>
            <family val="2"/>
          </rPr>
          <t>FADJ</t>
        </r>
        <r>
          <rPr>
            <b/>
            <sz val="9"/>
            <color indexed="10"/>
            <rFont val="Tahoma"/>
            <family val="2"/>
          </rPr>
          <t xml:space="preserve"> resistor) by 400 kHz.</t>
        </r>
      </text>
    </comment>
    <comment ref="E15" authorId="0" shapeId="0" xr:uid="{00000000-0006-0000-0000-000007000000}">
      <text>
        <r>
          <rPr>
            <b/>
            <sz val="9"/>
            <color rgb="FF000000"/>
            <rFont val="Tahoma"/>
            <family val="2"/>
          </rPr>
          <t>L</t>
        </r>
        <r>
          <rPr>
            <b/>
            <vertAlign val="subscript"/>
            <sz val="9"/>
            <color rgb="FF000000"/>
            <rFont val="Tahoma"/>
            <family val="2"/>
          </rPr>
          <t>OUT</t>
        </r>
        <r>
          <rPr>
            <b/>
            <sz val="9"/>
            <color rgb="FF000000"/>
            <rFont val="Tahoma"/>
            <family val="2"/>
          </rPr>
          <t xml:space="preserve">:
</t>
        </r>
        <r>
          <rPr>
            <sz val="9"/>
            <color rgb="FF000000"/>
            <rFont val="Tahoma"/>
            <family val="2"/>
          </rPr>
          <t>Enter the output filter inductance here. Target inductor (peak-to-peak) ripple currrent is 30-40% of the DC full load current.</t>
        </r>
      </text>
    </comment>
    <comment ref="E16" authorId="0" shapeId="0" xr:uid="{00000000-0006-0000-0000-000008000000}">
      <text>
        <r>
          <rPr>
            <b/>
            <u/>
            <sz val="9"/>
            <color rgb="FF000000"/>
            <rFont val="Tahoma"/>
            <family val="2"/>
          </rPr>
          <t>Inductor DCR</t>
        </r>
        <r>
          <rPr>
            <b/>
            <sz val="9"/>
            <color rgb="FF000000"/>
            <rFont val="Tahoma"/>
            <family val="2"/>
          </rPr>
          <t xml:space="preserve">:
</t>
        </r>
        <r>
          <rPr>
            <sz val="9"/>
            <color rgb="FF000000"/>
            <rFont val="Tahoma"/>
            <family val="2"/>
          </rPr>
          <t>Enter the inductor DC resistance here. This is typically specified in the inductor datasheet at 25</t>
        </r>
        <r>
          <rPr>
            <sz val="9"/>
            <color rgb="FF000000"/>
            <rFont val="Tahoma"/>
            <family val="2"/>
          </rPr>
          <t>°</t>
        </r>
        <r>
          <rPr>
            <sz val="9"/>
            <color rgb="FF000000"/>
            <rFont val="Tahoma"/>
            <family val="2"/>
          </rPr>
          <t>C copper temperature.</t>
        </r>
      </text>
    </comment>
    <comment ref="E22" authorId="0" shapeId="0" xr:uid="{00000000-0006-0000-0000-000009000000}">
      <text>
        <r>
          <rPr>
            <b/>
            <sz val="9"/>
            <color rgb="FF000000"/>
            <rFont val="Tahoma"/>
            <family val="2"/>
          </rPr>
          <t>R</t>
        </r>
        <r>
          <rPr>
            <b/>
            <vertAlign val="subscript"/>
            <sz val="9"/>
            <color rgb="FF000000"/>
            <rFont val="Tahoma"/>
            <family val="2"/>
          </rPr>
          <t>ISET</t>
        </r>
        <r>
          <rPr>
            <b/>
            <sz val="9"/>
            <color rgb="FF000000"/>
            <rFont val="Tahoma"/>
            <family val="2"/>
          </rPr>
          <t>:</t>
        </r>
        <r>
          <rPr>
            <sz val="9"/>
            <color rgb="FF000000"/>
            <rFont val="Tahoma"/>
            <family val="2"/>
          </rPr>
          <t xml:space="preserve">
</t>
        </r>
        <r>
          <rPr>
            <sz val="9"/>
            <color rgb="FF000000"/>
            <rFont val="Tahoma"/>
            <family val="2"/>
          </rPr>
          <t xml:space="preserve">This resistor is used to set the overcurrent protection. As such, the calculation takes the required current limit setpoint, the inductor ripple current amplitude and the inductor DCR to calculate </t>
        </r>
        <r>
          <rPr>
            <b/>
            <sz val="9"/>
            <color rgb="FF000000"/>
            <rFont val="Tahoma"/>
            <family val="2"/>
          </rPr>
          <t>R</t>
        </r>
        <r>
          <rPr>
            <b/>
            <vertAlign val="subscript"/>
            <sz val="9"/>
            <color rgb="FF000000"/>
            <rFont val="Tahoma"/>
            <family val="2"/>
          </rPr>
          <t>ISET</t>
        </r>
        <r>
          <rPr>
            <sz val="9"/>
            <color rgb="FF000000"/>
            <rFont val="Tahoma"/>
            <family val="2"/>
          </rPr>
          <t xml:space="preserve">.
</t>
        </r>
        <r>
          <rPr>
            <sz val="9"/>
            <color rgb="FF000000"/>
            <rFont val="Tahoma"/>
            <family val="2"/>
          </rPr>
          <t xml:space="preserve">
</t>
        </r>
        <r>
          <rPr>
            <sz val="9"/>
            <color rgb="FF000000"/>
            <rFont val="Tahoma"/>
            <family val="2"/>
          </rPr>
          <t xml:space="preserve">The resistance of </t>
        </r>
        <r>
          <rPr>
            <b/>
            <sz val="9"/>
            <color rgb="FF000000"/>
            <rFont val="Tahoma"/>
            <family val="2"/>
          </rPr>
          <t>R</t>
        </r>
        <r>
          <rPr>
            <b/>
            <vertAlign val="subscript"/>
            <sz val="9"/>
            <color rgb="FF000000"/>
            <rFont val="Tahoma"/>
            <family val="2"/>
          </rPr>
          <t>CS</t>
        </r>
        <r>
          <rPr>
            <sz val="9"/>
            <color rgb="FF000000"/>
            <rFont val="Tahoma"/>
            <family val="2"/>
          </rPr>
          <t xml:space="preserve"> is set equal to </t>
        </r>
        <r>
          <rPr>
            <b/>
            <sz val="9"/>
            <color rgb="FF000000"/>
            <rFont val="Tahoma"/>
            <family val="2"/>
          </rPr>
          <t>R</t>
        </r>
        <r>
          <rPr>
            <b/>
            <vertAlign val="subscript"/>
            <sz val="9"/>
            <color rgb="FF000000"/>
            <rFont val="Tahoma"/>
            <family val="2"/>
          </rPr>
          <t>ISET</t>
        </r>
        <r>
          <rPr>
            <sz val="9"/>
            <color rgb="FF000000"/>
            <rFont val="Tahoma"/>
            <family val="2"/>
          </rPr>
          <t xml:space="preserve"> for balanced common-mode filtering to the CS+ and CS</t>
        </r>
        <r>
          <rPr>
            <sz val="9"/>
            <color rgb="FF000000"/>
            <rFont val="Calibri"/>
            <family val="2"/>
          </rPr>
          <t>–</t>
        </r>
        <r>
          <rPr>
            <sz val="9"/>
            <color rgb="FF000000"/>
            <rFont val="Tahoma"/>
            <family val="2"/>
          </rPr>
          <t xml:space="preserve"> pins.</t>
        </r>
      </text>
    </comment>
    <comment ref="E23" authorId="0" shapeId="0" xr:uid="{00000000-0006-0000-0000-00000A000000}">
      <text>
        <r>
          <rPr>
            <b/>
            <sz val="9"/>
            <color rgb="FF000000"/>
            <rFont val="Tahoma"/>
            <family val="2"/>
          </rPr>
          <t>R</t>
        </r>
        <r>
          <rPr>
            <b/>
            <vertAlign val="subscript"/>
            <sz val="9"/>
            <color rgb="FF000000"/>
            <rFont val="Tahoma"/>
            <family val="2"/>
          </rPr>
          <t>S</t>
        </r>
        <r>
          <rPr>
            <b/>
            <sz val="9"/>
            <color rgb="FF000000"/>
            <rFont val="Tahoma"/>
            <family val="2"/>
          </rPr>
          <t xml:space="preserve">:
</t>
        </r>
        <r>
          <rPr>
            <b/>
            <sz val="9"/>
            <color rgb="FF000000"/>
            <rFont val="Tahoma"/>
            <family val="2"/>
          </rPr>
          <t>R</t>
        </r>
        <r>
          <rPr>
            <b/>
            <vertAlign val="subscript"/>
            <sz val="9"/>
            <color rgb="FF000000"/>
            <rFont val="Tahoma"/>
            <family val="2"/>
          </rPr>
          <t>S</t>
        </r>
        <r>
          <rPr>
            <sz val="9"/>
            <color rgb="FF000000"/>
            <rFont val="Tahoma"/>
            <family val="2"/>
          </rPr>
          <t xml:space="preserve"> is calculated based on the filter capacitor </t>
        </r>
        <r>
          <rPr>
            <b/>
            <sz val="9"/>
            <color rgb="FF000000"/>
            <rFont val="Tahoma"/>
            <family val="2"/>
          </rPr>
          <t>C</t>
        </r>
        <r>
          <rPr>
            <b/>
            <vertAlign val="subscript"/>
            <sz val="9"/>
            <color rgb="FF000000"/>
            <rFont val="Tahoma"/>
            <family val="2"/>
          </rPr>
          <t>S</t>
        </r>
        <r>
          <rPr>
            <sz val="9"/>
            <color rgb="FF000000"/>
            <rFont val="Tahoma"/>
            <family val="2"/>
          </rPr>
          <t xml:space="preserve"> and the inductor parameters </t>
        </r>
        <r>
          <rPr>
            <b/>
            <sz val="9"/>
            <color rgb="FF000000"/>
            <rFont val="Tahoma"/>
            <family val="2"/>
          </rPr>
          <t>L</t>
        </r>
        <r>
          <rPr>
            <b/>
            <vertAlign val="subscript"/>
            <sz val="9"/>
            <color rgb="FF000000"/>
            <rFont val="Tahoma"/>
            <family val="2"/>
          </rPr>
          <t>OUT</t>
        </r>
        <r>
          <rPr>
            <sz val="9"/>
            <color rgb="FF000000"/>
            <rFont val="Tahoma"/>
            <family val="2"/>
          </rPr>
          <t xml:space="preserve"> and </t>
        </r>
        <r>
          <rPr>
            <b/>
            <sz val="9"/>
            <color rgb="FF000000"/>
            <rFont val="Tahoma"/>
            <family val="2"/>
          </rPr>
          <t>DCR</t>
        </r>
        <r>
          <rPr>
            <sz val="9"/>
            <color rgb="FF000000"/>
            <rFont val="Tahoma"/>
            <family val="2"/>
          </rPr>
          <t xml:space="preserve">.
</t>
        </r>
        <r>
          <rPr>
            <sz val="9"/>
            <color rgb="FF000000"/>
            <rFont val="Tahoma"/>
            <family val="2"/>
          </rPr>
          <t>Specifically, the LM27403 design tool sets the R</t>
        </r>
        <r>
          <rPr>
            <vertAlign val="subscript"/>
            <sz val="9"/>
            <color rgb="FF000000"/>
            <rFont val="Tahoma"/>
            <family val="2"/>
          </rPr>
          <t>S</t>
        </r>
        <r>
          <rPr>
            <sz val="9"/>
            <color rgb="FF000000"/>
            <rFont val="Tahoma"/>
            <family val="2"/>
          </rPr>
          <t>C</t>
        </r>
        <r>
          <rPr>
            <vertAlign val="subscript"/>
            <sz val="9"/>
            <color rgb="FF000000"/>
            <rFont val="Tahoma"/>
            <family val="2"/>
          </rPr>
          <t>S</t>
        </r>
        <r>
          <rPr>
            <sz val="9"/>
            <color rgb="FF000000"/>
            <rFont val="Tahoma"/>
            <family val="2"/>
          </rPr>
          <t xml:space="preserve"> filter time constant to 1.2 times that associated with the inductor (i.e. </t>
        </r>
        <r>
          <rPr>
            <b/>
            <sz val="9"/>
            <color rgb="FF000000"/>
            <rFont val="Tahoma"/>
            <family val="2"/>
          </rPr>
          <t>L</t>
        </r>
        <r>
          <rPr>
            <b/>
            <vertAlign val="subscript"/>
            <sz val="9"/>
            <color rgb="FF000000"/>
            <rFont val="Tahoma"/>
            <family val="2"/>
          </rPr>
          <t>OUT</t>
        </r>
        <r>
          <rPr>
            <b/>
            <sz val="9"/>
            <color rgb="FF000000"/>
            <rFont val="Tahoma"/>
            <family val="2"/>
          </rPr>
          <t>/DCR</t>
        </r>
        <r>
          <rPr>
            <sz val="9"/>
            <color rgb="FF000000"/>
            <rFont val="Tahoma"/>
            <family val="2"/>
          </rPr>
          <t>).</t>
        </r>
      </text>
    </comment>
    <comment ref="E24" authorId="0" shapeId="0" xr:uid="{00000000-0006-0000-0000-00000B000000}">
      <text>
        <r>
          <rPr>
            <b/>
            <sz val="9"/>
            <color rgb="FF000000"/>
            <rFont val="Tahoma"/>
            <family val="2"/>
          </rPr>
          <t>C</t>
        </r>
        <r>
          <rPr>
            <b/>
            <vertAlign val="subscript"/>
            <sz val="9"/>
            <color rgb="FF000000"/>
            <rFont val="Tahoma"/>
            <family val="2"/>
          </rPr>
          <t>S</t>
        </r>
        <r>
          <rPr>
            <b/>
            <sz val="9"/>
            <color rgb="FF000000"/>
            <rFont val="Tahoma"/>
            <family val="2"/>
          </rPr>
          <t>:</t>
        </r>
        <r>
          <rPr>
            <sz val="9"/>
            <color rgb="FF000000"/>
            <rFont val="Tahoma"/>
            <family val="2"/>
          </rPr>
          <t xml:space="preserve"> 
</t>
        </r>
        <r>
          <rPr>
            <b/>
            <sz val="9"/>
            <color rgb="FF000000"/>
            <rFont val="Tahoma"/>
            <family val="2"/>
          </rPr>
          <t>C</t>
        </r>
        <r>
          <rPr>
            <b/>
            <vertAlign val="subscript"/>
            <sz val="9"/>
            <color rgb="FF000000"/>
            <rFont val="Tahoma"/>
            <family val="2"/>
          </rPr>
          <t>S</t>
        </r>
        <r>
          <rPr>
            <sz val="9"/>
            <color rgb="FF000000"/>
            <rFont val="Tahoma"/>
            <family val="2"/>
          </rPr>
          <t xml:space="preserve"> is the sense/filter capacitor used for inductor DCR current sensing.
</t>
        </r>
        <r>
          <rPr>
            <sz val="9"/>
            <color rgb="FF000000"/>
            <rFont val="Tahoma"/>
            <family val="2"/>
          </rPr>
          <t xml:space="preserve">0.22µF is the nominal value and is subsequently used to determine </t>
        </r>
        <r>
          <rPr>
            <b/>
            <sz val="9"/>
            <color rgb="FF000000"/>
            <rFont val="Tahoma"/>
            <family val="2"/>
          </rPr>
          <t>R</t>
        </r>
        <r>
          <rPr>
            <b/>
            <vertAlign val="subscript"/>
            <sz val="9"/>
            <color rgb="FF000000"/>
            <rFont val="Tahoma"/>
            <family val="2"/>
          </rPr>
          <t>S</t>
        </r>
        <r>
          <rPr>
            <sz val="9"/>
            <color rgb="FF000000"/>
            <rFont val="Tahoma"/>
            <family val="2"/>
          </rPr>
          <t>.</t>
        </r>
        <r>
          <rPr>
            <sz val="11"/>
            <color rgb="FF000000"/>
            <rFont val="Tahoma"/>
            <family val="2"/>
          </rPr>
          <t xml:space="preserve">
</t>
        </r>
      </text>
    </comment>
    <comment ref="E28" authorId="0" shapeId="0" xr:uid="{00000000-0006-0000-0000-00000C000000}">
      <text>
        <r>
          <rPr>
            <b/>
            <u/>
            <sz val="9"/>
            <color indexed="81"/>
            <rFont val="Tahoma"/>
            <family val="2"/>
          </rPr>
          <t>Output Voltage Ripple</t>
        </r>
        <r>
          <rPr>
            <b/>
            <sz val="9"/>
            <color indexed="81"/>
            <rFont val="Tahoma"/>
            <family val="2"/>
          </rPr>
          <t xml:space="preserve">:
</t>
        </r>
        <r>
          <rPr>
            <sz val="9"/>
            <color indexed="81"/>
            <rFont val="Tahoma"/>
            <family val="2"/>
          </rPr>
          <t>Enter the desired maximum peak-to-peak output voltage ripple here. This will set the ideal output capacitance value.</t>
        </r>
        <r>
          <rPr>
            <b/>
            <sz val="9"/>
            <color indexed="81"/>
            <rFont val="Tahoma"/>
            <family val="2"/>
          </rPr>
          <t xml:space="preserve">
The text in this cell is red if:
</t>
        </r>
        <r>
          <rPr>
            <b/>
            <sz val="9"/>
            <color indexed="10"/>
            <rFont val="Tahoma"/>
            <family val="2"/>
          </rPr>
          <t>-The output voltage ripple is zero.</t>
        </r>
      </text>
    </comment>
    <comment ref="E30" authorId="0" shapeId="0" xr:uid="{00000000-0006-0000-0000-00000D000000}">
      <text>
        <r>
          <rPr>
            <b/>
            <u/>
            <sz val="9"/>
            <color rgb="FF000000"/>
            <rFont val="Tahoma"/>
            <family val="2"/>
          </rPr>
          <t>Output Capacitance</t>
        </r>
        <r>
          <rPr>
            <b/>
            <sz val="9"/>
            <color rgb="FF000000"/>
            <rFont val="Tahoma"/>
            <family val="2"/>
          </rPr>
          <t>:</t>
        </r>
        <r>
          <rPr>
            <sz val="9"/>
            <color rgb="FF000000"/>
            <rFont val="Tahoma"/>
            <family val="2"/>
          </rPr>
          <t xml:space="preserve">
</t>
        </r>
        <r>
          <rPr>
            <sz val="9"/>
            <color rgb="FF000000"/>
            <rFont val="Tahoma"/>
            <family val="2"/>
          </rPr>
          <t xml:space="preserve">Enter the output capacitance here based on the minimum calculated result. Make sure that the nominal capacitance is appropriately derated for applied voltage, particularly with </t>
        </r>
        <r>
          <rPr>
            <sz val="9"/>
            <color rgb="FF0000FF"/>
            <rFont val="Tahoma"/>
            <family val="2"/>
          </rPr>
          <t>ceramics</t>
        </r>
        <r>
          <rPr>
            <sz val="9"/>
            <color rgb="FF000000"/>
            <rFont val="Tahoma"/>
            <family val="2"/>
          </rPr>
          <t xml:space="preserve">.
</t>
        </r>
        <r>
          <rPr>
            <sz val="9"/>
            <color rgb="FF000000"/>
            <rFont val="Tahoma"/>
            <family val="2"/>
          </rPr>
          <t xml:space="preserve">
</t>
        </r>
        <r>
          <rPr>
            <b/>
            <sz val="9"/>
            <color rgb="FF000000"/>
            <rFont val="Tahoma"/>
            <family val="2"/>
          </rPr>
          <t>The text in this cell is flagged red if:</t>
        </r>
        <r>
          <rPr>
            <sz val="9"/>
            <color rgb="FF000000"/>
            <rFont val="Tahoma"/>
            <family val="2"/>
          </rPr>
          <t xml:space="preserve">
</t>
        </r>
        <r>
          <rPr>
            <b/>
            <sz val="9"/>
            <color rgb="FFFF0000"/>
            <rFont val="Tahoma"/>
            <family val="2"/>
          </rPr>
          <t>-The chosen output capacitor is smaller than the minimum ideal capacitance.</t>
        </r>
      </text>
    </comment>
    <comment ref="E32" authorId="0" shapeId="0" xr:uid="{00000000-0006-0000-0000-00000E000000}">
      <text>
        <r>
          <rPr>
            <b/>
            <u/>
            <sz val="9"/>
            <color rgb="FF000000"/>
            <rFont val="Tahoma"/>
            <family val="2"/>
          </rPr>
          <t>Output Capacitor ESR</t>
        </r>
        <r>
          <rPr>
            <b/>
            <sz val="9"/>
            <color rgb="FF000000"/>
            <rFont val="Tahoma"/>
            <family val="2"/>
          </rPr>
          <t xml:space="preserve">:
</t>
        </r>
        <r>
          <rPr>
            <sz val="9"/>
            <color rgb="FF000000"/>
            <rFont val="Tahoma"/>
            <family val="2"/>
          </rPr>
          <t>Enter the output capacitor ESR here based on the maximum allowed output capacitor ESR to meet the voltage ripple specification.</t>
        </r>
        <r>
          <rPr>
            <b/>
            <sz val="9"/>
            <color rgb="FF000000"/>
            <rFont val="Tahoma"/>
            <family val="2"/>
          </rPr>
          <t xml:space="preserve">
</t>
        </r>
        <r>
          <rPr>
            <b/>
            <sz val="9"/>
            <color rgb="FF000000"/>
            <rFont val="Tahoma"/>
            <family val="2"/>
          </rPr>
          <t xml:space="preserve">
</t>
        </r>
        <r>
          <rPr>
            <b/>
            <sz val="9"/>
            <color rgb="FF000000"/>
            <rFont val="Tahoma"/>
            <family val="2"/>
          </rPr>
          <t xml:space="preserve">The text in this cell will be </t>
        </r>
        <r>
          <rPr>
            <b/>
            <sz val="9"/>
            <color rgb="FFFF0000"/>
            <rFont val="Tahoma"/>
            <family val="2"/>
          </rPr>
          <t>red</t>
        </r>
        <r>
          <rPr>
            <b/>
            <sz val="9"/>
            <color rgb="FF000000"/>
            <rFont val="Tahoma"/>
            <family val="2"/>
          </rPr>
          <t xml:space="preserve"> if:
</t>
        </r>
        <r>
          <rPr>
            <b/>
            <sz val="9"/>
            <color rgb="FFFF0000"/>
            <rFont val="Tahoma"/>
            <family val="2"/>
          </rPr>
          <t xml:space="preserve">-ESR is zero, or
</t>
        </r>
        <r>
          <rPr>
            <b/>
            <sz val="9"/>
            <color rgb="FFFF0000"/>
            <rFont val="Tahoma"/>
            <family val="2"/>
          </rPr>
          <t>-ESR exceeds maximum allowable ESR to meet the voltage ripple specification.</t>
        </r>
      </text>
    </comment>
    <comment ref="E37" authorId="0" shapeId="0" xr:uid="{00000000-0006-0000-0000-00000F000000}">
      <text>
        <r>
          <rPr>
            <b/>
            <u/>
            <sz val="9"/>
            <color rgb="FF000000"/>
            <rFont val="Tahoma"/>
            <family val="2"/>
          </rPr>
          <t>Input Voltage Ripple</t>
        </r>
        <r>
          <rPr>
            <b/>
            <sz val="9"/>
            <color rgb="FF000000"/>
            <rFont val="Tahoma"/>
            <family val="2"/>
          </rPr>
          <t xml:space="preserve">:
</t>
        </r>
        <r>
          <rPr>
            <sz val="9"/>
            <color rgb="FF000000"/>
            <rFont val="Tahoma"/>
            <family val="2"/>
          </rPr>
          <t>Enter the desired maximum peak-to-peak input voltage ripple here. This will set the ideal input capacitance requirement.</t>
        </r>
        <r>
          <rPr>
            <b/>
            <sz val="9"/>
            <color rgb="FF000000"/>
            <rFont val="Tahoma"/>
            <family val="2"/>
          </rPr>
          <t xml:space="preserve">
</t>
        </r>
        <r>
          <rPr>
            <b/>
            <sz val="9"/>
            <color rgb="FF000000"/>
            <rFont val="Tahoma"/>
            <family val="2"/>
          </rPr>
          <t xml:space="preserve">
</t>
        </r>
        <r>
          <rPr>
            <b/>
            <sz val="9"/>
            <color rgb="FF000000"/>
            <rFont val="Tahoma"/>
            <family val="2"/>
          </rPr>
          <t xml:space="preserve">The text in this cell is </t>
        </r>
        <r>
          <rPr>
            <b/>
            <sz val="9"/>
            <color rgb="FFFF0000"/>
            <rFont val="Tahoma"/>
            <family val="2"/>
          </rPr>
          <t>red</t>
        </r>
        <r>
          <rPr>
            <b/>
            <sz val="9"/>
            <color rgb="FF000000"/>
            <rFont val="Tahoma"/>
            <family val="2"/>
          </rPr>
          <t xml:space="preserve"> if:
</t>
        </r>
        <r>
          <rPr>
            <b/>
            <sz val="9"/>
            <color rgb="FFFF0000"/>
            <rFont val="Tahoma"/>
            <family val="2"/>
          </rPr>
          <t>-The input voltage ripple is zero.</t>
        </r>
      </text>
    </comment>
    <comment ref="E39" authorId="0" shapeId="0" xr:uid="{00000000-0006-0000-0000-000010000000}">
      <text>
        <r>
          <rPr>
            <b/>
            <u/>
            <sz val="9"/>
            <color rgb="FF000000"/>
            <rFont val="Tahoma"/>
            <family val="2"/>
          </rPr>
          <t>Input Capacitance</t>
        </r>
        <r>
          <rPr>
            <b/>
            <sz val="9"/>
            <color rgb="FF000000"/>
            <rFont val="Tahoma"/>
            <family val="2"/>
          </rPr>
          <t xml:space="preserve">:
</t>
        </r>
        <r>
          <rPr>
            <sz val="9"/>
            <color rgb="FF000000"/>
            <rFont val="Tahoma"/>
            <family val="2"/>
          </rPr>
          <t xml:space="preserve">Enter the input capacitance here based on the minimum calculated result. Make sure that the nominal capacitance is appropriately derated for applied voltage.
</t>
        </r>
        <r>
          <rPr>
            <sz val="9"/>
            <color rgb="FF000000"/>
            <rFont val="Tahoma"/>
            <family val="2"/>
          </rPr>
          <t xml:space="preserve">
</t>
        </r>
        <r>
          <rPr>
            <b/>
            <sz val="9"/>
            <color rgb="FF000000"/>
            <rFont val="Tahoma"/>
            <family val="2"/>
          </rPr>
          <t xml:space="preserve">The text in this cell is flagged </t>
        </r>
        <r>
          <rPr>
            <b/>
            <sz val="9"/>
            <color rgb="FFFF0000"/>
            <rFont val="Tahoma"/>
            <family val="2"/>
          </rPr>
          <t>red</t>
        </r>
        <r>
          <rPr>
            <b/>
            <sz val="9"/>
            <color rgb="FF000000"/>
            <rFont val="Tahoma"/>
            <family val="2"/>
          </rPr>
          <t xml:space="preserve"> if:
</t>
        </r>
        <r>
          <rPr>
            <b/>
            <sz val="9"/>
            <color rgb="FFFF0000"/>
            <rFont val="Tahoma"/>
            <family val="2"/>
          </rPr>
          <t>-The chosen input capacitor is smaller than the minimum ideal capacitance.</t>
        </r>
      </text>
    </comment>
    <comment ref="E41" authorId="0" shapeId="0" xr:uid="{00000000-0006-0000-0000-000011000000}">
      <text>
        <r>
          <rPr>
            <b/>
            <u/>
            <sz val="9"/>
            <color rgb="FF000000"/>
            <rFont val="Tahoma"/>
            <family val="2"/>
          </rPr>
          <t>Input Capacitor ESR</t>
        </r>
        <r>
          <rPr>
            <b/>
            <sz val="9"/>
            <color rgb="FF000000"/>
            <rFont val="Tahoma"/>
            <family val="2"/>
          </rPr>
          <t xml:space="preserve">:
</t>
        </r>
        <r>
          <rPr>
            <sz val="9"/>
            <color rgb="FF000000"/>
            <rFont val="Tahoma"/>
            <family val="2"/>
          </rPr>
          <t>Enter the input capacitor ESR here based on the maximum allowed input capacitor ESR to meet the ripple voltage specification.</t>
        </r>
        <r>
          <rPr>
            <b/>
            <sz val="9"/>
            <color rgb="FF000000"/>
            <rFont val="Tahoma"/>
            <family val="2"/>
          </rPr>
          <t xml:space="preserve">
</t>
        </r>
        <r>
          <rPr>
            <b/>
            <sz val="9"/>
            <color rgb="FF000000"/>
            <rFont val="Tahoma"/>
            <family val="2"/>
          </rPr>
          <t xml:space="preserve">
</t>
        </r>
        <r>
          <rPr>
            <b/>
            <sz val="9"/>
            <color rgb="FF000000"/>
            <rFont val="Tahoma"/>
            <family val="2"/>
          </rPr>
          <t xml:space="preserve">The text in this cell will be </t>
        </r>
        <r>
          <rPr>
            <b/>
            <sz val="9"/>
            <color rgb="FFFF0000"/>
            <rFont val="Tahoma"/>
            <family val="2"/>
          </rPr>
          <t>red</t>
        </r>
        <r>
          <rPr>
            <b/>
            <sz val="9"/>
            <color rgb="FF000000"/>
            <rFont val="Tahoma"/>
            <family val="2"/>
          </rPr>
          <t xml:space="preserve"> if:
</t>
        </r>
        <r>
          <rPr>
            <b/>
            <sz val="9"/>
            <color rgb="FFFF0000"/>
            <rFont val="Tahoma"/>
            <family val="2"/>
          </rPr>
          <t xml:space="preserve">-ESR is zero, or
</t>
        </r>
        <r>
          <rPr>
            <b/>
            <sz val="9"/>
            <color rgb="FFFF0000"/>
            <rFont val="Tahoma"/>
            <family val="2"/>
          </rPr>
          <t>-ESR exceeds maximum allowable ESR to meet the voltage ripple specification.</t>
        </r>
        <r>
          <rPr>
            <sz val="11"/>
            <color rgb="FF000000"/>
            <rFont val="Tahoma"/>
            <family val="2"/>
          </rPr>
          <t xml:space="preserve">
</t>
        </r>
      </text>
    </comment>
    <comment ref="E46" authorId="0" shapeId="0" xr:uid="{00000000-0006-0000-0000-000012000000}">
      <text>
        <r>
          <rPr>
            <b/>
            <u/>
            <sz val="8"/>
            <color rgb="FF000000"/>
            <rFont val="Tahoma"/>
            <family val="2"/>
          </rPr>
          <t>Soft-Start Time</t>
        </r>
        <r>
          <rPr>
            <b/>
            <sz val="8"/>
            <color rgb="FF000000"/>
            <rFont val="Tahoma"/>
            <family val="2"/>
          </rPr>
          <t xml:space="preserve">:
</t>
        </r>
        <r>
          <rPr>
            <sz val="8"/>
            <color rgb="FF000000"/>
            <rFont val="Tahoma"/>
            <family val="2"/>
          </rPr>
          <t xml:space="preserve">Enter the desired soft-start time here. The soft-start time cannot be shorter than the internal 1.28 ms soft-start timer.
</t>
        </r>
        <r>
          <rPr>
            <b/>
            <sz val="8"/>
            <color rgb="FF000000"/>
            <rFont val="Tahoma"/>
            <family val="2"/>
          </rPr>
          <t xml:space="preserve">
</t>
        </r>
        <r>
          <rPr>
            <b/>
            <sz val="8"/>
            <color rgb="FF000000"/>
            <rFont val="Tahoma"/>
            <family val="2"/>
          </rPr>
          <t>The text in this cell will be red if:</t>
        </r>
        <r>
          <rPr>
            <sz val="8"/>
            <color rgb="FF000000"/>
            <rFont val="Tahoma"/>
            <family val="2"/>
          </rPr>
          <t xml:space="preserve">
</t>
        </r>
        <r>
          <rPr>
            <b/>
            <sz val="8"/>
            <color rgb="FFFF0000"/>
            <rFont val="Tahoma"/>
            <family val="2"/>
          </rPr>
          <t>-The specified soft-start time is less than 1.28 ms.</t>
        </r>
      </text>
    </comment>
    <comment ref="E48" authorId="0" shapeId="0" xr:uid="{00000000-0006-0000-0000-000013000000}">
      <text>
        <r>
          <rPr>
            <b/>
            <u/>
            <sz val="9"/>
            <color rgb="FF000000"/>
            <rFont val="Tahoma"/>
            <family val="2"/>
          </rPr>
          <t>OTP Setpoint</t>
        </r>
        <r>
          <rPr>
            <b/>
            <sz val="9"/>
            <color rgb="FF000000"/>
            <rFont val="Tahoma"/>
            <family val="2"/>
          </rPr>
          <t>:</t>
        </r>
        <r>
          <rPr>
            <sz val="9"/>
            <color rgb="FF000000"/>
            <rFont val="Tahoma"/>
            <family val="2"/>
          </rPr>
          <t xml:space="preserve">
</t>
        </r>
        <r>
          <rPr>
            <sz val="9"/>
            <color rgb="FF000000"/>
            <rFont val="Tahoma"/>
            <family val="2"/>
          </rPr>
          <t xml:space="preserve">Enter the desired system-/board-level OTP setpoint based on the temperature sensed using the diode-connected transistor connected to the D+ and D- pins. The remote temperature sensor is typically located adjacent the inductor (to compensate for the inductor DCR variation over temperature, as required for overcurrent protection).
</t>
        </r>
        <r>
          <rPr>
            <sz val="9"/>
            <color rgb="FF000000"/>
            <rFont val="Tahoma"/>
            <family val="2"/>
          </rPr>
          <t xml:space="preserve">
</t>
        </r>
        <r>
          <rPr>
            <sz val="9"/>
            <color rgb="FF000000"/>
            <rFont val="Tahoma"/>
            <family val="2"/>
          </rPr>
          <t>Note than the LM27403 has internal over-temperature protection based on its die temperature reaching 165</t>
        </r>
        <r>
          <rPr>
            <sz val="9"/>
            <color rgb="FF000000"/>
            <rFont val="Tahoma"/>
            <family val="2"/>
          </rPr>
          <t>°</t>
        </r>
        <r>
          <rPr>
            <sz val="9"/>
            <color rgb="FF000000"/>
            <rFont val="Tahoma"/>
            <family val="2"/>
          </rPr>
          <t xml:space="preserve">C (typical).
</t>
        </r>
        <r>
          <rPr>
            <b/>
            <sz val="9"/>
            <color rgb="FF0000FF"/>
            <rFont val="Tahoma"/>
            <family val="2"/>
          </rPr>
          <t xml:space="preserve">
</t>
        </r>
        <r>
          <rPr>
            <b/>
            <sz val="9"/>
            <color rgb="FF0000FF"/>
            <rFont val="Tahoma"/>
            <family val="2"/>
          </rPr>
          <t xml:space="preserve">NB: Connect a </t>
        </r>
        <r>
          <rPr>
            <b/>
            <u/>
            <sz val="9"/>
            <color rgb="FF0000FF"/>
            <rFont val="Tahoma"/>
            <family val="2"/>
          </rPr>
          <t>100nF ceramic capacitor</t>
        </r>
        <r>
          <rPr>
            <b/>
            <sz val="9"/>
            <color rgb="FF0000FF"/>
            <rFont val="Tahoma"/>
            <family val="2"/>
          </rPr>
          <t xml:space="preserve"> in parallel with the appropriate OTP resistance to configure the OTP setpoint.
</t>
        </r>
        <r>
          <rPr>
            <b/>
            <sz val="9"/>
            <color rgb="FF0000FF"/>
            <rFont val="Tahoma"/>
            <family val="2"/>
          </rPr>
          <t xml:space="preserve">
</t>
        </r>
        <r>
          <rPr>
            <b/>
            <i/>
            <sz val="9"/>
            <color rgb="FF0000FF"/>
            <rFont val="Tahoma"/>
            <family val="2"/>
          </rPr>
          <t>If a system-level OTP feature is not required, tie the OTP pin to GND.</t>
        </r>
        <r>
          <rPr>
            <b/>
            <sz val="9"/>
            <color rgb="FF0000FF"/>
            <rFont val="Tahoma"/>
            <family val="2"/>
          </rPr>
          <t xml:space="preserve">
</t>
        </r>
        <r>
          <rPr>
            <sz val="9"/>
            <color rgb="FF000000"/>
            <rFont val="Tahoma"/>
            <family val="2"/>
          </rPr>
          <t xml:space="preserve">
</t>
        </r>
        <r>
          <rPr>
            <sz val="9"/>
            <color rgb="FF000000"/>
            <rFont val="Tahoma"/>
            <family val="2"/>
          </rPr>
          <t xml:space="preserve">The text in this cell will be red if:
</t>
        </r>
        <r>
          <rPr>
            <b/>
            <sz val="9"/>
            <color rgb="FFFF0000"/>
            <rFont val="Tahoma"/>
            <family val="2"/>
          </rPr>
          <t>-The specified OTP temperature exceeds 150</t>
        </r>
        <r>
          <rPr>
            <b/>
            <sz val="9"/>
            <color rgb="FFFF0000"/>
            <rFont val="Tahoma"/>
            <family val="2"/>
          </rPr>
          <t>°</t>
        </r>
        <r>
          <rPr>
            <b/>
            <sz val="9"/>
            <color rgb="FFFF0000"/>
            <rFont val="Tahoma"/>
            <family val="2"/>
          </rPr>
          <t>C.</t>
        </r>
      </text>
    </comment>
    <comment ref="E50" authorId="0" shapeId="0" xr:uid="{00000000-0006-0000-0000-000014000000}">
      <text>
        <r>
          <rPr>
            <b/>
            <u/>
            <sz val="9"/>
            <color rgb="FF000000"/>
            <rFont val="Tahoma"/>
            <family val="2"/>
          </rPr>
          <t>Nominal UVLO Turn-On Input Voltage</t>
        </r>
        <r>
          <rPr>
            <b/>
            <sz val="9"/>
            <color rgb="FF000000"/>
            <rFont val="Tahoma"/>
            <family val="2"/>
          </rPr>
          <t xml:space="preserve">:
</t>
        </r>
        <r>
          <rPr>
            <sz val="9"/>
            <color rgb="FF000000"/>
            <rFont val="Tahoma"/>
            <family val="2"/>
          </rPr>
          <t xml:space="preserve">Enter the nominal input voltage at turn on.
</t>
        </r>
        <r>
          <rPr>
            <sz val="9"/>
            <color rgb="FF000000"/>
            <rFont val="Tahoma"/>
            <family val="2"/>
          </rPr>
          <t xml:space="preserve">The LM27403 input operating voltage range is 3.0V to 20V.
</t>
        </r>
        <r>
          <rPr>
            <sz val="9"/>
            <color rgb="FF000000"/>
            <rFont val="Tahoma"/>
            <family val="2"/>
          </rPr>
          <t xml:space="preserve">
</t>
        </r>
        <r>
          <rPr>
            <b/>
            <sz val="9"/>
            <color rgb="FF000000"/>
            <rFont val="Tahoma"/>
            <family val="2"/>
          </rPr>
          <t>The text in this cell is red if:</t>
        </r>
        <r>
          <rPr>
            <sz val="9"/>
            <color rgb="FF000000"/>
            <rFont val="Tahoma"/>
            <family val="2"/>
          </rPr>
          <t xml:space="preserve">
</t>
        </r>
        <r>
          <rPr>
            <sz val="9"/>
            <color rgb="FF000000"/>
            <rFont val="Tahoma"/>
            <family val="2"/>
          </rPr>
          <t xml:space="preserve">-The input voltage is above </t>
        </r>
        <r>
          <rPr>
            <b/>
            <sz val="9"/>
            <color rgb="FFFF0000"/>
            <rFont val="Tahoma"/>
            <family val="2"/>
          </rPr>
          <t>19V</t>
        </r>
        <r>
          <rPr>
            <sz val="9"/>
            <color rgb="FF000000"/>
            <rFont val="Tahoma"/>
            <family val="2"/>
          </rPr>
          <t xml:space="preserve">
</t>
        </r>
        <r>
          <rPr>
            <sz val="9"/>
            <color rgb="FF000000"/>
            <rFont val="Tahoma"/>
            <family val="2"/>
          </rPr>
          <t xml:space="preserve">-The input voltage is below </t>
        </r>
        <r>
          <rPr>
            <b/>
            <sz val="9"/>
            <color rgb="FFFF0000"/>
            <rFont val="Tahoma"/>
            <family val="2"/>
          </rPr>
          <t>2.7V</t>
        </r>
      </text>
    </comment>
    <comment ref="E51" authorId="0" shapeId="0" xr:uid="{00000000-0006-0000-0000-000015000000}">
      <text>
        <r>
          <rPr>
            <b/>
            <u/>
            <sz val="9"/>
            <color rgb="FF000000"/>
            <rFont val="Tahoma"/>
            <family val="2"/>
          </rPr>
          <t>Nominal UVLO Turn-Off Input Voltage</t>
        </r>
        <r>
          <rPr>
            <b/>
            <sz val="9"/>
            <color rgb="FF000000"/>
            <rFont val="Tahoma"/>
            <family val="2"/>
          </rPr>
          <t>:</t>
        </r>
        <r>
          <rPr>
            <sz val="9"/>
            <color rgb="FF000000"/>
            <rFont val="Tahoma"/>
            <family val="2"/>
          </rPr>
          <t xml:space="preserve">
</t>
        </r>
        <r>
          <rPr>
            <sz val="9"/>
            <color rgb="FF000000"/>
            <rFont val="Tahoma"/>
            <family val="2"/>
          </rPr>
          <t xml:space="preserve">Enter the nominal input voltage at turn off.
</t>
        </r>
        <r>
          <rPr>
            <sz val="9"/>
            <color rgb="FF000000"/>
            <rFont val="Tahoma"/>
            <family val="2"/>
          </rPr>
          <t xml:space="preserve">The LM27403 input operating voltage range is 3.0V to 20V.
</t>
        </r>
        <r>
          <rPr>
            <b/>
            <sz val="9"/>
            <color rgb="FF000000"/>
            <rFont val="Tahoma"/>
            <family val="2"/>
          </rPr>
          <t xml:space="preserve">
</t>
        </r>
        <r>
          <rPr>
            <b/>
            <sz val="9"/>
            <color rgb="FF000000"/>
            <rFont val="Tahoma"/>
            <family val="2"/>
          </rPr>
          <t>The text in this cell is red if:</t>
        </r>
        <r>
          <rPr>
            <sz val="9"/>
            <color rgb="FF000000"/>
            <rFont val="Tahoma"/>
            <family val="2"/>
          </rPr>
          <t xml:space="preserve">
</t>
        </r>
        <r>
          <rPr>
            <sz val="9"/>
            <color rgb="FF000000"/>
            <rFont val="Tahoma"/>
            <family val="2"/>
          </rPr>
          <t xml:space="preserve">-The input voltage is above </t>
        </r>
        <r>
          <rPr>
            <b/>
            <sz val="9"/>
            <color rgb="FFFF0000"/>
            <rFont val="Tahoma"/>
            <family val="2"/>
          </rPr>
          <t>18V</t>
        </r>
        <r>
          <rPr>
            <sz val="9"/>
            <color rgb="FF000000"/>
            <rFont val="Tahoma"/>
            <family val="2"/>
          </rPr>
          <t xml:space="preserve">
</t>
        </r>
        <r>
          <rPr>
            <sz val="9"/>
            <color rgb="FF000000"/>
            <rFont val="Tahoma"/>
            <family val="2"/>
          </rPr>
          <t xml:space="preserve">-The input voltage is below </t>
        </r>
        <r>
          <rPr>
            <b/>
            <sz val="9"/>
            <color rgb="FFFF0000"/>
            <rFont val="Tahoma"/>
            <family val="2"/>
          </rPr>
          <t>2.4V</t>
        </r>
      </text>
    </comment>
    <comment ref="E59" authorId="0" shapeId="0" xr:uid="{00000000-0006-0000-0000-000016000000}">
      <text>
        <r>
          <rPr>
            <b/>
            <u/>
            <sz val="9"/>
            <color rgb="FF000000"/>
            <rFont val="Tahoma"/>
            <family val="2"/>
          </rPr>
          <t>Crossover Frequency</t>
        </r>
        <r>
          <rPr>
            <b/>
            <sz val="9"/>
            <color rgb="FF000000"/>
            <rFont val="Tahoma"/>
            <family val="2"/>
          </rPr>
          <t>:</t>
        </r>
        <r>
          <rPr>
            <sz val="9"/>
            <color rgb="FF000000"/>
            <rFont val="Tahoma"/>
            <family val="2"/>
          </rPr>
          <t xml:space="preserve">
</t>
        </r>
        <r>
          <rPr>
            <sz val="9"/>
            <color rgb="FF000000"/>
            <rFont val="Tahoma"/>
            <family val="2"/>
          </rPr>
          <t>Enter the desired open loop crossover frequency (usually between 10% and 20% of switching frequency). The LM27403 design tool determines feedback compensation components based on this target performance metric.</t>
        </r>
      </text>
    </comment>
    <comment ref="E61" authorId="0" shapeId="0" xr:uid="{00000000-0006-0000-0000-000017000000}">
      <text>
        <r>
          <rPr>
            <b/>
            <sz val="9"/>
            <color rgb="FF000000"/>
            <rFont val="Tahoma"/>
            <family val="2"/>
          </rPr>
          <t>R</t>
        </r>
        <r>
          <rPr>
            <b/>
            <vertAlign val="subscript"/>
            <sz val="9"/>
            <color rgb="FF000000"/>
            <rFont val="Tahoma"/>
            <family val="2"/>
          </rPr>
          <t>FB1</t>
        </r>
        <r>
          <rPr>
            <b/>
            <sz val="9"/>
            <color rgb="FF000000"/>
            <rFont val="Tahoma"/>
            <family val="2"/>
          </rPr>
          <t>:</t>
        </r>
        <r>
          <rPr>
            <sz val="9"/>
            <color rgb="FF000000"/>
            <rFont val="Tahoma"/>
            <family val="2"/>
          </rPr>
          <t xml:space="preserve">
</t>
        </r>
        <r>
          <rPr>
            <sz val="9"/>
            <color rgb="FF000000"/>
            <rFont val="Tahoma"/>
            <family val="2"/>
          </rPr>
          <t xml:space="preserve">This is the upper feedback resistor that sets the output voltage. A recommended starting value of </t>
        </r>
        <r>
          <rPr>
            <b/>
            <sz val="9"/>
            <color rgb="FF000000"/>
            <rFont val="Tahoma"/>
            <family val="2"/>
          </rPr>
          <t>R</t>
        </r>
        <r>
          <rPr>
            <b/>
            <vertAlign val="subscript"/>
            <sz val="9"/>
            <color rgb="FF000000"/>
            <rFont val="Tahoma"/>
            <family val="2"/>
          </rPr>
          <t>FB1</t>
        </r>
        <r>
          <rPr>
            <sz val="9"/>
            <color rgb="FF000000"/>
            <rFont val="Tahoma"/>
            <family val="2"/>
          </rPr>
          <t xml:space="preserve"> is 20kΩ.</t>
        </r>
      </text>
    </comment>
    <comment ref="D64" authorId="0" shapeId="0" xr:uid="{00000000-0006-0000-0000-000018000000}">
      <text>
        <r>
          <rPr>
            <b/>
            <sz val="9"/>
            <color rgb="FF000000"/>
            <rFont val="Tahoma"/>
            <family val="2"/>
          </rPr>
          <t>F</t>
        </r>
        <r>
          <rPr>
            <b/>
            <vertAlign val="subscript"/>
            <sz val="9"/>
            <color rgb="FF000000"/>
            <rFont val="Tahoma"/>
            <family val="2"/>
          </rPr>
          <t>Z1</t>
        </r>
        <r>
          <rPr>
            <b/>
            <sz val="9"/>
            <color rgb="FF000000"/>
            <rFont val="Tahoma"/>
            <family val="2"/>
          </rPr>
          <t xml:space="preserve">:
</t>
        </r>
        <r>
          <rPr>
            <b/>
            <sz val="9"/>
            <color rgb="FF000000"/>
            <rFont val="Tahoma"/>
            <family val="2"/>
          </rPr>
          <t>F</t>
        </r>
        <r>
          <rPr>
            <b/>
            <vertAlign val="subscript"/>
            <sz val="9"/>
            <color rgb="FF000000"/>
            <rFont val="Tahoma"/>
            <family val="2"/>
          </rPr>
          <t>Z1</t>
        </r>
        <r>
          <rPr>
            <sz val="9"/>
            <color rgb="FF000000"/>
            <rFont val="Tahoma"/>
            <family val="2"/>
          </rPr>
          <t xml:space="preserve"> is the first zero of the compensator. By default, </t>
        </r>
        <r>
          <rPr>
            <b/>
            <sz val="9"/>
            <color rgb="FF000000"/>
            <rFont val="Tahoma"/>
            <family val="2"/>
          </rPr>
          <t>F</t>
        </r>
        <r>
          <rPr>
            <b/>
            <vertAlign val="subscript"/>
            <sz val="9"/>
            <color rgb="FF000000"/>
            <rFont val="Tahoma"/>
            <family val="2"/>
          </rPr>
          <t>Z1</t>
        </r>
        <r>
          <rPr>
            <sz val="9"/>
            <color rgb="FF000000"/>
            <rFont val="Tahoma"/>
            <family val="2"/>
          </rPr>
          <t xml:space="preserve"> is located at the complex double pole (F</t>
        </r>
        <r>
          <rPr>
            <vertAlign val="subscript"/>
            <sz val="9"/>
            <color rgb="FF000000"/>
            <rFont val="Tahoma"/>
            <family val="2"/>
          </rPr>
          <t>LC</t>
        </r>
        <r>
          <rPr>
            <sz val="9"/>
            <color rgb="FF000000"/>
            <rFont val="Tahoma"/>
            <family val="2"/>
          </rPr>
          <t>) associated with L</t>
        </r>
        <r>
          <rPr>
            <vertAlign val="subscript"/>
            <sz val="9"/>
            <color rgb="FF000000"/>
            <rFont val="Tahoma"/>
            <family val="2"/>
          </rPr>
          <t>OUT</t>
        </r>
        <r>
          <rPr>
            <sz val="9"/>
            <color rgb="FF000000"/>
            <rFont val="Tahoma"/>
            <family val="2"/>
          </rPr>
          <t xml:space="preserve"> and C</t>
        </r>
        <r>
          <rPr>
            <vertAlign val="subscript"/>
            <sz val="9"/>
            <color rgb="FF000000"/>
            <rFont val="Tahoma"/>
            <family val="2"/>
          </rPr>
          <t>OUT</t>
        </r>
        <r>
          <rPr>
            <sz val="9"/>
            <color rgb="FF000000"/>
            <rFont val="Tahoma"/>
            <family val="2"/>
          </rPr>
          <t xml:space="preserve"> filter components. </t>
        </r>
        <r>
          <rPr>
            <b/>
            <sz val="9"/>
            <color rgb="FF000000"/>
            <rFont val="Tahoma"/>
            <family val="2"/>
          </rPr>
          <t>F</t>
        </r>
        <r>
          <rPr>
            <b/>
            <vertAlign val="subscript"/>
            <sz val="9"/>
            <color rgb="FF000000"/>
            <rFont val="Tahoma"/>
            <family val="2"/>
          </rPr>
          <t>Z1</t>
        </r>
        <r>
          <rPr>
            <sz val="9"/>
            <color rgb="FF000000"/>
            <rFont val="Tahoma"/>
            <family val="2"/>
          </rPr>
          <t xml:space="preserve"> can be changed by direct entry into the </t>
        </r>
        <r>
          <rPr>
            <b/>
            <sz val="9"/>
            <color rgb="FF000000"/>
            <rFont val="Tahoma"/>
            <family val="2"/>
          </rPr>
          <t>F</t>
        </r>
        <r>
          <rPr>
            <b/>
            <vertAlign val="subscript"/>
            <sz val="9"/>
            <color rgb="FF000000"/>
            <rFont val="Tahoma"/>
            <family val="2"/>
          </rPr>
          <t>Z1</t>
        </r>
        <r>
          <rPr>
            <sz val="9"/>
            <color rgb="FF000000"/>
            <rFont val="Tahoma"/>
            <family val="2"/>
          </rPr>
          <t xml:space="preserve"> cell.</t>
        </r>
      </text>
    </comment>
    <comment ref="D65" authorId="0" shapeId="0" xr:uid="{00000000-0006-0000-0000-000019000000}">
      <text>
        <r>
          <rPr>
            <b/>
            <sz val="9"/>
            <color rgb="FF000000"/>
            <rFont val="Tahoma"/>
            <family val="2"/>
          </rPr>
          <t>F</t>
        </r>
        <r>
          <rPr>
            <b/>
            <vertAlign val="subscript"/>
            <sz val="9"/>
            <color rgb="FF000000"/>
            <rFont val="Tahoma"/>
            <family val="2"/>
          </rPr>
          <t>Z2</t>
        </r>
        <r>
          <rPr>
            <b/>
            <sz val="9"/>
            <color rgb="FF000000"/>
            <rFont val="Tahoma"/>
            <family val="2"/>
          </rPr>
          <t xml:space="preserve">:
</t>
        </r>
        <r>
          <rPr>
            <b/>
            <sz val="9"/>
            <color rgb="FF000000"/>
            <rFont val="Tahoma"/>
            <family val="2"/>
          </rPr>
          <t>F</t>
        </r>
        <r>
          <rPr>
            <b/>
            <vertAlign val="subscript"/>
            <sz val="9"/>
            <color rgb="FF000000"/>
            <rFont val="Tahoma"/>
            <family val="2"/>
          </rPr>
          <t>Z2</t>
        </r>
        <r>
          <rPr>
            <sz val="9"/>
            <color rgb="FF000000"/>
            <rFont val="Tahoma"/>
            <family val="2"/>
          </rPr>
          <t xml:space="preserve"> is the second zero of the compensator. By default, </t>
        </r>
        <r>
          <rPr>
            <b/>
            <sz val="9"/>
            <color rgb="FF000000"/>
            <rFont val="Tahoma"/>
            <family val="2"/>
          </rPr>
          <t>F</t>
        </r>
        <r>
          <rPr>
            <b/>
            <vertAlign val="subscript"/>
            <sz val="9"/>
            <color rgb="FF000000"/>
            <rFont val="Tahoma"/>
            <family val="2"/>
          </rPr>
          <t>Z2</t>
        </r>
        <r>
          <rPr>
            <sz val="9"/>
            <color rgb="FF000000"/>
            <rFont val="Tahoma"/>
            <family val="2"/>
          </rPr>
          <t xml:space="preserve">  is located at the LC resonant frequency (F</t>
        </r>
        <r>
          <rPr>
            <vertAlign val="subscript"/>
            <sz val="9"/>
            <color rgb="FF000000"/>
            <rFont val="Tahoma"/>
            <family val="2"/>
          </rPr>
          <t>LC</t>
        </r>
        <r>
          <rPr>
            <sz val="9"/>
            <color rgb="FF000000"/>
            <rFont val="Tahoma"/>
            <family val="2"/>
          </rPr>
          <t>) caused by L</t>
        </r>
        <r>
          <rPr>
            <vertAlign val="subscript"/>
            <sz val="9"/>
            <color rgb="FF000000"/>
            <rFont val="Tahoma"/>
            <family val="2"/>
          </rPr>
          <t>OUT</t>
        </r>
        <r>
          <rPr>
            <sz val="9"/>
            <color rgb="FF000000"/>
            <rFont val="Tahoma"/>
            <family val="2"/>
          </rPr>
          <t xml:space="preserve"> and C</t>
        </r>
        <r>
          <rPr>
            <vertAlign val="subscript"/>
            <sz val="9"/>
            <color rgb="FF000000"/>
            <rFont val="Tahoma"/>
            <family val="2"/>
          </rPr>
          <t>OUT</t>
        </r>
        <r>
          <rPr>
            <sz val="9"/>
            <color rgb="FF000000"/>
            <rFont val="Tahoma"/>
            <family val="2"/>
          </rPr>
          <t xml:space="preserve"> filter components.  </t>
        </r>
        <r>
          <rPr>
            <b/>
            <sz val="9"/>
            <color rgb="FF000000"/>
            <rFont val="Tahoma"/>
            <family val="2"/>
          </rPr>
          <t>F</t>
        </r>
        <r>
          <rPr>
            <b/>
            <vertAlign val="subscript"/>
            <sz val="9"/>
            <color rgb="FF000000"/>
            <rFont val="Tahoma"/>
            <family val="2"/>
          </rPr>
          <t>Z2</t>
        </r>
        <r>
          <rPr>
            <sz val="9"/>
            <color rgb="FF000000"/>
            <rFont val="Tahoma"/>
            <family val="2"/>
          </rPr>
          <t xml:space="preserve"> can be changed by direct entry into the </t>
        </r>
        <r>
          <rPr>
            <b/>
            <sz val="9"/>
            <color rgb="FF000000"/>
            <rFont val="Tahoma"/>
            <family val="2"/>
          </rPr>
          <t>F</t>
        </r>
        <r>
          <rPr>
            <b/>
            <vertAlign val="subscript"/>
            <sz val="9"/>
            <color rgb="FF000000"/>
            <rFont val="Tahoma"/>
            <family val="2"/>
          </rPr>
          <t>Z2</t>
        </r>
        <r>
          <rPr>
            <sz val="9"/>
            <color rgb="FF000000"/>
            <rFont val="Tahoma"/>
            <family val="2"/>
          </rPr>
          <t xml:space="preserve"> cell.</t>
        </r>
      </text>
    </comment>
    <comment ref="D66" authorId="0" shapeId="0" xr:uid="{00000000-0006-0000-0000-00001A000000}">
      <text>
        <r>
          <rPr>
            <b/>
            <sz val="9"/>
            <color rgb="FF000000"/>
            <rFont val="Tahoma"/>
            <family val="2"/>
          </rPr>
          <t>F</t>
        </r>
        <r>
          <rPr>
            <b/>
            <vertAlign val="subscript"/>
            <sz val="9"/>
            <color rgb="FF000000"/>
            <rFont val="Tahoma"/>
            <family val="2"/>
          </rPr>
          <t>P1</t>
        </r>
        <r>
          <rPr>
            <b/>
            <sz val="9"/>
            <color rgb="FF000000"/>
            <rFont val="Tahoma"/>
            <family val="2"/>
          </rPr>
          <t>:</t>
        </r>
        <r>
          <rPr>
            <sz val="9"/>
            <color rgb="FF000000"/>
            <rFont val="Tahoma"/>
            <family val="2"/>
          </rPr>
          <t xml:space="preserve">
</t>
        </r>
        <r>
          <rPr>
            <b/>
            <sz val="9"/>
            <color rgb="FF000000"/>
            <rFont val="Tahoma"/>
            <family val="2"/>
          </rPr>
          <t>F</t>
        </r>
        <r>
          <rPr>
            <b/>
            <vertAlign val="subscript"/>
            <sz val="9"/>
            <color rgb="FF000000"/>
            <rFont val="Tahoma"/>
            <family val="2"/>
          </rPr>
          <t>P1</t>
        </r>
        <r>
          <rPr>
            <sz val="9"/>
            <color rgb="FF000000"/>
            <rFont val="Tahoma"/>
            <family val="2"/>
          </rPr>
          <t xml:space="preserve"> is the first pole of the compensator. By default, </t>
        </r>
        <r>
          <rPr>
            <b/>
            <sz val="9"/>
            <color rgb="FF000000"/>
            <rFont val="Tahoma"/>
            <family val="2"/>
          </rPr>
          <t>F</t>
        </r>
        <r>
          <rPr>
            <b/>
            <vertAlign val="subscript"/>
            <sz val="9"/>
            <color rgb="FF000000"/>
            <rFont val="Tahoma"/>
            <family val="2"/>
          </rPr>
          <t>P1</t>
        </r>
        <r>
          <rPr>
            <sz val="9"/>
            <color rgb="FF000000"/>
            <rFont val="Tahoma"/>
            <family val="2"/>
          </rPr>
          <t xml:space="preserve"> is located at the zero (F</t>
        </r>
        <r>
          <rPr>
            <vertAlign val="subscript"/>
            <sz val="9"/>
            <color rgb="FF000000"/>
            <rFont val="Tahoma"/>
            <family val="2"/>
          </rPr>
          <t>ESR</t>
        </r>
        <r>
          <rPr>
            <sz val="9"/>
            <color rgb="FF000000"/>
            <rFont val="Tahoma"/>
            <family val="2"/>
          </rPr>
          <t>) caused by the output capacitance (C</t>
        </r>
        <r>
          <rPr>
            <vertAlign val="subscript"/>
            <sz val="9"/>
            <color rgb="FF000000"/>
            <rFont val="Tahoma"/>
            <family val="2"/>
          </rPr>
          <t>OUT</t>
        </r>
        <r>
          <rPr>
            <sz val="9"/>
            <color rgb="FF000000"/>
            <rFont val="Tahoma"/>
            <family val="2"/>
          </rPr>
          <t xml:space="preserve">) and its associated ESR. </t>
        </r>
        <r>
          <rPr>
            <b/>
            <sz val="9"/>
            <color rgb="FF000000"/>
            <rFont val="Tahoma"/>
            <family val="2"/>
          </rPr>
          <t>F</t>
        </r>
        <r>
          <rPr>
            <b/>
            <vertAlign val="subscript"/>
            <sz val="9"/>
            <color rgb="FF000000"/>
            <rFont val="Tahoma"/>
            <family val="2"/>
          </rPr>
          <t>P1</t>
        </r>
        <r>
          <rPr>
            <sz val="9"/>
            <color rgb="FF000000"/>
            <rFont val="Tahoma"/>
            <family val="2"/>
          </rPr>
          <t xml:space="preserve"> can be changed by direct entry into the </t>
        </r>
        <r>
          <rPr>
            <b/>
            <sz val="9"/>
            <color rgb="FF000000"/>
            <rFont val="Tahoma"/>
            <family val="2"/>
          </rPr>
          <t>F</t>
        </r>
        <r>
          <rPr>
            <b/>
            <vertAlign val="subscript"/>
            <sz val="9"/>
            <color rgb="FF000000"/>
            <rFont val="Tahoma"/>
            <family val="2"/>
          </rPr>
          <t>P1</t>
        </r>
        <r>
          <rPr>
            <sz val="9"/>
            <color rgb="FF000000"/>
            <rFont val="Tahoma"/>
            <family val="2"/>
          </rPr>
          <t xml:space="preserve"> cell.</t>
        </r>
      </text>
    </comment>
    <comment ref="D67" authorId="0" shapeId="0" xr:uid="{00000000-0006-0000-0000-00001B000000}">
      <text>
        <r>
          <rPr>
            <b/>
            <sz val="9"/>
            <color rgb="FF000000"/>
            <rFont val="Tahoma"/>
            <family val="2"/>
          </rPr>
          <t>F</t>
        </r>
        <r>
          <rPr>
            <b/>
            <vertAlign val="subscript"/>
            <sz val="9"/>
            <color rgb="FF000000"/>
            <rFont val="Tahoma"/>
            <family val="2"/>
          </rPr>
          <t>P2</t>
        </r>
        <r>
          <rPr>
            <b/>
            <sz val="9"/>
            <color rgb="FF000000"/>
            <rFont val="Tahoma"/>
            <family val="2"/>
          </rPr>
          <t>:</t>
        </r>
        <r>
          <rPr>
            <sz val="9"/>
            <color rgb="FF000000"/>
            <rFont val="Tahoma"/>
            <family val="2"/>
          </rPr>
          <t xml:space="preserve">
</t>
        </r>
        <r>
          <rPr>
            <b/>
            <sz val="9"/>
            <color rgb="FF000000"/>
            <rFont val="Tahoma"/>
            <family val="2"/>
          </rPr>
          <t>F</t>
        </r>
        <r>
          <rPr>
            <b/>
            <vertAlign val="subscript"/>
            <sz val="9"/>
            <color rgb="FF000000"/>
            <rFont val="Tahoma"/>
            <family val="2"/>
          </rPr>
          <t>P2</t>
        </r>
        <r>
          <rPr>
            <sz val="9"/>
            <color rgb="FF000000"/>
            <rFont val="Tahoma"/>
            <family val="2"/>
          </rPr>
          <t xml:space="preserve"> is the second pole of the compensator. By default, </t>
        </r>
        <r>
          <rPr>
            <b/>
            <sz val="9"/>
            <color rgb="FF000000"/>
            <rFont val="Tahoma"/>
            <family val="2"/>
          </rPr>
          <t>F</t>
        </r>
        <r>
          <rPr>
            <b/>
            <vertAlign val="subscript"/>
            <sz val="9"/>
            <color rgb="FF000000"/>
            <rFont val="Tahoma"/>
            <family val="2"/>
          </rPr>
          <t>P2</t>
        </r>
        <r>
          <rPr>
            <sz val="9"/>
            <color rgb="FF000000"/>
            <rFont val="Tahoma"/>
            <family val="2"/>
          </rPr>
          <t xml:space="preserve"> is located at F</t>
        </r>
        <r>
          <rPr>
            <vertAlign val="subscript"/>
            <sz val="9"/>
            <color rgb="FF000000"/>
            <rFont val="Tahoma"/>
            <family val="2"/>
          </rPr>
          <t>SW</t>
        </r>
        <r>
          <rPr>
            <sz val="9"/>
            <color rgb="FF000000"/>
            <rFont val="Tahoma"/>
            <family val="2"/>
          </rPr>
          <t xml:space="preserve">/2. </t>
        </r>
        <r>
          <rPr>
            <b/>
            <sz val="9"/>
            <color rgb="FF000000"/>
            <rFont val="Tahoma"/>
            <family val="2"/>
          </rPr>
          <t>F</t>
        </r>
        <r>
          <rPr>
            <b/>
            <vertAlign val="subscript"/>
            <sz val="9"/>
            <color rgb="FF000000"/>
            <rFont val="Tahoma"/>
            <family val="2"/>
          </rPr>
          <t>P2</t>
        </r>
        <r>
          <rPr>
            <sz val="9"/>
            <color rgb="FF000000"/>
            <rFont val="Tahoma"/>
            <family val="2"/>
          </rPr>
          <t xml:space="preserve"> can be changed by direct entry into the </t>
        </r>
        <r>
          <rPr>
            <b/>
            <sz val="9"/>
            <color rgb="FF000000"/>
            <rFont val="Tahoma"/>
            <family val="2"/>
          </rPr>
          <t>F</t>
        </r>
        <r>
          <rPr>
            <b/>
            <vertAlign val="subscript"/>
            <sz val="9"/>
            <color rgb="FF000000"/>
            <rFont val="Tahoma"/>
            <family val="2"/>
          </rPr>
          <t>P2</t>
        </r>
        <r>
          <rPr>
            <sz val="9"/>
            <color rgb="FF000000"/>
            <rFont val="Tahoma"/>
            <family val="2"/>
          </rPr>
          <t xml:space="preserve"> cell.</t>
        </r>
      </text>
    </comment>
    <comment ref="E82" authorId="1" shapeId="0" xr:uid="{00000000-0006-0000-0000-00001C000000}">
      <text>
        <r>
          <rPr>
            <b/>
            <sz val="10"/>
            <color rgb="FF000000"/>
            <rFont val="Tahoma"/>
            <family val="2"/>
          </rPr>
          <t>On-State Resistance (R</t>
        </r>
        <r>
          <rPr>
            <b/>
            <vertAlign val="subscript"/>
            <sz val="10"/>
            <color rgb="FF000000"/>
            <rFont val="Tahoma"/>
            <family val="2"/>
          </rPr>
          <t>DS(on)</t>
        </r>
        <r>
          <rPr>
            <b/>
            <sz val="10"/>
            <color rgb="FF000000"/>
            <rFont val="Tahoma"/>
            <family val="2"/>
          </rPr>
          <t xml:space="preserve">):
</t>
        </r>
        <r>
          <rPr>
            <sz val="10"/>
            <color rgb="FF000000"/>
            <rFont val="Tahoma"/>
            <family val="2"/>
          </rPr>
          <t xml:space="preserve">Enter the </t>
        </r>
        <r>
          <rPr>
            <b/>
            <sz val="10"/>
            <color rgb="FF000000"/>
            <rFont val="Tahoma"/>
            <family val="2"/>
          </rPr>
          <t>R</t>
        </r>
        <r>
          <rPr>
            <b/>
            <vertAlign val="subscript"/>
            <sz val="10"/>
            <color rgb="FF000000"/>
            <rFont val="Tahoma"/>
            <family val="2"/>
          </rPr>
          <t>DS(on)</t>
        </r>
        <r>
          <rPr>
            <sz val="10"/>
            <color rgb="FF000000"/>
            <rFont val="Tahoma"/>
            <family val="2"/>
          </rPr>
          <t xml:space="preserve"> of the high-side MOSFET here. High current designs (&gt;15A) will incur large conduction losses and, as such, demand MOSFETs with low </t>
        </r>
        <r>
          <rPr>
            <b/>
            <sz val="10"/>
            <color rgb="FF000000"/>
            <rFont val="Tahoma"/>
            <family val="2"/>
          </rPr>
          <t>R</t>
        </r>
        <r>
          <rPr>
            <b/>
            <vertAlign val="subscript"/>
            <sz val="10"/>
            <color rgb="FF000000"/>
            <rFont val="Tahoma"/>
            <family val="2"/>
          </rPr>
          <t>DS(on)</t>
        </r>
        <r>
          <rPr>
            <sz val="10"/>
            <color rgb="FF000000"/>
            <rFont val="Tahoma"/>
            <family val="2"/>
          </rPr>
          <t xml:space="preserve"> usually at the expense of larger Q</t>
        </r>
        <r>
          <rPr>
            <vertAlign val="subscript"/>
            <sz val="10"/>
            <color rgb="FF000000"/>
            <rFont val="Tahoma"/>
            <family val="2"/>
          </rPr>
          <t>G</t>
        </r>
        <r>
          <rPr>
            <sz val="10"/>
            <color rgb="FF000000"/>
            <rFont val="Tahoma"/>
            <family val="2"/>
          </rPr>
          <t xml:space="preserve">.
</t>
        </r>
        <r>
          <rPr>
            <sz val="10"/>
            <color rgb="FF000000"/>
            <rFont val="Tahoma"/>
            <family val="2"/>
          </rPr>
          <t xml:space="preserve">MOSFET </t>
        </r>
        <r>
          <rPr>
            <b/>
            <sz val="10"/>
            <color rgb="FF000000"/>
            <rFont val="Tahoma"/>
            <family val="2"/>
          </rPr>
          <t>R</t>
        </r>
        <r>
          <rPr>
            <b/>
            <vertAlign val="subscript"/>
            <sz val="10"/>
            <color rgb="FF000000"/>
            <rFont val="Tahoma"/>
            <family val="2"/>
          </rPr>
          <t>DS(ON)</t>
        </r>
        <r>
          <rPr>
            <sz val="10"/>
            <color rgb="FF000000"/>
            <rFont val="Tahoma"/>
            <family val="2"/>
          </rPr>
          <t xml:space="preserve"> has a positive temperature coefficient (resistance increases with increasing temperature). This temperature coefficient is accounted for in the efficiency and power dissipation calculations.</t>
        </r>
      </text>
    </comment>
    <comment ref="E83" authorId="1" shapeId="0" xr:uid="{00000000-0006-0000-0000-00001D000000}">
      <text>
        <r>
          <rPr>
            <b/>
            <sz val="10"/>
            <color rgb="FF000000"/>
            <rFont val="Tahoma"/>
            <family val="2"/>
          </rPr>
          <t>Total Gate Charge (Q</t>
        </r>
        <r>
          <rPr>
            <b/>
            <vertAlign val="subscript"/>
            <sz val="10"/>
            <color rgb="FF000000"/>
            <rFont val="Tahoma"/>
            <family val="2"/>
          </rPr>
          <t>g</t>
        </r>
        <r>
          <rPr>
            <b/>
            <sz val="10"/>
            <color rgb="FF000000"/>
            <rFont val="Tahoma"/>
            <family val="2"/>
          </rPr>
          <t>):</t>
        </r>
        <r>
          <rPr>
            <sz val="10"/>
            <color rgb="FF000000"/>
            <rFont val="Tahoma"/>
            <family val="2"/>
          </rPr>
          <t xml:space="preserve">
</t>
        </r>
        <r>
          <rPr>
            <sz val="10"/>
            <color rgb="FF000000"/>
            <rFont val="Tahoma"/>
            <family val="2"/>
          </rPr>
          <t>Enter the total gate charge of the high-side MOSFET here.</t>
        </r>
      </text>
    </comment>
    <comment ref="E84" authorId="1" shapeId="0" xr:uid="{00000000-0006-0000-0000-00001E000000}">
      <text>
        <r>
          <rPr>
            <b/>
            <sz val="10"/>
            <color rgb="FF000000"/>
            <rFont val="Tahoma"/>
            <family val="2"/>
          </rPr>
          <t>Gate-Drain Charge (Q</t>
        </r>
        <r>
          <rPr>
            <b/>
            <vertAlign val="subscript"/>
            <sz val="10"/>
            <color rgb="FF000000"/>
            <rFont val="Tahoma"/>
            <family val="2"/>
          </rPr>
          <t>GD</t>
        </r>
        <r>
          <rPr>
            <b/>
            <sz val="10"/>
            <color rgb="FF000000"/>
            <rFont val="Tahoma"/>
            <family val="2"/>
          </rPr>
          <t xml:space="preserve">):
</t>
        </r>
        <r>
          <rPr>
            <sz val="10"/>
            <color rgb="FF000000"/>
            <rFont val="Tahoma"/>
            <family val="2"/>
          </rPr>
          <t>Enter the Q</t>
        </r>
        <r>
          <rPr>
            <vertAlign val="subscript"/>
            <sz val="10"/>
            <color rgb="FF000000"/>
            <rFont val="Tahoma"/>
            <family val="2"/>
          </rPr>
          <t>GD</t>
        </r>
        <r>
          <rPr>
            <sz val="10"/>
            <color rgb="FF000000"/>
            <rFont val="Tahoma"/>
            <family val="2"/>
          </rPr>
          <t xml:space="preserve"> of the high-side MOSFET here.
</t>
        </r>
        <r>
          <rPr>
            <sz val="10"/>
            <color rgb="FF000000"/>
            <rFont val="Tahoma"/>
            <family val="2"/>
          </rPr>
          <t>MOSFET Q</t>
        </r>
        <r>
          <rPr>
            <vertAlign val="subscript"/>
            <sz val="10"/>
            <color rgb="FF000000"/>
            <rFont val="Tahoma"/>
            <family val="2"/>
          </rPr>
          <t>GD</t>
        </r>
        <r>
          <rPr>
            <sz val="10"/>
            <color rgb="FF000000"/>
            <rFont val="Tahoma"/>
            <family val="2"/>
          </rPr>
          <t xml:space="preserve"> will affect the turn-on and-off transition times. Slow transition times will result in a decrease in efficiency, especially at higher input voltages.</t>
        </r>
      </text>
    </comment>
    <comment ref="E85" authorId="1" shapeId="0" xr:uid="{00000000-0006-0000-0000-00001F000000}">
      <text>
        <r>
          <rPr>
            <b/>
            <sz val="10"/>
            <color rgb="FF000000"/>
            <rFont val="Tahoma"/>
            <family val="2"/>
          </rPr>
          <t>Gate-Source Charge (Q</t>
        </r>
        <r>
          <rPr>
            <b/>
            <vertAlign val="subscript"/>
            <sz val="10"/>
            <color rgb="FF000000"/>
            <rFont val="Tahoma"/>
            <family val="2"/>
          </rPr>
          <t>GS</t>
        </r>
        <r>
          <rPr>
            <b/>
            <sz val="10"/>
            <color rgb="FF000000"/>
            <rFont val="Tahoma"/>
            <family val="2"/>
          </rPr>
          <t xml:space="preserve">):
</t>
        </r>
        <r>
          <rPr>
            <sz val="10"/>
            <color rgb="FF000000"/>
            <rFont val="Tahoma"/>
            <family val="2"/>
          </rPr>
          <t xml:space="preserve">Enter the gate-source charge here. </t>
        </r>
      </text>
    </comment>
    <comment ref="E86" authorId="1" shapeId="0" xr:uid="{00000000-0006-0000-0000-000020000000}">
      <text>
        <r>
          <rPr>
            <b/>
            <sz val="10"/>
            <color rgb="FF000000"/>
            <rFont val="Tahoma"/>
            <family val="2"/>
          </rPr>
          <t>Gate Resistance (R</t>
        </r>
        <r>
          <rPr>
            <b/>
            <vertAlign val="subscript"/>
            <sz val="10"/>
            <color rgb="FF000000"/>
            <rFont val="Tahoma"/>
            <family val="2"/>
          </rPr>
          <t>G</t>
        </r>
        <r>
          <rPr>
            <b/>
            <sz val="10"/>
            <color rgb="FF000000"/>
            <rFont val="Tahoma"/>
            <family val="2"/>
          </rPr>
          <t>):</t>
        </r>
        <r>
          <rPr>
            <sz val="10"/>
            <color rgb="FF000000"/>
            <rFont val="Tahoma"/>
            <family val="2"/>
          </rPr>
          <t xml:space="preserve">
</t>
        </r>
        <r>
          <rPr>
            <sz val="10"/>
            <color rgb="FF000000"/>
            <rFont val="Tahoma"/>
            <family val="2"/>
          </rPr>
          <t xml:space="preserve">Enter the high-side MOSFET gate resistance here. </t>
        </r>
      </text>
    </comment>
    <comment ref="E87" authorId="1" shapeId="0" xr:uid="{00000000-0006-0000-0000-000021000000}">
      <text>
        <r>
          <rPr>
            <b/>
            <sz val="10"/>
            <color rgb="FF000000"/>
            <rFont val="Tahoma"/>
            <family val="2"/>
          </rPr>
          <t>Forward Transconductance (g</t>
        </r>
        <r>
          <rPr>
            <b/>
            <vertAlign val="subscript"/>
            <sz val="10"/>
            <color rgb="FF000000"/>
            <rFont val="Tahoma"/>
            <family val="2"/>
          </rPr>
          <t>FS</t>
        </r>
        <r>
          <rPr>
            <b/>
            <sz val="10"/>
            <color rgb="FF000000"/>
            <rFont val="Tahoma"/>
            <family val="2"/>
          </rPr>
          <t xml:space="preserve">):
</t>
        </r>
        <r>
          <rPr>
            <sz val="10"/>
            <color rgb="FF000000"/>
            <rFont val="Tahoma"/>
            <family val="2"/>
          </rPr>
          <t>Enter the forward transconductance rating of the high-side MOSFET here.</t>
        </r>
      </text>
    </comment>
    <comment ref="E88" authorId="1" shapeId="0" xr:uid="{00000000-0006-0000-0000-000022000000}">
      <text>
        <r>
          <rPr>
            <b/>
            <sz val="10"/>
            <color rgb="FF000000"/>
            <rFont val="Tahoma"/>
            <family val="2"/>
          </rPr>
          <t>Gate to Source Threshold Voltage (V</t>
        </r>
        <r>
          <rPr>
            <b/>
            <vertAlign val="subscript"/>
            <sz val="10"/>
            <color rgb="FF000000"/>
            <rFont val="Tahoma"/>
            <family val="2"/>
          </rPr>
          <t>GS(TH)</t>
        </r>
        <r>
          <rPr>
            <b/>
            <sz val="10"/>
            <color rgb="FF000000"/>
            <rFont val="Tahoma"/>
            <family val="2"/>
          </rPr>
          <t xml:space="preserve">):
</t>
        </r>
        <r>
          <rPr>
            <sz val="10"/>
            <color rgb="FF000000"/>
            <rFont val="Tahoma"/>
            <family val="2"/>
          </rPr>
          <t>Enter the MOSFET gate-source threshold voltage at rated current here. This can be taken as the plateau voltage in the V</t>
        </r>
        <r>
          <rPr>
            <vertAlign val="subscript"/>
            <sz val="10"/>
            <color rgb="FF000000"/>
            <rFont val="Tahoma"/>
            <family val="2"/>
          </rPr>
          <t>GS</t>
        </r>
        <r>
          <rPr>
            <sz val="10"/>
            <color rgb="FF000000"/>
            <rFont val="Tahoma"/>
            <family val="2"/>
          </rPr>
          <t>-Q</t>
        </r>
        <r>
          <rPr>
            <vertAlign val="subscript"/>
            <sz val="10"/>
            <color rgb="FF000000"/>
            <rFont val="Tahoma"/>
            <family val="2"/>
          </rPr>
          <t>G</t>
        </r>
        <r>
          <rPr>
            <sz val="10"/>
            <color rgb="FF000000"/>
            <rFont val="Tahoma"/>
            <family val="2"/>
          </rPr>
          <t xml:space="preserve"> curve in the MOSFET datasheet.
</t>
        </r>
      </text>
    </comment>
    <comment ref="E89" authorId="1" shapeId="0" xr:uid="{00000000-0006-0000-0000-000023000000}">
      <text>
        <r>
          <rPr>
            <b/>
            <sz val="10"/>
            <color rgb="FF000000"/>
            <rFont val="Tahoma"/>
            <family val="2"/>
          </rPr>
          <t>Body Diode Forward Voltage (V</t>
        </r>
        <r>
          <rPr>
            <b/>
            <vertAlign val="subscript"/>
            <sz val="10"/>
            <color rgb="FF000000"/>
            <rFont val="Tahoma"/>
            <family val="2"/>
          </rPr>
          <t>bd1</t>
        </r>
        <r>
          <rPr>
            <b/>
            <sz val="10"/>
            <color rgb="FF000000"/>
            <rFont val="Tahoma"/>
            <family val="2"/>
          </rPr>
          <t xml:space="preserve">):
</t>
        </r>
        <r>
          <rPr>
            <sz val="10"/>
            <color rgb="FF000000"/>
            <rFont val="Tahoma"/>
            <family val="2"/>
          </rPr>
          <t>A MOSFET has an inherent reverse body diode, and the voltage drop usually is specified at a rated current. The high-side MOSFET body diode contributes power loss during negative current events.</t>
        </r>
      </text>
    </comment>
    <comment ref="E90" authorId="1" shapeId="0" xr:uid="{00000000-0006-0000-0000-000024000000}">
      <text>
        <r>
          <rPr>
            <b/>
            <sz val="10"/>
            <color rgb="FF000000"/>
            <rFont val="Tahoma"/>
            <family val="2"/>
          </rPr>
          <t>θ</t>
        </r>
        <r>
          <rPr>
            <b/>
            <vertAlign val="subscript"/>
            <sz val="10"/>
            <color rgb="FF000000"/>
            <rFont val="Tahoma"/>
            <family val="2"/>
          </rPr>
          <t>JA</t>
        </r>
        <r>
          <rPr>
            <b/>
            <sz val="10"/>
            <color rgb="FF000000"/>
            <rFont val="Tahoma"/>
            <family val="2"/>
          </rPr>
          <t xml:space="preserve">:
</t>
        </r>
        <r>
          <rPr>
            <sz val="10"/>
            <color rgb="FF000000"/>
            <rFont val="Tahoma"/>
            <family val="2"/>
          </rPr>
          <t>θ</t>
        </r>
        <r>
          <rPr>
            <vertAlign val="subscript"/>
            <sz val="10"/>
            <color rgb="FF000000"/>
            <rFont val="Tahoma"/>
            <family val="2"/>
          </rPr>
          <t>JA</t>
        </r>
        <r>
          <rPr>
            <sz val="10"/>
            <color rgb="FF000000"/>
            <rFont val="Tahoma"/>
            <family val="2"/>
          </rPr>
          <t xml:space="preserve"> is the junction-to-ambient thermal resistance of the MOSFET. Higher θ</t>
        </r>
        <r>
          <rPr>
            <vertAlign val="subscript"/>
            <sz val="10"/>
            <color rgb="FF000000"/>
            <rFont val="Tahoma"/>
            <family val="2"/>
          </rPr>
          <t>JA</t>
        </r>
        <r>
          <rPr>
            <sz val="10"/>
            <color rgb="FF000000"/>
            <rFont val="Tahoma"/>
            <family val="2"/>
          </rPr>
          <t xml:space="preserve"> will lead to higher power loss and reduced efficiency. High current designs demand low θ</t>
        </r>
        <r>
          <rPr>
            <vertAlign val="subscript"/>
            <sz val="10"/>
            <color rgb="FF000000"/>
            <rFont val="Tahoma"/>
            <family val="2"/>
          </rPr>
          <t>JA</t>
        </r>
        <r>
          <rPr>
            <sz val="10"/>
            <color rgb="FF000000"/>
            <rFont val="Tahoma"/>
            <family val="2"/>
          </rPr>
          <t xml:space="preserve"> rating to help maintain low MOSFET operating junction temperature. What's imperative here is consciencious PCB design and layout to maximize heat removal from the MOSFET.</t>
        </r>
      </text>
    </comment>
    <comment ref="E93" authorId="1" shapeId="0" xr:uid="{00000000-0006-0000-0000-000025000000}">
      <text>
        <r>
          <rPr>
            <b/>
            <sz val="10"/>
            <color rgb="FF000000"/>
            <rFont val="Tahoma"/>
            <family val="2"/>
          </rPr>
          <t>MOSFET On-State Resistance (R</t>
        </r>
        <r>
          <rPr>
            <b/>
            <vertAlign val="subscript"/>
            <sz val="10"/>
            <color rgb="FF000000"/>
            <rFont val="Tahoma"/>
            <family val="2"/>
          </rPr>
          <t>DS(on)</t>
        </r>
        <r>
          <rPr>
            <b/>
            <sz val="10"/>
            <color rgb="FF000000"/>
            <rFont val="Tahoma"/>
            <family val="2"/>
          </rPr>
          <t xml:space="preserve">):
</t>
        </r>
        <r>
          <rPr>
            <sz val="10"/>
            <color rgb="FF000000"/>
            <rFont val="Tahoma"/>
            <family val="2"/>
          </rPr>
          <t>Enter the R</t>
        </r>
        <r>
          <rPr>
            <vertAlign val="subscript"/>
            <sz val="10"/>
            <color rgb="FF000000"/>
            <rFont val="Tahoma"/>
            <family val="2"/>
          </rPr>
          <t>DS(on)</t>
        </r>
        <r>
          <rPr>
            <sz val="10"/>
            <color rgb="FF000000"/>
            <rFont val="Tahoma"/>
            <family val="2"/>
          </rPr>
          <t xml:space="preserve"> of the low-side MOSFET here. High current designs (&gt;15A) can incur large conduction losses and, as such, demand MOSFETs with low R</t>
        </r>
        <r>
          <rPr>
            <vertAlign val="subscript"/>
            <sz val="10"/>
            <color rgb="FF000000"/>
            <rFont val="Tahoma"/>
            <family val="2"/>
          </rPr>
          <t>DS(on)</t>
        </r>
        <r>
          <rPr>
            <sz val="10"/>
            <color rgb="FF000000"/>
            <rFont val="Tahoma"/>
            <family val="2"/>
          </rPr>
          <t xml:space="preserve"> </t>
        </r>
        <r>
          <rPr>
            <sz val="10"/>
            <color rgb="FF000000"/>
            <rFont val="Calibri"/>
            <family val="2"/>
          </rPr>
          <t xml:space="preserve">– </t>
        </r>
        <r>
          <rPr>
            <sz val="10"/>
            <color rgb="FF000000"/>
            <rFont val="Tahoma"/>
            <family val="2"/>
          </rPr>
          <t>usually at the expense of larger Q</t>
        </r>
        <r>
          <rPr>
            <vertAlign val="subscript"/>
            <sz val="10"/>
            <color rgb="FF000000"/>
            <rFont val="Tahoma"/>
            <family val="2"/>
          </rPr>
          <t>G</t>
        </r>
        <r>
          <rPr>
            <sz val="10"/>
            <color rgb="FF000000"/>
            <rFont val="Tahoma"/>
            <family val="2"/>
          </rPr>
          <t>. MOSFET R</t>
        </r>
        <r>
          <rPr>
            <vertAlign val="subscript"/>
            <sz val="10"/>
            <color rgb="FF000000"/>
            <rFont val="Tahoma"/>
            <family val="2"/>
          </rPr>
          <t>DS(on)</t>
        </r>
        <r>
          <rPr>
            <sz val="10"/>
            <color rgb="FF000000"/>
            <rFont val="Tahoma"/>
            <family val="2"/>
          </rPr>
          <t xml:space="preserve"> temperature coefficient is accounted for in the efficiency and power dissipation calculations.  </t>
        </r>
      </text>
    </comment>
    <comment ref="E94" authorId="1" shapeId="0" xr:uid="{00000000-0006-0000-0000-000026000000}">
      <text>
        <r>
          <rPr>
            <b/>
            <sz val="10"/>
            <color rgb="FF000000"/>
            <rFont val="Tahoma"/>
            <family val="2"/>
          </rPr>
          <t>Total Gate Charge (Q</t>
        </r>
        <r>
          <rPr>
            <b/>
            <vertAlign val="subscript"/>
            <sz val="10"/>
            <color rgb="FF000000"/>
            <rFont val="Tahoma"/>
            <family val="2"/>
          </rPr>
          <t>G</t>
        </r>
        <r>
          <rPr>
            <b/>
            <sz val="10"/>
            <color rgb="FF000000"/>
            <rFont val="Tahoma"/>
            <family val="2"/>
          </rPr>
          <t xml:space="preserve">):
</t>
        </r>
        <r>
          <rPr>
            <sz val="10"/>
            <color rgb="FF000000"/>
            <rFont val="Tahoma"/>
            <family val="2"/>
          </rPr>
          <t>Enter the total gate charge of the low-side MOSFET here.</t>
        </r>
      </text>
    </comment>
    <comment ref="E95" authorId="1" shapeId="0" xr:uid="{00000000-0006-0000-0000-000027000000}">
      <text>
        <r>
          <rPr>
            <b/>
            <sz val="9"/>
            <color rgb="FF000000"/>
            <rFont val="Tahoma"/>
            <family val="2"/>
          </rPr>
          <t>Body Diode Voltage (V</t>
        </r>
        <r>
          <rPr>
            <b/>
            <vertAlign val="subscript"/>
            <sz val="9"/>
            <color rgb="FF000000"/>
            <rFont val="Tahoma"/>
            <family val="2"/>
          </rPr>
          <t>sd</t>
        </r>
        <r>
          <rPr>
            <b/>
            <sz val="9"/>
            <color rgb="FF000000"/>
            <rFont val="Tahoma"/>
            <family val="2"/>
          </rPr>
          <t xml:space="preserve">):
</t>
        </r>
        <r>
          <rPr>
            <sz val="9"/>
            <color rgb="FF000000"/>
            <rFont val="Tahoma"/>
            <family val="2"/>
          </rPr>
          <t>The low-side MOSFET body diode can contribute substantial power loss related to (1) body diode conduction drop during the deadtime, and (2) diode reverse recovery current.</t>
        </r>
      </text>
    </comment>
    <comment ref="E96" authorId="1" shapeId="0" xr:uid="{00000000-0006-0000-0000-000028000000}">
      <text>
        <r>
          <rPr>
            <b/>
            <sz val="10"/>
            <color rgb="FF000000"/>
            <rFont val="Tahoma"/>
            <family val="2"/>
          </rPr>
          <t>Body Diode Recovery Charge (Q</t>
        </r>
        <r>
          <rPr>
            <b/>
            <vertAlign val="subscript"/>
            <sz val="10"/>
            <color rgb="FF000000"/>
            <rFont val="Tahoma"/>
            <family val="2"/>
          </rPr>
          <t>RR</t>
        </r>
        <r>
          <rPr>
            <b/>
            <sz val="10"/>
            <color rgb="FF000000"/>
            <rFont val="Tahoma"/>
            <family val="2"/>
          </rPr>
          <t xml:space="preserve">):
</t>
        </r>
        <r>
          <rPr>
            <sz val="10"/>
            <color rgb="FF000000"/>
            <rFont val="Tahoma"/>
            <family val="2"/>
          </rPr>
          <t xml:space="preserve">Enter the reverse recovery charge of the low-side MOSFET body diode here. </t>
        </r>
      </text>
    </comment>
    <comment ref="E97" authorId="1" shapeId="0" xr:uid="{00000000-0006-0000-0000-000029000000}">
      <text>
        <r>
          <rPr>
            <b/>
            <sz val="10"/>
            <color rgb="FF000000"/>
            <rFont val="Tahoma"/>
            <family val="2"/>
          </rPr>
          <t>θ</t>
        </r>
        <r>
          <rPr>
            <b/>
            <vertAlign val="subscript"/>
            <sz val="10"/>
            <color rgb="FF000000"/>
            <rFont val="Tahoma"/>
            <family val="2"/>
          </rPr>
          <t>JA</t>
        </r>
        <r>
          <rPr>
            <b/>
            <sz val="10"/>
            <color rgb="FF000000"/>
            <rFont val="Tahoma"/>
            <family val="2"/>
          </rPr>
          <t xml:space="preserve">:
</t>
        </r>
        <r>
          <rPr>
            <sz val="10"/>
            <color rgb="FF000000"/>
            <rFont val="Tahoma"/>
            <family val="2"/>
          </rPr>
          <t>θ</t>
        </r>
        <r>
          <rPr>
            <vertAlign val="subscript"/>
            <sz val="10"/>
            <color rgb="FF000000"/>
            <rFont val="Tahoma"/>
            <family val="2"/>
          </rPr>
          <t>JA</t>
        </r>
        <r>
          <rPr>
            <sz val="10"/>
            <color rgb="FF000000"/>
            <rFont val="Tahoma"/>
            <family val="2"/>
          </rPr>
          <t xml:space="preserve"> is the junction-to-ambient thermal resistance of the MOSFET. Higher θ</t>
        </r>
        <r>
          <rPr>
            <vertAlign val="subscript"/>
            <sz val="10"/>
            <color rgb="FF000000"/>
            <rFont val="Tahoma"/>
            <family val="2"/>
          </rPr>
          <t>JA</t>
        </r>
        <r>
          <rPr>
            <sz val="10"/>
            <color rgb="FF000000"/>
            <rFont val="Tahoma"/>
            <family val="2"/>
          </rPr>
          <t xml:space="preserve"> will lead to higher power loss and reduced efficiency. High current designs demand low θ</t>
        </r>
        <r>
          <rPr>
            <vertAlign val="subscript"/>
            <sz val="10"/>
            <color rgb="FF000000"/>
            <rFont val="Tahoma"/>
            <family val="2"/>
          </rPr>
          <t>JA</t>
        </r>
        <r>
          <rPr>
            <sz val="10"/>
            <color rgb="FF000000"/>
            <rFont val="Tahoma"/>
            <family val="2"/>
          </rPr>
          <t xml:space="preserve"> rating to help maintain low MOSFET operating junction temperature. What's imperative here is consciencious PCB design and layout to maximize heat removal from the MOSFET.</t>
        </r>
      </text>
    </comment>
    <comment ref="E99" authorId="1" shapeId="0" xr:uid="{00000000-0006-0000-0000-00002A000000}">
      <text>
        <r>
          <rPr>
            <b/>
            <sz val="10"/>
            <color indexed="81"/>
            <rFont val="Tahoma"/>
            <family val="2"/>
          </rPr>
          <t xml:space="preserve">Schottky Forward Voltage:
</t>
        </r>
        <r>
          <rPr>
            <sz val="10"/>
            <color indexed="81"/>
            <rFont val="Tahoma"/>
            <family val="2"/>
          </rPr>
          <t>If a Schottky diode is used, enter the forward voltage at the rated current here. If a Schottky diode is not used, enter "0" into this cell.</t>
        </r>
      </text>
    </comment>
    <comment ref="E100" authorId="1" shapeId="0" xr:uid="{00000000-0006-0000-0000-00002B000000}">
      <text>
        <r>
          <rPr>
            <b/>
            <sz val="10"/>
            <color indexed="81"/>
            <rFont val="Tahoma"/>
            <family val="2"/>
          </rPr>
          <t xml:space="preserve">Schottky Diode Reverse Recovery Charge:
</t>
        </r>
        <r>
          <rPr>
            <sz val="10"/>
            <color indexed="81"/>
            <rFont val="Tahoma"/>
            <family val="2"/>
          </rPr>
          <t>Enter the diode reverse recovery charge here. If a Schottky diode is not used, enter "0" into this cell.</t>
        </r>
      </text>
    </comment>
  </commentList>
</comments>
</file>

<file path=xl/sharedStrings.xml><?xml version="1.0" encoding="utf-8"?>
<sst xmlns="http://schemas.openxmlformats.org/spreadsheetml/2006/main" count="1262" uniqueCount="659">
  <si>
    <t>V</t>
  </si>
  <si>
    <t>Output Voltage</t>
  </si>
  <si>
    <t>A</t>
  </si>
  <si>
    <t>kHz</t>
  </si>
  <si>
    <t>Vin</t>
  </si>
  <si>
    <t>Vout</t>
  </si>
  <si>
    <t>Iout</t>
  </si>
  <si>
    <t>Fsw</t>
  </si>
  <si>
    <t>Value</t>
  </si>
  <si>
    <t>STD Units</t>
  </si>
  <si>
    <t>Hz</t>
  </si>
  <si>
    <t>uH</t>
  </si>
  <si>
    <t>Rdcr</t>
  </si>
  <si>
    <t>Notes</t>
  </si>
  <si>
    <t>Nominal input voltage</t>
  </si>
  <si>
    <t>Maximum output Current</t>
  </si>
  <si>
    <t>Nominal Operational Frequency</t>
  </si>
  <si>
    <t>ideal Duty Cycle</t>
  </si>
  <si>
    <t>Ideal 1- Duty Cycle</t>
  </si>
  <si>
    <t>Don1</t>
  </si>
  <si>
    <t>Doff1</t>
  </si>
  <si>
    <t>Don2</t>
  </si>
  <si>
    <t>Doff2</t>
  </si>
  <si>
    <t>index</t>
  </si>
  <si>
    <t>H</t>
  </si>
  <si>
    <t>Ohms</t>
  </si>
  <si>
    <t>Vripple1</t>
  </si>
  <si>
    <t>Choosen Initial Voltage ripple Value</t>
  </si>
  <si>
    <t>Minimum Output Capacitnace</t>
  </si>
  <si>
    <t>Coutmin</t>
  </si>
  <si>
    <t>uF</t>
  </si>
  <si>
    <t>Lout1</t>
  </si>
  <si>
    <t>Lout2</t>
  </si>
  <si>
    <t>Irripple1</t>
  </si>
  <si>
    <t>F</t>
  </si>
  <si>
    <t>Choosen Output Capacitor</t>
  </si>
  <si>
    <t>Cout</t>
  </si>
  <si>
    <t>Compensation</t>
  </si>
  <si>
    <t>iteration</t>
  </si>
  <si>
    <t>Fo</t>
  </si>
  <si>
    <t>LC Double Pole Location</t>
  </si>
  <si>
    <t>Fesr</t>
  </si>
  <si>
    <t>Q</t>
  </si>
  <si>
    <t>Quality Factor of LC output Filter</t>
  </si>
  <si>
    <t>Frequency</t>
  </si>
  <si>
    <t>Bode Plot Setup</t>
  </si>
  <si>
    <t>Output Filter</t>
  </si>
  <si>
    <t>Esr zero</t>
  </si>
  <si>
    <t>LC Double Pole</t>
  </si>
  <si>
    <t>V/V</t>
  </si>
  <si>
    <t>Origin Pole</t>
  </si>
  <si>
    <t>Kmidband</t>
  </si>
  <si>
    <t>Rfb1</t>
  </si>
  <si>
    <t>pF</t>
  </si>
  <si>
    <t>Cc1ea</t>
  </si>
  <si>
    <t>Cc2ea</t>
  </si>
  <si>
    <t>Rcea2</t>
  </si>
  <si>
    <t>Cc3ea</t>
  </si>
  <si>
    <t>Rcea1</t>
  </si>
  <si>
    <t>Rcea1_u</t>
  </si>
  <si>
    <t>Cc1ea_u</t>
  </si>
  <si>
    <t>Cc2ea_u</t>
  </si>
  <si>
    <t>Rcea2_u</t>
  </si>
  <si>
    <t>Cc3ea_u</t>
  </si>
  <si>
    <t>Fz1</t>
  </si>
  <si>
    <t>Fz2</t>
  </si>
  <si>
    <t>Fp1</t>
  </si>
  <si>
    <t>Fp2</t>
  </si>
  <si>
    <t>Gain</t>
  </si>
  <si>
    <t>Phase</t>
  </si>
  <si>
    <t>Pi</t>
  </si>
  <si>
    <t>Total Gain</t>
  </si>
  <si>
    <t>Total Phase</t>
  </si>
  <si>
    <t>Phase margin</t>
  </si>
  <si>
    <t>Vramp</t>
  </si>
  <si>
    <t>Vp-p</t>
  </si>
  <si>
    <t>Pwm</t>
  </si>
  <si>
    <t>Rfb2</t>
  </si>
  <si>
    <t>Vref</t>
  </si>
  <si>
    <t>Reference Voltage</t>
  </si>
  <si>
    <t>Ro</t>
  </si>
  <si>
    <t>Eadcg</t>
  </si>
  <si>
    <t>GBP</t>
  </si>
  <si>
    <t>A(s)</t>
  </si>
  <si>
    <t>xover</t>
  </si>
  <si>
    <t>phase margin</t>
  </si>
  <si>
    <t>Z1</t>
  </si>
  <si>
    <t>Z3</t>
  </si>
  <si>
    <t>Real</t>
  </si>
  <si>
    <t>Imag</t>
  </si>
  <si>
    <t>Num</t>
  </si>
  <si>
    <t>Den</t>
  </si>
  <si>
    <t>Total</t>
  </si>
  <si>
    <t>a</t>
  </si>
  <si>
    <t>b</t>
  </si>
  <si>
    <t>c</t>
  </si>
  <si>
    <t>d</t>
  </si>
  <si>
    <t>Z1 Real</t>
  </si>
  <si>
    <t>Z1 Imag</t>
  </si>
  <si>
    <t>Z3 Imag</t>
  </si>
  <si>
    <t>Z3 Real</t>
  </si>
  <si>
    <t>EAGain</t>
  </si>
  <si>
    <t>Ea Phase</t>
  </si>
  <si>
    <t>Ea Gain (db)</t>
  </si>
  <si>
    <t>Total Phase Margin</t>
  </si>
  <si>
    <t>Design Output</t>
  </si>
  <si>
    <t>EA MODELING</t>
  </si>
  <si>
    <t>Ea Gain BW</t>
  </si>
  <si>
    <t>Complex EA</t>
  </si>
  <si>
    <t>Actual EA Response</t>
  </si>
  <si>
    <t>Actual Total System Response</t>
  </si>
  <si>
    <t>XOVER SEARCH</t>
  </si>
  <si>
    <t>Step 2: Inductor</t>
  </si>
  <si>
    <t>Variable Name</t>
  </si>
  <si>
    <t>Resrmax</t>
  </si>
  <si>
    <t>mΩ</t>
  </si>
  <si>
    <t>kΩ</t>
  </si>
  <si>
    <t>TERMS OF USE</t>
  </si>
  <si>
    <t>Currents</t>
  </si>
  <si>
    <t>IQ</t>
  </si>
  <si>
    <t>Step</t>
  </si>
  <si>
    <t>Core</t>
  </si>
  <si>
    <t>Total Loss</t>
  </si>
  <si>
    <t>OUTPUT POWER</t>
  </si>
  <si>
    <t>EFF</t>
  </si>
  <si>
    <t>Design</t>
  </si>
  <si>
    <t>L</t>
  </si>
  <si>
    <t>Cin</t>
  </si>
  <si>
    <t>Components</t>
  </si>
  <si>
    <t>Top FET</t>
  </si>
  <si>
    <t>Bottom FET</t>
  </si>
  <si>
    <t>RdsonDRB</t>
  </si>
  <si>
    <t>RdsonDRT</t>
  </si>
  <si>
    <t>Deadtime</t>
  </si>
  <si>
    <t>mOhms</t>
  </si>
  <si>
    <t>nS</t>
  </si>
  <si>
    <t>mA</t>
  </si>
  <si>
    <t>nC</t>
  </si>
  <si>
    <t>S</t>
  </si>
  <si>
    <t>QgBot</t>
  </si>
  <si>
    <t>RdsonBot</t>
  </si>
  <si>
    <t>GfsTop</t>
  </si>
  <si>
    <t>QgTop</t>
  </si>
  <si>
    <t>RdsonTop</t>
  </si>
  <si>
    <t xml:space="preserve">INDUCTOR </t>
  </si>
  <si>
    <t>VsdBot</t>
  </si>
  <si>
    <t>QrrBot</t>
  </si>
  <si>
    <t>TrrBot</t>
  </si>
  <si>
    <t>ns</t>
  </si>
  <si>
    <t>Units</t>
  </si>
  <si>
    <t>Outputs</t>
  </si>
  <si>
    <t>Bottom FET/Diode</t>
  </si>
  <si>
    <t>Dprime</t>
  </si>
  <si>
    <t>RdsonTopTc</t>
  </si>
  <si>
    <t>RdsonBotTc</t>
  </si>
  <si>
    <t>ppm</t>
  </si>
  <si>
    <t>LTc</t>
  </si>
  <si>
    <t>degC</t>
  </si>
  <si>
    <t>Ta</t>
  </si>
  <si>
    <t>Irms</t>
  </si>
  <si>
    <t>RCoutEsr</t>
  </si>
  <si>
    <t>RCinEsr</t>
  </si>
  <si>
    <t>ThetaJaBot</t>
  </si>
  <si>
    <t>ThetaJaTop</t>
  </si>
  <si>
    <t>degC/W</t>
  </si>
  <si>
    <t>Vdd</t>
  </si>
  <si>
    <t>RDSON Loss</t>
  </si>
  <si>
    <t>Cin Esr   Loss</t>
  </si>
  <si>
    <t>Cout Esr Loss</t>
  </si>
  <si>
    <t>DCR    Loss</t>
  </si>
  <si>
    <t>Tr</t>
  </si>
  <si>
    <t>Tf</t>
  </si>
  <si>
    <t>RGateTop</t>
  </si>
  <si>
    <t>RGateBot</t>
  </si>
  <si>
    <t>VthTop</t>
  </si>
  <si>
    <t>Reverse Recovery Loss</t>
  </si>
  <si>
    <t>DeadTime Loss</t>
  </si>
  <si>
    <t>Switching Frequency</t>
  </si>
  <si>
    <t>Max Output Current</t>
  </si>
  <si>
    <t>Ambient Temperature</t>
  </si>
  <si>
    <t>Subregulated Boost Voltage</t>
  </si>
  <si>
    <t>Inductor Series Resistance Temp Co</t>
  </si>
  <si>
    <t>Input Capacitor Capacitance</t>
  </si>
  <si>
    <t>Input Capacitor Series Resistance</t>
  </si>
  <si>
    <t>Total Deadtime</t>
  </si>
  <si>
    <t>Gate Charge Of Top FET</t>
  </si>
  <si>
    <t>Gate Resistance</t>
  </si>
  <si>
    <t>Transconductance of Top FET</t>
  </si>
  <si>
    <t>Threshold Voltage of Top FET</t>
  </si>
  <si>
    <t>Junction to Ambient Resistance</t>
  </si>
  <si>
    <t>Drain To Source Resitance Temp Co</t>
  </si>
  <si>
    <t>Diode Forward Voltage of Bottom FET Body Diode</t>
  </si>
  <si>
    <t>Reverse Recovery Time of Body Diode</t>
  </si>
  <si>
    <t>Description</t>
  </si>
  <si>
    <t>Input Parameters</t>
  </si>
  <si>
    <t>Output Inductor Inductance Value</t>
  </si>
  <si>
    <t>Inductor Series Resistance at 25 Degrees C</t>
  </si>
  <si>
    <t>Drain To Source Resistance of Bottom FET Driver</t>
  </si>
  <si>
    <t>Drain to Source Resistance Temp Co</t>
  </si>
  <si>
    <t xml:space="preserve">Drain to Source Resistance of Top FET </t>
  </si>
  <si>
    <t>BUCK CONTROLLER POWER TOOL</t>
  </si>
  <si>
    <t>Reverse Recovery Charge of Body Diode</t>
  </si>
  <si>
    <t>IQ      Loss</t>
  </si>
  <si>
    <t>Enter the values of your design and FET datasheet specifications below. Note that thermal resistance ("Theta JA") will change when components are placed on the PCB</t>
  </si>
  <si>
    <t>Output Capacitor Capcitance</t>
  </si>
  <si>
    <t>Output Capacitor Series Resistance</t>
  </si>
  <si>
    <t>Input Value</t>
  </si>
  <si>
    <t>Top Driver</t>
  </si>
  <si>
    <t>Bottom Driver</t>
  </si>
  <si>
    <t>Drain to Source Resistance of pull up Top FET Driver</t>
  </si>
  <si>
    <t>Drain to Source Resistance of pull down Top FET Driver</t>
  </si>
  <si>
    <t>Part Power</t>
  </si>
  <si>
    <t>Power Dis</t>
  </si>
  <si>
    <t>W</t>
  </si>
  <si>
    <t>Controller</t>
  </si>
  <si>
    <t>Theta Ja</t>
  </si>
  <si>
    <t>Temp rise</t>
  </si>
  <si>
    <t>Deg C</t>
  </si>
  <si>
    <t>θJA=80</t>
  </si>
  <si>
    <t>θJA=100</t>
  </si>
  <si>
    <t>θJA=120</t>
  </si>
  <si>
    <t>θJA=140</t>
  </si>
  <si>
    <t>θJA=160</t>
  </si>
  <si>
    <t>θJA=180</t>
  </si>
  <si>
    <t>QgdTop</t>
  </si>
  <si>
    <t>Gate to Drain Charge</t>
  </si>
  <si>
    <t>Qg</t>
  </si>
  <si>
    <t>θJA=20</t>
  </si>
  <si>
    <t>θJA=30</t>
  </si>
  <si>
    <t>θJA=40</t>
  </si>
  <si>
    <t>θJA=50</t>
  </si>
  <si>
    <t>250kHz / 5-1.2V /25A</t>
  </si>
  <si>
    <t>250kHz / 12-5V / 30A</t>
  </si>
  <si>
    <t>500kHz / 5-1.2V / 15A</t>
  </si>
  <si>
    <t>1Mhz / 5-1.2V / 10A</t>
  </si>
  <si>
    <t>1Mhz / 12-1.2V/ 10A</t>
  </si>
  <si>
    <t>500kHz / 12-5V / 15A</t>
  </si>
  <si>
    <t>250kHz / 18-1.2V / 20A</t>
  </si>
  <si>
    <t>500kHz / 18-1.2V / 20A</t>
  </si>
  <si>
    <t>θJA=120°C/W - 160°C/W</t>
  </si>
  <si>
    <t>θJA=30°C/W - 50°C/W</t>
  </si>
  <si>
    <t>VspTop</t>
  </si>
  <si>
    <t>QgsTop</t>
  </si>
  <si>
    <t>Part Losses</t>
  </si>
  <si>
    <t>RdsonDRB2</t>
  </si>
  <si>
    <t>RdsonDRT2</t>
  </si>
  <si>
    <t>EFF_1 @ 25°C</t>
  </si>
  <si>
    <t>Efficiency</t>
  </si>
  <si>
    <t>Pdis</t>
  </si>
  <si>
    <t>Vin=10V</t>
  </si>
  <si>
    <t>Vout=5.1V</t>
  </si>
  <si>
    <t xml:space="preserve">L=3.3uH/30mOhm </t>
  </si>
  <si>
    <t>4394 Top and Bottom Fets</t>
  </si>
  <si>
    <t>Duty Cycle</t>
  </si>
  <si>
    <t>Current Ripple p-p</t>
  </si>
  <si>
    <t xml:space="preserve">IQ </t>
  </si>
  <si>
    <t>ThetaCa</t>
  </si>
  <si>
    <t>Core to Ambient Thermal Resistance</t>
  </si>
  <si>
    <t>IRMS</t>
  </si>
  <si>
    <t>Total Part Loss</t>
  </si>
  <si>
    <t>RESULSTS</t>
  </si>
  <si>
    <t xml:space="preserve">LOW SIDE FET Losses </t>
  </si>
  <si>
    <t xml:space="preserve">HIGH SIDE FET losses </t>
  </si>
  <si>
    <t>Top FET Temp Rise</t>
  </si>
  <si>
    <t>Bottom FET Temp Rise</t>
  </si>
  <si>
    <t>Quiescent Current Of Controller (Not Switching!)</t>
  </si>
  <si>
    <t>Top Feedback Resistor</t>
  </si>
  <si>
    <t>This along with Rcea1 will set a zero</t>
  </si>
  <si>
    <t>This pole is set at half the switching frequency</t>
  </si>
  <si>
    <t>This pole cancels the zero from the Output Cap ESR</t>
  </si>
  <si>
    <t>PI</t>
  </si>
  <si>
    <t>s</t>
  </si>
  <si>
    <t>Switch Point Voltage of Top FET</t>
  </si>
  <si>
    <t>ThetaJaCtrl</t>
  </si>
  <si>
    <t>Part Characteristics</t>
  </si>
  <si>
    <t>C</t>
  </si>
  <si>
    <t>Switching Current Loss</t>
  </si>
  <si>
    <t>Rfb2_u</t>
  </si>
  <si>
    <t>CoutEsr</t>
  </si>
  <si>
    <t>Ilimit</t>
  </si>
  <si>
    <t>Ω</t>
  </si>
  <si>
    <t>Step 3: Current Limit</t>
  </si>
  <si>
    <t>Step 4: Output Capacitor</t>
  </si>
  <si>
    <t>Step 5: Input Capacitor</t>
  </si>
  <si>
    <t>nF</t>
  </si>
  <si>
    <t>R1</t>
  </si>
  <si>
    <t>R2</t>
  </si>
  <si>
    <t>VIN</t>
  </si>
  <si>
    <t>A (rms)</t>
  </si>
  <si>
    <t>Icinrms</t>
  </si>
  <si>
    <t>Icoutrms</t>
  </si>
  <si>
    <t>= Input Box</t>
  </si>
  <si>
    <t>Excel Variables Names/Calculations</t>
  </si>
  <si>
    <t>Input capacitance</t>
  </si>
  <si>
    <t>Step 1: Operational Specs</t>
  </si>
  <si>
    <t>Ideal Rset for the chossen current limit</t>
  </si>
  <si>
    <t>Ilimit2</t>
  </si>
  <si>
    <t>Step 6: Soft Start</t>
  </si>
  <si>
    <t>ms</t>
  </si>
  <si>
    <t>Tss</t>
  </si>
  <si>
    <t>Soft Start Time</t>
  </si>
  <si>
    <t>Iss</t>
  </si>
  <si>
    <t>Css</t>
  </si>
  <si>
    <t>Rfadj</t>
  </si>
  <si>
    <t>C1</t>
  </si>
  <si>
    <t>C2</t>
  </si>
  <si>
    <t>Ripple I</t>
  </si>
  <si>
    <t>%</t>
  </si>
  <si>
    <t xml:space="preserve">I1 </t>
  </si>
  <si>
    <t xml:space="preserve">I2 </t>
  </si>
  <si>
    <t>Ics</t>
  </si>
  <si>
    <t>Current Limit Current Source</t>
  </si>
  <si>
    <t>Part Number</t>
  </si>
  <si>
    <t>Cby</t>
  </si>
  <si>
    <t>Csb</t>
  </si>
  <si>
    <t>Rh</t>
  </si>
  <si>
    <t>Capacitors</t>
  </si>
  <si>
    <t>(pF)</t>
  </si>
  <si>
    <t>Standard Result</t>
  </si>
  <si>
    <t>Inputs</t>
  </si>
  <si>
    <t>Css_u</t>
  </si>
  <si>
    <t>Resistors</t>
  </si>
  <si>
    <t>Radj</t>
  </si>
  <si>
    <t>inputs</t>
  </si>
  <si>
    <t>Cb</t>
  </si>
  <si>
    <t>Rs1</t>
  </si>
  <si>
    <t>Rs2</t>
  </si>
  <si>
    <t>Rs3</t>
  </si>
  <si>
    <t>Rs4</t>
  </si>
  <si>
    <t>Cs</t>
  </si>
  <si>
    <t>Rs</t>
  </si>
  <si>
    <t xml:space="preserve">                </t>
  </si>
  <si>
    <t>Cdd</t>
  </si>
  <si>
    <t>Cc1</t>
  </si>
  <si>
    <t>Cc2</t>
  </si>
  <si>
    <t>Cc3</t>
  </si>
  <si>
    <t>Csby</t>
  </si>
  <si>
    <t>Rc1</t>
  </si>
  <si>
    <t>Rc2</t>
  </si>
  <si>
    <t>Rsideal</t>
  </si>
  <si>
    <t>Other Input Variables</t>
  </si>
  <si>
    <t>Step 7: Other Components</t>
  </si>
  <si>
    <t>Step 8: Compensation</t>
  </si>
  <si>
    <r>
      <t>R</t>
    </r>
    <r>
      <rPr>
        <vertAlign val="subscript"/>
        <sz val="10"/>
        <rFont val="Arial"/>
        <family val="2"/>
      </rPr>
      <t>PG</t>
    </r>
  </si>
  <si>
    <r>
      <t>R</t>
    </r>
    <r>
      <rPr>
        <vertAlign val="subscript"/>
        <sz val="10"/>
        <rFont val="Arial"/>
        <family val="2"/>
      </rPr>
      <t>SB</t>
    </r>
  </si>
  <si>
    <t>CSBY</t>
  </si>
  <si>
    <t>Actual Open Loop System Response</t>
  </si>
  <si>
    <t>Comp To Output</t>
  </si>
  <si>
    <t>Total Phase margin</t>
  </si>
  <si>
    <t>Rfets</t>
  </si>
  <si>
    <t>cap loss eq res</t>
  </si>
  <si>
    <t>Fet loss eq res</t>
  </si>
  <si>
    <t>Diode loss eq res</t>
  </si>
  <si>
    <t>Sw cap</t>
  </si>
  <si>
    <t>Output to Comp 5V In @ 500kHz 0A Iout 25DegC</t>
  </si>
  <si>
    <t xml:space="preserve"> </t>
  </si>
  <si>
    <t>Resulting Poles/Zero/Q Locations</t>
  </si>
  <si>
    <t>Rc1ea</t>
  </si>
  <si>
    <t>Rc2ea</t>
  </si>
  <si>
    <t>Frequency of Ringing</t>
  </si>
  <si>
    <t>MHz</t>
  </si>
  <si>
    <t>STD UNITS</t>
  </si>
  <si>
    <t>UNITS</t>
  </si>
  <si>
    <t>SW capacitance</t>
  </si>
  <si>
    <t>Csnub</t>
  </si>
  <si>
    <t>Lpar</t>
  </si>
  <si>
    <t>nH</t>
  </si>
  <si>
    <t>Rsnub</t>
  </si>
  <si>
    <t>TL</t>
  </si>
  <si>
    <t>L/R Time Constant</t>
  </si>
  <si>
    <t>Csideal</t>
  </si>
  <si>
    <t xml:space="preserve">Ideal filter capacitor </t>
  </si>
  <si>
    <t>Common Circuit (Y/N)?</t>
  </si>
  <si>
    <t>Rsetideal</t>
  </si>
  <si>
    <t>Rset</t>
  </si>
  <si>
    <t>Starndard value current limit set resistor</t>
  </si>
  <si>
    <t>Blank out</t>
  </si>
  <si>
    <t>Standard size based on Csideal filter capacitor</t>
  </si>
  <si>
    <t>Chosen current limit level</t>
  </si>
  <si>
    <t>Sugested Cs</t>
  </si>
  <si>
    <t>Input from user =</t>
  </si>
  <si>
    <t>Constant</t>
  </si>
  <si>
    <t>Step 8: Efficiency</t>
  </si>
  <si>
    <t>Vripple</t>
  </si>
  <si>
    <t>Bottom Shotkey</t>
  </si>
  <si>
    <t>VfdSky</t>
  </si>
  <si>
    <t>QrrSky</t>
  </si>
  <si>
    <t>Ireverse</t>
  </si>
  <si>
    <t>Diode Forward Voltage</t>
  </si>
  <si>
    <t>Diode Reverse Recovery Charge</t>
  </si>
  <si>
    <t>Reverse Leakage Current</t>
  </si>
  <si>
    <t>Diod/eFET</t>
  </si>
  <si>
    <t>External Diode</t>
  </si>
  <si>
    <t>Transitional Loss</t>
  </si>
  <si>
    <t>Total Inductor Loss/Diss</t>
  </si>
  <si>
    <t>Total Cout Loss/Diss</t>
  </si>
  <si>
    <t>Total Cin Loss/Diss</t>
  </si>
  <si>
    <t>Total Top FET Loss/Diss</t>
  </si>
  <si>
    <t xml:space="preserve">Dead Time Loss </t>
  </si>
  <si>
    <t>VsdTop</t>
  </si>
  <si>
    <t>Switching Current Diss</t>
  </si>
  <si>
    <t>Total Bottom Fet Diss/Loss</t>
  </si>
  <si>
    <t>Diode Forward Voltage of Top FET Body diode</t>
  </si>
  <si>
    <t>°C/W</t>
  </si>
  <si>
    <t>SCHEMATIC LABELS</t>
  </si>
  <si>
    <r>
      <t xml:space="preserve">Choosen Compensation Components from the </t>
    </r>
    <r>
      <rPr>
        <b/>
        <u/>
        <sz val="10"/>
        <color indexed="10"/>
        <rFont val="Arial"/>
        <family val="2"/>
      </rPr>
      <t>standard value sheet</t>
    </r>
  </si>
  <si>
    <t>\</t>
  </si>
  <si>
    <t>OUTPUT CURRENT</t>
  </si>
  <si>
    <t>Dmax</t>
  </si>
  <si>
    <t>Ipp</t>
  </si>
  <si>
    <t>Current (switching)</t>
  </si>
  <si>
    <t>Qrr Current</t>
  </si>
  <si>
    <t>Diode Current</t>
  </si>
  <si>
    <t>Std Units</t>
  </si>
  <si>
    <t>Part Power Disipation</t>
  </si>
  <si>
    <t>Total Application Switching IQ</t>
  </si>
  <si>
    <t xml:space="preserve">VIN </t>
  </si>
  <si>
    <t>CBOOT</t>
  </si>
  <si>
    <t>VDD</t>
  </si>
  <si>
    <t>SYNC</t>
  </si>
  <si>
    <t>EN</t>
  </si>
  <si>
    <t>PGOOD</t>
  </si>
  <si>
    <t>SS/TRACK</t>
  </si>
  <si>
    <t>FADJ</t>
  </si>
  <si>
    <t>GND</t>
  </si>
  <si>
    <t>COMP</t>
  </si>
  <si>
    <t>FB</t>
  </si>
  <si>
    <t>CS-</t>
  </si>
  <si>
    <t>CS+</t>
  </si>
  <si>
    <t>LG</t>
  </si>
  <si>
    <t>SW</t>
  </si>
  <si>
    <t>HG</t>
  </si>
  <si>
    <t>CIN</t>
  </si>
  <si>
    <t>DCR at hot</t>
  </si>
  <si>
    <t>Temp</t>
  </si>
  <si>
    <t>µH</t>
  </si>
  <si>
    <t>µF</t>
  </si>
  <si>
    <t>Cinmin</t>
  </si>
  <si>
    <t>Vinripple1</t>
  </si>
  <si>
    <t>CinEsrMax</t>
  </si>
  <si>
    <t>Vinripple2</t>
  </si>
  <si>
    <t>yes</t>
  </si>
  <si>
    <t>no</t>
  </si>
  <si>
    <t>DCR</t>
  </si>
  <si>
    <t>Output =</t>
  </si>
  <si>
    <t>Calculated Inductor value for 30% ripple</t>
  </si>
  <si>
    <t>Duty Cycle with DCR accounted for</t>
  </si>
  <si>
    <t>1-Duty Cycle with DCR accounted for</t>
  </si>
  <si>
    <t>OTP</t>
  </si>
  <si>
    <t>D+</t>
  </si>
  <si>
    <t>D-</t>
  </si>
  <si>
    <t>RS</t>
  </si>
  <si>
    <t>Bottom Schottky</t>
  </si>
  <si>
    <t>Rotp</t>
  </si>
  <si>
    <t>Step 3: Inductor DCR-based Current Limit</t>
  </si>
  <si>
    <t>Step 2: Filter Inductor</t>
  </si>
  <si>
    <t>This component will first set the midband gain</t>
  </si>
  <si>
    <t>Error Amplifier Finite DC Gain (AOL)</t>
  </si>
  <si>
    <t>Error Amplifier Gain Bandwidth Product (GBW)</t>
  </si>
  <si>
    <t>Cout ESR Zero Location</t>
  </si>
  <si>
    <t>EA Gain (dB)</t>
  </si>
  <si>
    <t>EA Phase</t>
  </si>
  <si>
    <t>EA Gain</t>
  </si>
  <si>
    <t>EA Gain BW</t>
  </si>
  <si>
    <t>Midband Gain For the Error Amplifier</t>
  </si>
  <si>
    <t>Load Cap current during soft start</t>
  </si>
  <si>
    <t>Step 1: Operating Specifications</t>
  </si>
  <si>
    <t>Totp</t>
  </si>
  <si>
    <t>°C</t>
  </si>
  <si>
    <t>Riset</t>
  </si>
  <si>
    <t>Based on 0.22uF DCR filter capacitor</t>
  </si>
  <si>
    <t>Std Values</t>
  </si>
  <si>
    <t>Pole &amp; Zero Placement</t>
  </si>
  <si>
    <t>Compensation Components</t>
  </si>
  <si>
    <t>Actual P/Z Frequencies</t>
  </si>
  <si>
    <r>
      <t>A</t>
    </r>
    <r>
      <rPr>
        <vertAlign val="subscript"/>
        <sz val="10"/>
        <rFont val="Arial"/>
        <family val="2"/>
      </rPr>
      <t>pk-pk</t>
    </r>
  </si>
  <si>
    <r>
      <t>mV</t>
    </r>
    <r>
      <rPr>
        <b/>
        <vertAlign val="subscript"/>
        <sz val="10"/>
        <rFont val="Arial"/>
        <family val="2"/>
      </rPr>
      <t>pk-pk</t>
    </r>
  </si>
  <si>
    <r>
      <t>R</t>
    </r>
    <r>
      <rPr>
        <b/>
        <vertAlign val="subscript"/>
        <sz val="10"/>
        <rFont val="Arial"/>
        <family val="2"/>
      </rPr>
      <t>C1</t>
    </r>
  </si>
  <si>
    <r>
      <t>kHz (F</t>
    </r>
    <r>
      <rPr>
        <b/>
        <vertAlign val="subscript"/>
        <sz val="10"/>
        <rFont val="Arial"/>
        <family val="2"/>
      </rPr>
      <t>Z1</t>
    </r>
    <r>
      <rPr>
        <b/>
        <sz val="10"/>
        <rFont val="Arial"/>
        <family val="2"/>
      </rPr>
      <t>)</t>
    </r>
  </si>
  <si>
    <r>
      <t>C</t>
    </r>
    <r>
      <rPr>
        <b/>
        <vertAlign val="subscript"/>
        <sz val="10"/>
        <rFont val="Arial"/>
        <family val="2"/>
      </rPr>
      <t>C1</t>
    </r>
  </si>
  <si>
    <r>
      <t>kHz (F</t>
    </r>
    <r>
      <rPr>
        <b/>
        <vertAlign val="subscript"/>
        <sz val="10"/>
        <rFont val="Arial"/>
        <family val="2"/>
      </rPr>
      <t>Z2</t>
    </r>
    <r>
      <rPr>
        <b/>
        <sz val="10"/>
        <rFont val="Arial"/>
        <family val="2"/>
      </rPr>
      <t>)</t>
    </r>
  </si>
  <si>
    <r>
      <t>C</t>
    </r>
    <r>
      <rPr>
        <b/>
        <vertAlign val="subscript"/>
        <sz val="10"/>
        <rFont val="Arial"/>
        <family val="2"/>
      </rPr>
      <t>C2</t>
    </r>
  </si>
  <si>
    <r>
      <t>kHz (F</t>
    </r>
    <r>
      <rPr>
        <b/>
        <vertAlign val="subscript"/>
        <sz val="10"/>
        <rFont val="Arial"/>
        <family val="2"/>
      </rPr>
      <t>P1</t>
    </r>
    <r>
      <rPr>
        <b/>
        <sz val="10"/>
        <rFont val="Arial"/>
        <family val="2"/>
      </rPr>
      <t>)</t>
    </r>
  </si>
  <si>
    <r>
      <t>R</t>
    </r>
    <r>
      <rPr>
        <b/>
        <vertAlign val="subscript"/>
        <sz val="10"/>
        <rFont val="Arial"/>
        <family val="2"/>
      </rPr>
      <t>C2</t>
    </r>
  </si>
  <si>
    <r>
      <t>kHz (F</t>
    </r>
    <r>
      <rPr>
        <b/>
        <vertAlign val="subscript"/>
        <sz val="10"/>
        <rFont val="Arial"/>
        <family val="2"/>
      </rPr>
      <t>P2</t>
    </r>
    <r>
      <rPr>
        <b/>
        <sz val="10"/>
        <rFont val="Arial"/>
        <family val="2"/>
      </rPr>
      <t>)</t>
    </r>
  </si>
  <si>
    <r>
      <t>C</t>
    </r>
    <r>
      <rPr>
        <b/>
        <vertAlign val="subscript"/>
        <sz val="10"/>
        <rFont val="Arial"/>
        <family val="2"/>
      </rPr>
      <t>C3</t>
    </r>
  </si>
  <si>
    <t>If the SYNC feature is not required, connect SYNC to GND</t>
  </si>
  <si>
    <r>
      <t>mV</t>
    </r>
    <r>
      <rPr>
        <vertAlign val="subscript"/>
        <sz val="10"/>
        <rFont val="Arial"/>
        <family val="2"/>
      </rPr>
      <t>pk-pk</t>
    </r>
  </si>
  <si>
    <t>Efficiency / Power Loss Analyzer</t>
  </si>
  <si>
    <t>Schottky Diode (if applicable)</t>
  </si>
  <si>
    <t>Step 7: Compensation Design</t>
  </si>
  <si>
    <t>Calculated /</t>
  </si>
  <si>
    <r>
      <t>Switching Frequency (R</t>
    </r>
    <r>
      <rPr>
        <b/>
        <vertAlign val="subscript"/>
        <sz val="10"/>
        <color theme="1"/>
        <rFont val="Arial"/>
        <family val="2"/>
      </rPr>
      <t>FADJ</t>
    </r>
    <r>
      <rPr>
        <b/>
        <sz val="10"/>
        <color theme="1"/>
        <rFont val="Arial"/>
        <family val="2"/>
      </rPr>
      <t xml:space="preserve">) </t>
    </r>
  </si>
  <si>
    <t xml:space="preserve">SYNC Frequency (if used) </t>
  </si>
  <si>
    <r>
      <t>Frequency Set Resistor R</t>
    </r>
    <r>
      <rPr>
        <vertAlign val="subscript"/>
        <sz val="10"/>
        <rFont val="Arial"/>
        <family val="2"/>
      </rPr>
      <t>FADJ</t>
    </r>
    <r>
      <rPr>
        <sz val="10"/>
        <rFont val="Arial"/>
        <family val="2"/>
      </rPr>
      <t xml:space="preserve"> </t>
    </r>
  </si>
  <si>
    <t xml:space="preserve">Recommended Filter Inductance </t>
  </si>
  <si>
    <r>
      <t>Inductance L</t>
    </r>
    <r>
      <rPr>
        <b/>
        <vertAlign val="subscript"/>
        <sz val="10"/>
        <color theme="1"/>
        <rFont val="Arial"/>
        <family val="2"/>
      </rPr>
      <t>OUT</t>
    </r>
    <r>
      <rPr>
        <b/>
        <sz val="10"/>
        <color theme="1"/>
        <rFont val="Arial"/>
        <family val="2"/>
      </rPr>
      <t xml:space="preserve"> </t>
    </r>
  </si>
  <si>
    <t xml:space="preserve">Inductor DCR </t>
  </si>
  <si>
    <t xml:space="preserve">Peak-to-Peak Inductor Ripple Current </t>
  </si>
  <si>
    <t xml:space="preserve">Required Current Limit Setpoint </t>
  </si>
  <si>
    <r>
      <t>Current Limit Set Resistor R</t>
    </r>
    <r>
      <rPr>
        <vertAlign val="subscript"/>
        <sz val="10"/>
        <rFont val="Arial"/>
        <family val="2"/>
      </rPr>
      <t>ISET</t>
    </r>
    <r>
      <rPr>
        <sz val="10"/>
        <rFont val="Arial"/>
        <family val="2"/>
      </rPr>
      <t xml:space="preserve"> </t>
    </r>
  </si>
  <si>
    <t xml:space="preserve">Current Limit Setpoint </t>
  </si>
  <si>
    <t xml:space="preserve">Output Voltage Ripple Specification </t>
  </si>
  <si>
    <t xml:space="preserve">Minimum Ideal Output Capacitance </t>
  </si>
  <si>
    <r>
      <t>Output Capacitance C</t>
    </r>
    <r>
      <rPr>
        <b/>
        <vertAlign val="subscript"/>
        <sz val="10"/>
        <rFont val="Arial"/>
        <family val="2"/>
      </rPr>
      <t>OUT</t>
    </r>
    <r>
      <rPr>
        <b/>
        <sz val="10"/>
        <rFont val="Arial"/>
        <family val="2"/>
      </rPr>
      <t xml:space="preserve"> </t>
    </r>
  </si>
  <si>
    <t xml:space="preserve">Maximum Permitted ESR </t>
  </si>
  <si>
    <t xml:space="preserve">Output Capacitor ESR </t>
  </si>
  <si>
    <t xml:space="preserve">Resulting Output Voltage Ripple </t>
  </si>
  <si>
    <t xml:space="preserve">Output Capacitor Ripple Current </t>
  </si>
  <si>
    <t xml:space="preserve">Input Voltage Ripple Specification </t>
  </si>
  <si>
    <t xml:space="preserve">Minimum Ideal Input Capacitance </t>
  </si>
  <si>
    <r>
      <t>Input Capacitance C</t>
    </r>
    <r>
      <rPr>
        <b/>
        <vertAlign val="subscript"/>
        <sz val="10"/>
        <color theme="1"/>
        <rFont val="Arial"/>
        <family val="2"/>
      </rPr>
      <t>IN</t>
    </r>
    <r>
      <rPr>
        <b/>
        <sz val="10"/>
        <color theme="1"/>
        <rFont val="Arial"/>
        <family val="2"/>
      </rPr>
      <t xml:space="preserve"> </t>
    </r>
  </si>
  <si>
    <t xml:space="preserve">Input Capacitor ESR </t>
  </si>
  <si>
    <t xml:space="preserve">Resulting Input Voltage Ripple </t>
  </si>
  <si>
    <t xml:space="preserve">Input Capacitor Ripple Current </t>
  </si>
  <si>
    <r>
      <t>Soft-Start Capacitance C</t>
    </r>
    <r>
      <rPr>
        <vertAlign val="subscript"/>
        <sz val="10"/>
        <rFont val="Arial"/>
        <family val="2"/>
      </rPr>
      <t>SS</t>
    </r>
    <r>
      <rPr>
        <sz val="10"/>
        <rFont val="Arial"/>
        <family val="2"/>
      </rPr>
      <t xml:space="preserve"> </t>
    </r>
  </si>
  <si>
    <t xml:space="preserve">System Level OTP Setpoint </t>
  </si>
  <si>
    <r>
      <t>OTP Resistor R</t>
    </r>
    <r>
      <rPr>
        <vertAlign val="subscript"/>
        <sz val="10"/>
        <rFont val="Arial"/>
        <family val="2"/>
      </rPr>
      <t>OTP</t>
    </r>
    <r>
      <rPr>
        <sz val="10"/>
        <rFont val="Arial"/>
        <family val="2"/>
      </rPr>
      <t xml:space="preserve"> </t>
    </r>
  </si>
  <si>
    <t xml:space="preserve">LC Complex Pole Frequency </t>
  </si>
  <si>
    <t xml:space="preserve">ESR Zero Frequency </t>
  </si>
  <si>
    <t xml:space="preserve">Appropriate Midband Gain </t>
  </si>
  <si>
    <r>
      <t>Upper Feedback Resistor R</t>
    </r>
    <r>
      <rPr>
        <b/>
        <vertAlign val="subscript"/>
        <sz val="10"/>
        <rFont val="Arial"/>
        <family val="2"/>
      </rPr>
      <t xml:space="preserve">FB1 </t>
    </r>
  </si>
  <si>
    <r>
      <t>Lower Feedback Resistor R</t>
    </r>
    <r>
      <rPr>
        <vertAlign val="subscript"/>
        <sz val="10"/>
        <rFont val="Arial"/>
        <family val="2"/>
      </rPr>
      <t>FB2</t>
    </r>
    <r>
      <rPr>
        <sz val="10"/>
        <rFont val="Arial"/>
        <family val="2"/>
      </rPr>
      <t xml:space="preserve"> </t>
    </r>
  </si>
  <si>
    <t>About</t>
  </si>
  <si>
    <t>xx</t>
  </si>
  <si>
    <t>Current limit setpoint after standard components are selected</t>
  </si>
  <si>
    <t>Output Cap rms current</t>
  </si>
  <si>
    <t>Max ESR before ripple exceeds Vripple1</t>
  </si>
  <si>
    <t>Chosen ESR</t>
  </si>
  <si>
    <t>Input capacitance series resistance (ESR)</t>
  </si>
  <si>
    <t xml:space="preserve">Desired Crossover Frequency </t>
  </si>
  <si>
    <r>
      <t>VIN</t>
    </r>
    <r>
      <rPr>
        <vertAlign val="subscript"/>
        <sz val="10"/>
        <rFont val="Arial"/>
        <family val="2"/>
      </rPr>
      <t>UVLO_ON</t>
    </r>
  </si>
  <si>
    <r>
      <t>VIN</t>
    </r>
    <r>
      <rPr>
        <vertAlign val="subscript"/>
        <sz val="10"/>
        <rFont val="Arial"/>
        <family val="2"/>
      </rPr>
      <t>UVLO_OFF</t>
    </r>
  </si>
  <si>
    <t>Rising UVLO/EN Threshold</t>
  </si>
  <si>
    <t>Falling UVLO/EN Threshold</t>
  </si>
  <si>
    <t>Falling UVLO/EN Falling</t>
  </si>
  <si>
    <t xml:space="preserve">Rising UVLO/EN Hysteresis </t>
  </si>
  <si>
    <t>UVLO/EN Current Hysteresis</t>
  </si>
  <si>
    <t>kΩ</t>
  </si>
  <si>
    <r>
      <t>VIN</t>
    </r>
    <r>
      <rPr>
        <vertAlign val="subscript"/>
        <sz val="10"/>
        <rFont val="Arial"/>
        <family val="2"/>
      </rPr>
      <t>UVLO_ON_ACTUAL</t>
    </r>
  </si>
  <si>
    <r>
      <t>VIN</t>
    </r>
    <r>
      <rPr>
        <vertAlign val="subscript"/>
        <sz val="10"/>
        <rFont val="Arial"/>
        <family val="2"/>
      </rPr>
      <t>UVLO_OFF_ACTUAL</t>
    </r>
  </si>
  <si>
    <t>Size</t>
  </si>
  <si>
    <t>MFR</t>
  </si>
  <si>
    <t>Std</t>
  </si>
  <si>
    <t>See description</t>
  </si>
  <si>
    <t>TI</t>
  </si>
  <si>
    <t>0603</t>
  </si>
  <si>
    <r>
      <t>C</t>
    </r>
    <r>
      <rPr>
        <vertAlign val="subscript"/>
        <sz val="10"/>
        <rFont val="Arial"/>
        <family val="2"/>
      </rPr>
      <t>C1</t>
    </r>
  </si>
  <si>
    <r>
      <t>C</t>
    </r>
    <r>
      <rPr>
        <vertAlign val="subscript"/>
        <sz val="10"/>
        <rFont val="Arial"/>
        <family val="2"/>
      </rPr>
      <t>C2</t>
    </r>
  </si>
  <si>
    <r>
      <t>C</t>
    </r>
    <r>
      <rPr>
        <vertAlign val="subscript"/>
        <sz val="10"/>
        <rFont val="Arial"/>
        <family val="2"/>
      </rPr>
      <t>C3</t>
    </r>
  </si>
  <si>
    <r>
      <t>C</t>
    </r>
    <r>
      <rPr>
        <vertAlign val="subscript"/>
        <sz val="10"/>
        <rFont val="Arial"/>
        <family val="2"/>
      </rPr>
      <t>CS</t>
    </r>
  </si>
  <si>
    <r>
      <t>C</t>
    </r>
    <r>
      <rPr>
        <vertAlign val="subscript"/>
        <sz val="10"/>
        <rFont val="Arial"/>
        <family val="2"/>
      </rPr>
      <t>VDD</t>
    </r>
  </si>
  <si>
    <r>
      <t>C</t>
    </r>
    <r>
      <rPr>
        <vertAlign val="subscript"/>
        <sz val="10"/>
        <rFont val="Arial"/>
        <family val="2"/>
      </rPr>
      <t>IN</t>
    </r>
  </si>
  <si>
    <r>
      <t>C</t>
    </r>
    <r>
      <rPr>
        <vertAlign val="subscript"/>
        <sz val="10"/>
        <rFont val="Arial"/>
        <family val="2"/>
      </rPr>
      <t>OUT</t>
    </r>
  </si>
  <si>
    <r>
      <t>C</t>
    </r>
    <r>
      <rPr>
        <vertAlign val="subscript"/>
        <sz val="10"/>
        <rFont val="Arial"/>
        <family val="2"/>
      </rPr>
      <t>S</t>
    </r>
  </si>
  <si>
    <r>
      <t>C</t>
    </r>
    <r>
      <rPr>
        <vertAlign val="subscript"/>
        <sz val="10"/>
        <rFont val="Arial"/>
        <family val="2"/>
      </rPr>
      <t>SS</t>
    </r>
  </si>
  <si>
    <r>
      <t>C</t>
    </r>
    <r>
      <rPr>
        <vertAlign val="subscript"/>
        <sz val="10"/>
        <rFont val="Arial"/>
        <family val="2"/>
      </rPr>
      <t>BOOT</t>
    </r>
    <r>
      <rPr>
        <sz val="10"/>
        <rFont val="Arial"/>
        <family val="2"/>
      </rPr>
      <t>, C</t>
    </r>
    <r>
      <rPr>
        <vertAlign val="subscript"/>
        <sz val="10"/>
        <rFont val="Arial"/>
        <family val="2"/>
      </rPr>
      <t>OTP</t>
    </r>
    <r>
      <rPr>
        <sz val="10"/>
        <rFont val="Arial"/>
        <family val="2"/>
      </rPr>
      <t>, C</t>
    </r>
    <r>
      <rPr>
        <vertAlign val="subscript"/>
        <sz val="10"/>
        <rFont val="Arial"/>
        <family val="2"/>
      </rPr>
      <t>T</t>
    </r>
  </si>
  <si>
    <r>
      <t>C</t>
    </r>
    <r>
      <rPr>
        <vertAlign val="subscript"/>
        <sz val="10"/>
        <rFont val="Arial"/>
        <family val="2"/>
      </rPr>
      <t>VIN</t>
    </r>
  </si>
  <si>
    <t>Ref Des</t>
  </si>
  <si>
    <t>Count</t>
  </si>
  <si>
    <r>
      <t>D</t>
    </r>
    <r>
      <rPr>
        <vertAlign val="subscript"/>
        <sz val="10"/>
        <rFont val="Arial"/>
        <family val="2"/>
      </rPr>
      <t>BOOT</t>
    </r>
  </si>
  <si>
    <t>BAT64-02W</t>
  </si>
  <si>
    <t>SOD523</t>
  </si>
  <si>
    <t>Infineon</t>
  </si>
  <si>
    <t>Various</t>
  </si>
  <si>
    <t>-</t>
  </si>
  <si>
    <r>
      <t>Q</t>
    </r>
    <r>
      <rPr>
        <vertAlign val="subscript"/>
        <sz val="10"/>
        <rFont val="Arial"/>
        <family val="2"/>
      </rPr>
      <t>1</t>
    </r>
  </si>
  <si>
    <t>MMBT3904T</t>
  </si>
  <si>
    <t>SOT323</t>
  </si>
  <si>
    <t>Transistor, NPN, 40V, 200mA</t>
  </si>
  <si>
    <r>
      <t>Q</t>
    </r>
    <r>
      <rPr>
        <vertAlign val="subscript"/>
        <sz val="10"/>
        <rFont val="Arial"/>
        <family val="2"/>
      </rPr>
      <t>T</t>
    </r>
  </si>
  <si>
    <r>
      <t>Q</t>
    </r>
    <r>
      <rPr>
        <vertAlign val="subscript"/>
        <sz val="10"/>
        <rFont val="Arial"/>
        <family val="2"/>
      </rPr>
      <t>2</t>
    </r>
  </si>
  <si>
    <r>
      <t>R</t>
    </r>
    <r>
      <rPr>
        <vertAlign val="subscript"/>
        <sz val="10"/>
        <rFont val="Arial"/>
        <family val="2"/>
      </rPr>
      <t>C1</t>
    </r>
  </si>
  <si>
    <r>
      <t>R</t>
    </r>
    <r>
      <rPr>
        <vertAlign val="subscript"/>
        <sz val="10"/>
        <rFont val="Arial"/>
        <family val="2"/>
      </rPr>
      <t>C2</t>
    </r>
  </si>
  <si>
    <r>
      <t>R</t>
    </r>
    <r>
      <rPr>
        <vertAlign val="subscript"/>
        <sz val="10"/>
        <rFont val="Arial"/>
        <family val="2"/>
      </rPr>
      <t>UV1</t>
    </r>
  </si>
  <si>
    <r>
      <t>R</t>
    </r>
    <r>
      <rPr>
        <vertAlign val="subscript"/>
        <sz val="10"/>
        <rFont val="Arial"/>
        <family val="2"/>
      </rPr>
      <t>UV2</t>
    </r>
  </si>
  <si>
    <r>
      <t>UVLO Upper Resistor R</t>
    </r>
    <r>
      <rPr>
        <vertAlign val="subscript"/>
        <sz val="10"/>
        <rFont val="Arial"/>
        <family val="2"/>
      </rPr>
      <t>UV1</t>
    </r>
  </si>
  <si>
    <r>
      <t>UVLO Lower Resistor R</t>
    </r>
    <r>
      <rPr>
        <vertAlign val="subscript"/>
        <sz val="10"/>
        <rFont val="Arial"/>
        <family val="2"/>
      </rPr>
      <t>UV2</t>
    </r>
  </si>
  <si>
    <r>
      <t>R</t>
    </r>
    <r>
      <rPr>
        <vertAlign val="subscript"/>
        <sz val="10"/>
        <rFont val="Arial"/>
        <family val="2"/>
      </rPr>
      <t>VIN</t>
    </r>
  </si>
  <si>
    <r>
      <t>R</t>
    </r>
    <r>
      <rPr>
        <vertAlign val="subscript"/>
        <sz val="10"/>
        <rFont val="Arial"/>
        <family val="2"/>
      </rPr>
      <t>S</t>
    </r>
  </si>
  <si>
    <t>LM27403</t>
  </si>
  <si>
    <t>LM27403SQ</t>
  </si>
  <si>
    <t>WQFN-24</t>
  </si>
  <si>
    <r>
      <t>R</t>
    </r>
    <r>
      <rPr>
        <vertAlign val="subscript"/>
        <sz val="10"/>
        <rFont val="Arial"/>
        <family val="2"/>
      </rPr>
      <t>PGOOD</t>
    </r>
  </si>
  <si>
    <r>
      <t>R</t>
    </r>
    <r>
      <rPr>
        <vertAlign val="subscript"/>
        <sz val="10"/>
        <rFont val="Arial"/>
        <family val="2"/>
      </rPr>
      <t>FB1</t>
    </r>
  </si>
  <si>
    <r>
      <t>R</t>
    </r>
    <r>
      <rPr>
        <vertAlign val="subscript"/>
        <sz val="10"/>
        <rFont val="Arial"/>
        <family val="2"/>
      </rPr>
      <t>FADJ</t>
    </r>
  </si>
  <si>
    <r>
      <t>R</t>
    </r>
    <r>
      <rPr>
        <vertAlign val="subscript"/>
        <sz val="10"/>
        <rFont val="Arial"/>
        <family val="2"/>
      </rPr>
      <t>FB2</t>
    </r>
  </si>
  <si>
    <t>IC, LM27403, PWM Controller with DCR Current Sensing, 3V-20V Input</t>
  </si>
  <si>
    <t>SON 5 x 6 mm</t>
  </si>
  <si>
    <r>
      <t>U</t>
    </r>
    <r>
      <rPr>
        <b/>
        <vertAlign val="subscript"/>
        <sz val="10"/>
        <rFont val="Arial"/>
        <family val="2"/>
      </rPr>
      <t>1</t>
    </r>
  </si>
  <si>
    <t>2N3904</t>
  </si>
  <si>
    <r>
      <t>C</t>
    </r>
    <r>
      <rPr>
        <vertAlign val="subscript"/>
        <sz val="10"/>
        <rFont val="Arial"/>
        <family val="2"/>
      </rPr>
      <t>D</t>
    </r>
  </si>
  <si>
    <t>BAT64-02W, 40V, 200mA, Schottky</t>
  </si>
  <si>
    <t>Rpgood</t>
  </si>
  <si>
    <t>20kΩ</t>
  </si>
  <si>
    <t>Cd</t>
  </si>
  <si>
    <r>
      <t>L</t>
    </r>
    <r>
      <rPr>
        <vertAlign val="subscript"/>
        <sz val="10"/>
        <rFont val="Arial"/>
        <family val="2"/>
      </rPr>
      <t>OUT</t>
    </r>
  </si>
  <si>
    <r>
      <t>R</t>
    </r>
    <r>
      <rPr>
        <vertAlign val="subscript"/>
        <sz val="10"/>
        <rFont val="Arial"/>
        <family val="2"/>
      </rPr>
      <t>CS</t>
    </r>
    <r>
      <rPr>
        <sz val="10"/>
        <rFont val="Arial"/>
        <family val="2"/>
      </rPr>
      <t>, R</t>
    </r>
    <r>
      <rPr>
        <vertAlign val="subscript"/>
        <sz val="10"/>
        <rFont val="Arial"/>
        <family val="2"/>
      </rPr>
      <t>ISET</t>
    </r>
  </si>
  <si>
    <r>
      <t>R</t>
    </r>
    <r>
      <rPr>
        <vertAlign val="subscript"/>
        <sz val="10"/>
        <rFont val="Arial"/>
        <family val="2"/>
      </rPr>
      <t>OTP</t>
    </r>
  </si>
  <si>
    <t>Ruv1</t>
  </si>
  <si>
    <t>Ruv2</t>
  </si>
  <si>
    <t>Step 6: Soft-start, OTP, UVLO</t>
  </si>
  <si>
    <t># of input caps</t>
  </si>
  <si>
    <t>Capacitance per component (Cin)</t>
  </si>
  <si>
    <t>Capacitance per component (Cout)</t>
  </si>
  <si>
    <t># of output caps</t>
  </si>
  <si>
    <t xml:space="preserve"> LM27403 DC-DC Regulator Design Tool</t>
  </si>
  <si>
    <t>LM27403 DC-DC Regulator Design Tool</t>
  </si>
  <si>
    <r>
      <t>High-Side MOSFET (Q</t>
    </r>
    <r>
      <rPr>
        <b/>
        <vertAlign val="subscript"/>
        <sz val="10"/>
        <color rgb="FF0000FF"/>
        <rFont val="Arial"/>
        <family val="2"/>
      </rPr>
      <t>1</t>
    </r>
    <r>
      <rPr>
        <b/>
        <sz val="10"/>
        <color rgb="FF0000FF"/>
        <rFont val="Arial"/>
        <family val="2"/>
      </rPr>
      <t>) Specifications</t>
    </r>
  </si>
  <si>
    <r>
      <t>Low-Side MOSFET (Q</t>
    </r>
    <r>
      <rPr>
        <b/>
        <vertAlign val="subscript"/>
        <sz val="10"/>
        <color rgb="FF0000FF"/>
        <rFont val="Arial"/>
        <family val="2"/>
      </rPr>
      <t>2</t>
    </r>
    <r>
      <rPr>
        <b/>
        <sz val="10"/>
        <color rgb="FF0000FF"/>
        <rFont val="Arial"/>
        <family val="2"/>
      </rPr>
      <t>) Specifications</t>
    </r>
  </si>
  <si>
    <r>
      <t>F</t>
    </r>
    <r>
      <rPr>
        <b/>
        <vertAlign val="subscript"/>
        <sz val="10"/>
        <rFont val="Arial"/>
        <family val="2"/>
      </rPr>
      <t>P1</t>
    </r>
    <r>
      <rPr>
        <b/>
        <sz val="10"/>
        <rFont val="Arial"/>
        <family val="2"/>
      </rPr>
      <t xml:space="preserve">  </t>
    </r>
  </si>
  <si>
    <r>
      <t>F</t>
    </r>
    <r>
      <rPr>
        <b/>
        <vertAlign val="subscript"/>
        <sz val="10"/>
        <rFont val="Arial"/>
        <family val="2"/>
      </rPr>
      <t>P2</t>
    </r>
    <r>
      <rPr>
        <b/>
        <sz val="10"/>
        <rFont val="Arial"/>
        <family val="2"/>
      </rPr>
      <t xml:space="preserve">  </t>
    </r>
  </si>
  <si>
    <r>
      <t>F</t>
    </r>
    <r>
      <rPr>
        <b/>
        <vertAlign val="subscript"/>
        <sz val="10"/>
        <rFont val="Arial"/>
        <family val="2"/>
      </rPr>
      <t xml:space="preserve">Z1  </t>
    </r>
  </si>
  <si>
    <r>
      <t>F</t>
    </r>
    <r>
      <rPr>
        <b/>
        <vertAlign val="subscript"/>
        <sz val="10"/>
        <rFont val="Arial"/>
        <family val="2"/>
      </rPr>
      <t xml:space="preserve">Z2  </t>
    </r>
  </si>
  <si>
    <r>
      <t>DCR Sense Resistor R</t>
    </r>
    <r>
      <rPr>
        <vertAlign val="subscript"/>
        <sz val="10"/>
        <rFont val="Arial"/>
        <family val="2"/>
      </rPr>
      <t>S</t>
    </r>
  </si>
  <si>
    <r>
      <t>DCR Sense Capacitor C</t>
    </r>
    <r>
      <rPr>
        <vertAlign val="subscript"/>
        <sz val="10"/>
        <rFont val="Arial"/>
        <family val="2"/>
      </rPr>
      <t>S</t>
    </r>
  </si>
  <si>
    <t>Input Voltage UVLO On</t>
  </si>
  <si>
    <t>Input Voltage UVLO Off</t>
  </si>
  <si>
    <t>** Tie SYNC to GND if not used **</t>
  </si>
  <si>
    <t>Ω</t>
  </si>
  <si>
    <t>** TI PowerBlock MOSFET has vertically-stacked high- and low-side MOSFETs integrated in one package **</t>
  </si>
  <si>
    <t>** Inductor saturation current should be higher than the current limit setpoint at all operating temperatures **</t>
  </si>
  <si>
    <r>
      <rPr>
        <b/>
        <u/>
        <sz val="10"/>
        <rFont val="Arial"/>
        <family val="2"/>
      </rPr>
      <t>NOTES</t>
    </r>
    <r>
      <rPr>
        <b/>
        <sz val="10"/>
        <rFont val="Arial"/>
        <family val="2"/>
      </rPr>
      <t>:</t>
    </r>
  </si>
  <si>
    <t>** Effective output capacitance should be appropriately derated for applied voltage and temperature, particularly with ceramics **</t>
  </si>
  <si>
    <t>CSD87350Q5D</t>
  </si>
  <si>
    <t>Series resistance due to FETs</t>
  </si>
  <si>
    <t>Chosen Inductor Value</t>
  </si>
  <si>
    <t>Ripple Current after Chosen inductor (p-p)</t>
  </si>
  <si>
    <t>Chosen Crossover</t>
  </si>
  <si>
    <t>Bottom Feedback Resistor</t>
  </si>
  <si>
    <t>User Chosen Feedback Resistor</t>
  </si>
  <si>
    <t>Output Resistance</t>
  </si>
  <si>
    <t>This zero is set at or below the double pole location</t>
  </si>
  <si>
    <t>Same as recommended filter resistor</t>
  </si>
  <si>
    <t>High Efficiency Synchronous Buck Regulator BOM</t>
  </si>
  <si>
    <t>http://www.ti.com/product/lm27403</t>
  </si>
  <si>
    <r>
      <t>Inductor Ripple Current as a % of Max I</t>
    </r>
    <r>
      <rPr>
        <vertAlign val="subscript"/>
        <sz val="10"/>
        <rFont val="Arial"/>
        <family val="2"/>
      </rPr>
      <t>OUT</t>
    </r>
    <r>
      <rPr>
        <sz val="10"/>
        <rFont val="Arial"/>
        <family val="2"/>
      </rPr>
      <t xml:space="preserve"> </t>
    </r>
  </si>
  <si>
    <r>
      <t>On-State Resistance, R</t>
    </r>
    <r>
      <rPr>
        <b/>
        <vertAlign val="subscript"/>
        <sz val="10"/>
        <rFont val="Arial"/>
        <family val="2"/>
      </rPr>
      <t>DS(on)</t>
    </r>
    <r>
      <rPr>
        <b/>
        <sz val="10"/>
        <rFont val="Arial"/>
        <family val="2"/>
      </rPr>
      <t xml:space="preserve"> </t>
    </r>
  </si>
  <si>
    <r>
      <t>Total Gate Charge, Q</t>
    </r>
    <r>
      <rPr>
        <b/>
        <vertAlign val="subscript"/>
        <sz val="10"/>
        <rFont val="Arial"/>
        <family val="2"/>
      </rPr>
      <t>G</t>
    </r>
    <r>
      <rPr>
        <b/>
        <sz val="10"/>
        <rFont val="Arial"/>
        <family val="2"/>
      </rPr>
      <t xml:space="preserve"> </t>
    </r>
  </si>
  <si>
    <r>
      <t>Gate-Drain Charge, Q</t>
    </r>
    <r>
      <rPr>
        <b/>
        <vertAlign val="subscript"/>
        <sz val="10"/>
        <rFont val="Arial"/>
        <family val="2"/>
      </rPr>
      <t>GD</t>
    </r>
    <r>
      <rPr>
        <b/>
        <sz val="10"/>
        <rFont val="Arial"/>
        <family val="2"/>
      </rPr>
      <t xml:space="preserve"> </t>
    </r>
  </si>
  <si>
    <r>
      <t>Gate-Source Charge, Q</t>
    </r>
    <r>
      <rPr>
        <b/>
        <vertAlign val="subscript"/>
        <sz val="10"/>
        <rFont val="Arial"/>
        <family val="2"/>
      </rPr>
      <t>GS</t>
    </r>
    <r>
      <rPr>
        <b/>
        <sz val="10"/>
        <rFont val="Arial"/>
        <family val="2"/>
      </rPr>
      <t xml:space="preserve"> </t>
    </r>
  </si>
  <si>
    <r>
      <t>Gate Resistance, R</t>
    </r>
    <r>
      <rPr>
        <b/>
        <vertAlign val="subscript"/>
        <sz val="10"/>
        <rFont val="Arial"/>
        <family val="2"/>
      </rPr>
      <t>G</t>
    </r>
    <r>
      <rPr>
        <b/>
        <sz val="10"/>
        <rFont val="Arial"/>
        <family val="2"/>
      </rPr>
      <t xml:space="preserve"> </t>
    </r>
  </si>
  <si>
    <r>
      <t>Transconductance, g</t>
    </r>
    <r>
      <rPr>
        <b/>
        <vertAlign val="subscript"/>
        <sz val="10"/>
        <rFont val="Arial"/>
        <family val="2"/>
      </rPr>
      <t>FS</t>
    </r>
    <r>
      <rPr>
        <b/>
        <sz val="10"/>
        <rFont val="Arial"/>
        <family val="2"/>
      </rPr>
      <t xml:space="preserve"> </t>
    </r>
  </si>
  <si>
    <r>
      <t>Gate-Source Threshold Voltage, V</t>
    </r>
    <r>
      <rPr>
        <b/>
        <vertAlign val="subscript"/>
        <sz val="10"/>
        <rFont val="Arial"/>
        <family val="2"/>
      </rPr>
      <t>GS(TH)</t>
    </r>
    <r>
      <rPr>
        <b/>
        <sz val="10"/>
        <rFont val="Arial"/>
        <family val="2"/>
      </rPr>
      <t xml:space="preserve"> </t>
    </r>
  </si>
  <si>
    <r>
      <t>Thermal Resistance, θ</t>
    </r>
    <r>
      <rPr>
        <b/>
        <vertAlign val="subscript"/>
        <sz val="10"/>
        <rFont val="Arial"/>
        <family val="2"/>
      </rPr>
      <t>JA</t>
    </r>
    <r>
      <rPr>
        <b/>
        <sz val="10"/>
        <rFont val="Arial"/>
        <family val="2"/>
      </rPr>
      <t xml:space="preserve"> </t>
    </r>
  </si>
  <si>
    <r>
      <t>Body Diode Recovery Charge, Q</t>
    </r>
    <r>
      <rPr>
        <b/>
        <vertAlign val="subscript"/>
        <sz val="10"/>
        <rFont val="Arial"/>
        <family val="2"/>
      </rPr>
      <t>RR</t>
    </r>
    <r>
      <rPr>
        <b/>
        <sz val="10"/>
        <rFont val="Arial"/>
        <family val="2"/>
      </rPr>
      <t xml:space="preserve"> </t>
    </r>
  </si>
  <si>
    <r>
      <t>Schottky Diode Recovery Charge, Q</t>
    </r>
    <r>
      <rPr>
        <b/>
        <vertAlign val="subscript"/>
        <sz val="10"/>
        <rFont val="Arial"/>
        <family val="2"/>
      </rPr>
      <t>RR2</t>
    </r>
    <r>
      <rPr>
        <b/>
        <sz val="10"/>
        <rFont val="Arial"/>
        <family val="2"/>
      </rPr>
      <t xml:space="preserve"> </t>
    </r>
  </si>
  <si>
    <r>
      <t>Body Diode Forward Voltage, V</t>
    </r>
    <r>
      <rPr>
        <b/>
        <vertAlign val="subscript"/>
        <sz val="10"/>
        <rFont val="Arial"/>
        <family val="2"/>
      </rPr>
      <t>BD2</t>
    </r>
    <r>
      <rPr>
        <b/>
        <sz val="10"/>
        <rFont val="Arial"/>
        <family val="2"/>
      </rPr>
      <t xml:space="preserve"> </t>
    </r>
  </si>
  <si>
    <r>
      <t>Schottky Diode Forward Voltage, V</t>
    </r>
    <r>
      <rPr>
        <b/>
        <vertAlign val="subscript"/>
        <sz val="10"/>
        <rFont val="Arial"/>
        <family val="2"/>
      </rPr>
      <t>SD</t>
    </r>
    <r>
      <rPr>
        <b/>
        <sz val="10"/>
        <rFont val="Arial"/>
        <family val="2"/>
      </rPr>
      <t xml:space="preserve"> </t>
    </r>
  </si>
  <si>
    <r>
      <t>Body Diode Forward Voltage, V</t>
    </r>
    <r>
      <rPr>
        <b/>
        <vertAlign val="subscript"/>
        <sz val="10"/>
        <rFont val="Arial"/>
        <family val="2"/>
      </rPr>
      <t>BD1</t>
    </r>
    <r>
      <rPr>
        <b/>
        <sz val="10"/>
        <rFont val="Arial"/>
        <family val="2"/>
      </rPr>
      <t xml:space="preserve"> </t>
    </r>
  </si>
  <si>
    <r>
      <t>Nominal Input Voltage V</t>
    </r>
    <r>
      <rPr>
        <b/>
        <vertAlign val="subscript"/>
        <sz val="10"/>
        <color theme="1"/>
        <rFont val="Arial"/>
        <family val="2"/>
      </rPr>
      <t>IN</t>
    </r>
    <r>
      <rPr>
        <b/>
        <sz val="10"/>
        <color theme="1"/>
        <rFont val="Arial"/>
        <family val="2"/>
      </rPr>
      <t xml:space="preserve"> </t>
    </r>
  </si>
  <si>
    <r>
      <t>Output Voltage V</t>
    </r>
    <r>
      <rPr>
        <b/>
        <vertAlign val="subscript"/>
        <sz val="10"/>
        <color theme="1"/>
        <rFont val="Arial"/>
        <family val="2"/>
      </rPr>
      <t>OUT</t>
    </r>
    <r>
      <rPr>
        <b/>
        <sz val="10"/>
        <color theme="1"/>
        <rFont val="Arial"/>
        <family val="2"/>
      </rPr>
      <t xml:space="preserve"> </t>
    </r>
  </si>
  <si>
    <r>
      <t>Maximum Output Current I</t>
    </r>
    <r>
      <rPr>
        <b/>
        <vertAlign val="subscript"/>
        <sz val="10"/>
        <color theme="1"/>
        <rFont val="Arial"/>
        <family val="2"/>
      </rPr>
      <t>OUT</t>
    </r>
    <r>
      <rPr>
        <b/>
        <sz val="10"/>
        <color theme="1"/>
        <rFont val="Arial"/>
        <family val="2"/>
      </rPr>
      <t xml:space="preserve"> </t>
    </r>
  </si>
  <si>
    <r>
      <t>Soft-Start Time t</t>
    </r>
    <r>
      <rPr>
        <b/>
        <vertAlign val="subscript"/>
        <sz val="10"/>
        <color theme="1"/>
        <rFont val="Arial"/>
        <family val="2"/>
      </rPr>
      <t>SS</t>
    </r>
    <r>
      <rPr>
        <b/>
        <sz val="10"/>
        <color theme="1"/>
        <rFont val="Arial"/>
        <family val="2"/>
      </rPr>
      <t xml:space="preserve"> </t>
    </r>
  </si>
  <si>
    <t>Peak-to-Peak Ramp Voltage of PWM</t>
  </si>
  <si>
    <t>%/°C</t>
  </si>
  <si>
    <t>LM27403EVM PCB Layout</t>
  </si>
  <si>
    <t>LM27403EVM-POL600 PCB Layout</t>
  </si>
  <si>
    <t>1nF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</si>
</sst>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3" formatCode="_(* #,##0.00_);_(* \(#,##0.00\);_(* &quot;-&quot;??_);_(@_)"/>
    <numFmt numFmtId="164" formatCode="0.000000"/>
    <numFmt numFmtId="165" formatCode="0.00000"/>
    <numFmt numFmtId="166" formatCode="0.0000"/>
    <numFmt numFmtId="167" formatCode="0.000"/>
    <numFmt numFmtId="168" formatCode="0.0"/>
    <numFmt numFmtId="169" formatCode="0.000E+00"/>
    <numFmt numFmtId="170" formatCode="0.0000000"/>
    <numFmt numFmtId="171" formatCode="0.00000000"/>
    <numFmt numFmtId="172" formatCode="0.000000000"/>
    <numFmt numFmtId="173" formatCode="#0.0#"/>
    <numFmt numFmtId="174" formatCode="General&quot;nF&quot;"/>
    <numFmt numFmtId="175" formatCode="General&quot;k&quot;"/>
    <numFmt numFmtId="176" formatCode="General&quot;pF&quot;"/>
    <numFmt numFmtId="177" formatCode="General&quot;µF&quot;"/>
    <numFmt numFmtId="178" formatCode="&quot;Capacitor, Ceramic, &quot;General&quot;-µF, 10V, X5R, 20%&quot;"/>
    <numFmt numFmtId="179" formatCode="&quot;Capacitor, Ceramic, &quot;General&quot;-µF, 25V, X5R, 20%&quot;"/>
    <numFmt numFmtId="180" formatCode="&quot;Capacitor, Ceramic, &quot;General&quot;-µF, 6.3V, X5R, 20%&quot;"/>
    <numFmt numFmtId="181" formatCode="&quot;Capacitor, Ceramic, &quot;General&quot;-µF, 16V, X7R, 10%&quot;"/>
    <numFmt numFmtId="182" formatCode="&quot;Capacitor, Ceramic, &quot;General&quot;-pF, 50V, NP0, 5%&quot;"/>
    <numFmt numFmtId="183" formatCode="&quot;Capacitor, Ceramic, &quot;General&quot;-nF, 16V, X7R, 10%&quot;"/>
    <numFmt numFmtId="184" formatCode="&quot;Capacitor, Ceramic, &quot;General&quot;-pF, 16V, X7R, 10%&quot;"/>
    <numFmt numFmtId="185" formatCode="&quot;Capacitor, Ceramic, &quot;General&quot;-µF, 25V, X7R, 20%&quot;"/>
    <numFmt numFmtId="186" formatCode="General&quot;µH&quot;"/>
    <numFmt numFmtId="187" formatCode="&quot;Inductor, &quot;General&quot;-µH, 10%&quot;"/>
    <numFmt numFmtId="188" formatCode="&quot;Resistor, Chip, &quot;General&quot;-kΩ, 1/16W, 1%&quot;"/>
    <numFmt numFmtId="189" formatCode="&quot;Resistor, Chip, &quot;General&quot;-Ω, 1/16W, 1%&quot;"/>
    <numFmt numFmtId="190" formatCode="&quot;MOSFET, N-CH, 30V, &quot;General&quot;mΩ&quot;"/>
  </numFmts>
  <fonts count="96">
    <font>
      <sz val="10"/>
      <name val="Arial"/>
    </font>
    <font>
      <sz val="11"/>
      <color theme="1"/>
      <name val="Calibri"/>
      <family val="2"/>
      <scheme val="minor"/>
    </font>
    <font>
      <sz val="10"/>
      <name val="Arial"/>
      <family val="2"/>
    </font>
    <font>
      <b/>
      <sz val="10"/>
      <name val="Arial"/>
      <family val="2"/>
    </font>
    <font>
      <b/>
      <sz val="22"/>
      <color indexed="44"/>
      <name val="Arial"/>
      <family val="2"/>
    </font>
    <font>
      <sz val="8"/>
      <name val="Arial"/>
      <family val="2"/>
    </font>
    <font>
      <i/>
      <sz val="10"/>
      <name val="Arial"/>
      <family val="2"/>
    </font>
    <font>
      <b/>
      <i/>
      <sz val="10"/>
      <name val="Arial"/>
      <family val="2"/>
    </font>
    <font>
      <sz val="10"/>
      <name val="Arial"/>
      <family val="2"/>
    </font>
    <font>
      <b/>
      <sz val="20"/>
      <color indexed="44"/>
      <name val="Arial"/>
      <family val="2"/>
    </font>
    <font>
      <vertAlign val="subscript"/>
      <sz val="10"/>
      <name val="Arial"/>
      <family val="2"/>
    </font>
    <font>
      <u/>
      <sz val="10"/>
      <color indexed="12"/>
      <name val="Arial"/>
      <family val="2"/>
    </font>
    <font>
      <b/>
      <sz val="16"/>
      <name val="Arial"/>
      <family val="2"/>
    </font>
    <font>
      <sz val="10"/>
      <color indexed="44"/>
      <name val="Arial"/>
      <family val="2"/>
    </font>
    <font>
      <b/>
      <sz val="28"/>
      <color indexed="44"/>
      <name val="Arial"/>
      <family val="2"/>
    </font>
    <font>
      <b/>
      <sz val="10"/>
      <color indexed="44"/>
      <name val="Arial"/>
      <family val="2"/>
    </font>
    <font>
      <sz val="10"/>
      <color indexed="8"/>
      <name val="Arial"/>
      <family val="2"/>
    </font>
    <font>
      <b/>
      <sz val="24"/>
      <color indexed="44"/>
      <name val="Arial"/>
      <family val="2"/>
    </font>
    <font>
      <sz val="10"/>
      <name val="Calibri"/>
      <family val="2"/>
    </font>
    <font>
      <b/>
      <sz val="10"/>
      <name val="Calibri"/>
      <family val="2"/>
    </font>
    <font>
      <sz val="10"/>
      <color indexed="55"/>
      <name val="Calibri"/>
      <family val="2"/>
    </font>
    <font>
      <sz val="10"/>
      <color indexed="8"/>
      <name val="Arial"/>
      <family val="2"/>
    </font>
    <font>
      <b/>
      <sz val="10"/>
      <color indexed="9"/>
      <name val="Calibri"/>
      <family val="2"/>
    </font>
    <font>
      <b/>
      <sz val="12"/>
      <color indexed="48"/>
      <name val="Arial"/>
      <family val="2"/>
    </font>
    <font>
      <b/>
      <sz val="12"/>
      <color indexed="12"/>
      <name val="Arial"/>
      <family val="2"/>
    </font>
    <font>
      <sz val="10"/>
      <color indexed="23"/>
      <name val="Calibri"/>
      <family val="2"/>
    </font>
    <font>
      <b/>
      <sz val="12"/>
      <color indexed="9"/>
      <name val="Calibri"/>
      <family val="2"/>
    </font>
    <font>
      <sz val="12"/>
      <name val="Calibri"/>
      <family val="2"/>
    </font>
    <font>
      <b/>
      <sz val="22"/>
      <color indexed="9"/>
      <name val="Calibri"/>
      <family val="2"/>
    </font>
    <font>
      <b/>
      <sz val="10"/>
      <color indexed="13"/>
      <name val="Calibri"/>
      <family val="2"/>
    </font>
    <font>
      <b/>
      <u/>
      <sz val="10"/>
      <color indexed="10"/>
      <name val="Arial"/>
      <family val="2"/>
    </font>
    <font>
      <sz val="10"/>
      <color indexed="56"/>
      <name val="Calibri"/>
      <family val="2"/>
    </font>
    <font>
      <sz val="10"/>
      <color indexed="8"/>
      <name val="Arial"/>
      <family val="2"/>
    </font>
    <font>
      <b/>
      <sz val="14"/>
      <color indexed="9"/>
      <name val="Calibri"/>
      <family val="2"/>
    </font>
    <font>
      <b/>
      <i/>
      <sz val="14"/>
      <color indexed="12"/>
      <name val="Calibri"/>
      <family val="2"/>
    </font>
    <font>
      <b/>
      <sz val="9"/>
      <color indexed="81"/>
      <name val="Tahoma"/>
      <family val="2"/>
    </font>
    <font>
      <b/>
      <sz val="10"/>
      <color indexed="81"/>
      <name val="Tahoma"/>
      <family val="2"/>
    </font>
    <font>
      <sz val="9"/>
      <color indexed="81"/>
      <name val="Tahoma"/>
      <family val="2"/>
    </font>
    <font>
      <b/>
      <u/>
      <sz val="9"/>
      <color indexed="81"/>
      <name val="Tahoma"/>
      <family val="2"/>
    </font>
    <font>
      <sz val="11"/>
      <color indexed="10"/>
      <name val="Tahoma"/>
      <family val="2"/>
    </font>
    <font>
      <b/>
      <sz val="11"/>
      <color indexed="10"/>
      <name val="Tahoma"/>
      <family val="2"/>
    </font>
    <font>
      <b/>
      <sz val="9"/>
      <color indexed="10"/>
      <name val="Tahoma"/>
      <family val="2"/>
    </font>
    <font>
      <sz val="10"/>
      <color indexed="81"/>
      <name val="Tahoma"/>
      <family val="2"/>
    </font>
    <font>
      <b/>
      <sz val="9"/>
      <color indexed="39"/>
      <name val="Tahoma"/>
      <family val="2"/>
    </font>
    <font>
      <b/>
      <vertAlign val="subscript"/>
      <sz val="9"/>
      <color indexed="39"/>
      <name val="Tahoma"/>
      <family val="2"/>
    </font>
    <font>
      <b/>
      <vertAlign val="subscript"/>
      <sz val="9"/>
      <color indexed="10"/>
      <name val="Tahoma"/>
      <family val="2"/>
    </font>
    <font>
      <sz val="36"/>
      <color rgb="FFFF0000"/>
      <name val="Arial"/>
      <family val="2"/>
    </font>
    <font>
      <b/>
      <u/>
      <sz val="11"/>
      <color indexed="10"/>
      <name val="Tahoma"/>
      <family val="2"/>
    </font>
    <font>
      <sz val="32"/>
      <color theme="0"/>
      <name val="Arial"/>
      <family val="2"/>
    </font>
    <font>
      <sz val="16"/>
      <color theme="0"/>
      <name val="Arial"/>
      <family val="2"/>
    </font>
    <font>
      <b/>
      <vertAlign val="subscript"/>
      <sz val="10"/>
      <name val="Arial"/>
      <family val="2"/>
    </font>
    <font>
      <sz val="10"/>
      <color indexed="23"/>
      <name val="Arial"/>
      <family val="2"/>
    </font>
    <font>
      <sz val="10"/>
      <color indexed="55"/>
      <name val="Arial"/>
      <family val="2"/>
    </font>
    <font>
      <b/>
      <i/>
      <sz val="10"/>
      <color indexed="55"/>
      <name val="Arial"/>
      <family val="2"/>
    </font>
    <font>
      <b/>
      <i/>
      <sz val="14"/>
      <color indexed="12"/>
      <name val="Arial"/>
      <family val="2"/>
    </font>
    <font>
      <b/>
      <sz val="10"/>
      <color indexed="8"/>
      <name val="Arial"/>
      <family val="2"/>
    </font>
    <font>
      <b/>
      <sz val="14"/>
      <color indexed="9"/>
      <name val="Arial"/>
      <family val="2"/>
    </font>
    <font>
      <b/>
      <sz val="10"/>
      <color rgb="FFFF0000"/>
      <name val="Arial"/>
      <family val="2"/>
    </font>
    <font>
      <b/>
      <i/>
      <sz val="10"/>
      <color indexed="23"/>
      <name val="Arial"/>
      <family val="2"/>
    </font>
    <font>
      <sz val="12"/>
      <name val="Arial"/>
      <family val="2"/>
    </font>
    <font>
      <sz val="10"/>
      <color theme="1"/>
      <name val="Arial"/>
      <family val="2"/>
    </font>
    <font>
      <b/>
      <sz val="10"/>
      <color theme="1"/>
      <name val="Arial"/>
      <family val="2"/>
    </font>
    <font>
      <b/>
      <vertAlign val="subscript"/>
      <sz val="10"/>
      <color theme="1"/>
      <name val="Arial"/>
      <family val="2"/>
    </font>
    <font>
      <b/>
      <sz val="10"/>
      <color rgb="FF0000FF"/>
      <name val="Arial"/>
      <family val="2"/>
    </font>
    <font>
      <sz val="10"/>
      <color rgb="FF0000FF"/>
      <name val="Arial"/>
      <family val="2"/>
    </font>
    <font>
      <sz val="10"/>
      <color rgb="FF0000FF"/>
      <name val="Calibri"/>
      <family val="2"/>
    </font>
    <font>
      <b/>
      <vertAlign val="subscript"/>
      <sz val="10"/>
      <color rgb="FF0000FF"/>
      <name val="Arial"/>
      <family val="2"/>
    </font>
    <font>
      <b/>
      <sz val="12"/>
      <color rgb="FF003366"/>
      <name val="Calibri"/>
      <family val="2"/>
    </font>
    <font>
      <sz val="10"/>
      <name val="Symbol"/>
      <family val="1"/>
      <charset val="2"/>
    </font>
    <font>
      <b/>
      <sz val="10"/>
      <color indexed="9"/>
      <name val="Arial"/>
      <family val="2"/>
    </font>
    <font>
      <b/>
      <sz val="12"/>
      <color rgb="FF0000FF"/>
      <name val="Arial"/>
      <family val="2"/>
    </font>
    <font>
      <b/>
      <u/>
      <sz val="10"/>
      <name val="Arial"/>
      <family val="2"/>
    </font>
    <font>
      <u/>
      <sz val="9"/>
      <color indexed="12"/>
      <name val="Tahoma"/>
      <family val="2"/>
    </font>
    <font>
      <u/>
      <sz val="10"/>
      <color theme="0" tint="-0.499984740745262"/>
      <name val="Arial"/>
      <family val="2"/>
    </font>
    <font>
      <b/>
      <u/>
      <sz val="9"/>
      <color rgb="FF000000"/>
      <name val="Tahoma"/>
      <family val="2"/>
    </font>
    <font>
      <b/>
      <sz val="9"/>
      <color rgb="FF000000"/>
      <name val="Tahoma"/>
      <family val="2"/>
    </font>
    <font>
      <sz val="9"/>
      <color rgb="FF000000"/>
      <name val="Tahoma"/>
      <family val="2"/>
    </font>
    <font>
      <b/>
      <sz val="9"/>
      <color rgb="FFFF0000"/>
      <name val="Tahoma"/>
      <family val="2"/>
    </font>
    <font>
      <b/>
      <vertAlign val="subscript"/>
      <sz val="9"/>
      <color rgb="FF000000"/>
      <name val="Tahoma"/>
      <family val="2"/>
    </font>
    <font>
      <vertAlign val="subscript"/>
      <sz val="9"/>
      <color rgb="FF000000"/>
      <name val="Tahoma"/>
      <family val="2"/>
    </font>
    <font>
      <b/>
      <sz val="9"/>
      <color rgb="FF0000FF"/>
      <name val="Tahoma"/>
      <family val="2"/>
    </font>
    <font>
      <b/>
      <vertAlign val="subscript"/>
      <sz val="9"/>
      <color rgb="FF0000FF"/>
      <name val="Tahoma"/>
      <family val="2"/>
    </font>
    <font>
      <sz val="11"/>
      <color rgb="FF000000"/>
      <name val="Tahoma"/>
      <family val="2"/>
    </font>
    <font>
      <sz val="9"/>
      <color rgb="FF0000FF"/>
      <name val="Tahoma"/>
      <family val="2"/>
    </font>
    <font>
      <b/>
      <sz val="10"/>
      <color rgb="FF000000"/>
      <name val="Tahoma"/>
      <family val="2"/>
    </font>
    <font>
      <b/>
      <vertAlign val="subscript"/>
      <sz val="10"/>
      <color rgb="FF000000"/>
      <name val="Tahoma"/>
      <family val="2"/>
    </font>
    <font>
      <sz val="10"/>
      <color rgb="FF000000"/>
      <name val="Tahoma"/>
      <family val="2"/>
    </font>
    <font>
      <vertAlign val="subscript"/>
      <sz val="10"/>
      <color rgb="FF000000"/>
      <name val="Tahoma"/>
      <family val="2"/>
    </font>
    <font>
      <sz val="10"/>
      <color rgb="FF000000"/>
      <name val="Calibri"/>
      <family val="2"/>
    </font>
    <font>
      <sz val="9"/>
      <color rgb="FF000000"/>
      <name val="Calibri"/>
      <family val="2"/>
    </font>
    <font>
      <b/>
      <u/>
      <sz val="8"/>
      <color rgb="FF000000"/>
      <name val="Tahoma"/>
      <family val="2"/>
    </font>
    <font>
      <b/>
      <sz val="8"/>
      <color rgb="FF000000"/>
      <name val="Tahoma"/>
      <family val="2"/>
    </font>
    <font>
      <sz val="8"/>
      <color rgb="FF000000"/>
      <name val="Tahoma"/>
      <family val="2"/>
    </font>
    <font>
      <b/>
      <sz val="8"/>
      <color rgb="FFFF0000"/>
      <name val="Tahoma"/>
      <family val="2"/>
    </font>
    <font>
      <b/>
      <u/>
      <sz val="9"/>
      <color rgb="FF0000FF"/>
      <name val="Tahoma"/>
      <family val="2"/>
    </font>
    <font>
      <b/>
      <i/>
      <sz val="9"/>
      <color rgb="FF0000FF"/>
      <name val="Tahoma"/>
      <family val="2"/>
    </font>
  </fonts>
  <fills count="26">
    <fill>
      <patternFill patternType="none"/>
    </fill>
    <fill>
      <patternFill patternType="gray125"/>
    </fill>
    <fill>
      <patternFill patternType="solid">
        <fgColor indexed="44"/>
        <bgColor indexed="64"/>
      </patternFill>
    </fill>
    <fill>
      <patternFill patternType="solid">
        <fgColor indexed="8"/>
        <bgColor indexed="64"/>
      </patternFill>
    </fill>
    <fill>
      <patternFill patternType="solid">
        <fgColor indexed="22"/>
        <bgColor indexed="64"/>
      </patternFill>
    </fill>
    <fill>
      <patternFill patternType="solid">
        <fgColor indexed="55"/>
        <bgColor indexed="64"/>
      </patternFill>
    </fill>
    <fill>
      <patternFill patternType="solid">
        <fgColor indexed="45"/>
        <bgColor indexed="64"/>
      </patternFill>
    </fill>
    <fill>
      <patternFill patternType="solid">
        <fgColor indexed="46"/>
        <bgColor indexed="64"/>
      </patternFill>
    </fill>
    <fill>
      <patternFill patternType="solid">
        <fgColor indexed="11"/>
        <bgColor indexed="64"/>
      </patternFill>
    </fill>
    <fill>
      <patternFill patternType="solid">
        <fgColor indexed="42"/>
        <bgColor indexed="64"/>
      </patternFill>
    </fill>
    <fill>
      <patternFill patternType="solid">
        <fgColor indexed="9"/>
        <bgColor indexed="64"/>
      </patternFill>
    </fill>
    <fill>
      <patternFill patternType="solid">
        <fgColor indexed="13"/>
        <bgColor indexed="64"/>
      </patternFill>
    </fill>
    <fill>
      <patternFill patternType="solid">
        <fgColor indexed="41"/>
        <bgColor indexed="64"/>
      </patternFill>
    </fill>
    <fill>
      <patternFill patternType="solid">
        <fgColor indexed="52"/>
        <bgColor indexed="64"/>
      </patternFill>
    </fill>
    <fill>
      <patternFill patternType="solid">
        <fgColor indexed="50"/>
        <bgColor indexed="64"/>
      </patternFill>
    </fill>
    <fill>
      <patternFill patternType="solid">
        <fgColor indexed="47"/>
        <bgColor indexed="64"/>
      </patternFill>
    </fill>
    <fill>
      <patternFill patternType="solid">
        <fgColor indexed="56"/>
        <bgColor indexed="64"/>
      </patternFill>
    </fill>
    <fill>
      <patternFill patternType="solid">
        <fgColor indexed="23"/>
        <bgColor indexed="64"/>
      </patternFill>
    </fill>
    <fill>
      <patternFill patternType="solid">
        <fgColor indexed="53"/>
        <bgColor indexed="64"/>
      </patternFill>
    </fill>
    <fill>
      <patternFill patternType="solid">
        <fgColor theme="0"/>
        <bgColor indexed="64"/>
      </patternFill>
    </fill>
    <fill>
      <patternFill patternType="solid">
        <fgColor rgb="FFFF0000"/>
        <bgColor indexed="64"/>
      </patternFill>
    </fill>
    <fill>
      <patternFill patternType="solid">
        <fgColor theme="1"/>
        <bgColor indexed="64"/>
      </patternFill>
    </fill>
    <fill>
      <patternFill patternType="solid">
        <fgColor rgb="FFFFFF00"/>
        <bgColor indexed="64"/>
      </patternFill>
    </fill>
    <fill>
      <patternFill patternType="solid">
        <fgColor indexed="43"/>
        <bgColor indexed="64"/>
      </patternFill>
    </fill>
    <fill>
      <patternFill patternType="solid">
        <fgColor rgb="FFFFFF99"/>
        <bgColor indexed="64"/>
      </patternFill>
    </fill>
    <fill>
      <patternFill patternType="solid">
        <fgColor theme="0" tint="-0.499984740745262"/>
        <bgColor indexed="64"/>
      </patternFill>
    </fill>
  </fills>
  <borders count="5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55"/>
      </top>
      <bottom/>
      <diagonal/>
    </border>
    <border>
      <left/>
      <right/>
      <top/>
      <bottom style="medium">
        <color indexed="55"/>
      </bottom>
      <diagonal/>
    </border>
    <border>
      <left/>
      <right style="medium">
        <color indexed="55"/>
      </right>
      <top style="medium">
        <color indexed="55"/>
      </top>
      <bottom/>
      <diagonal/>
    </border>
    <border>
      <left/>
      <right style="medium">
        <color indexed="55"/>
      </right>
      <top/>
      <bottom/>
      <diagonal/>
    </border>
    <border>
      <left/>
      <right style="medium">
        <color indexed="55"/>
      </right>
      <top/>
      <bottom style="medium">
        <color indexed="55"/>
      </bottom>
      <diagonal/>
    </border>
    <border>
      <left style="medium">
        <color indexed="55"/>
      </left>
      <right/>
      <top style="medium">
        <color indexed="55"/>
      </top>
      <bottom/>
      <diagonal/>
    </border>
    <border>
      <left style="medium">
        <color indexed="55"/>
      </left>
      <right/>
      <top/>
      <bottom/>
      <diagonal/>
    </border>
    <border>
      <left style="medium">
        <color indexed="55"/>
      </left>
      <right/>
      <top/>
      <bottom style="medium">
        <color indexed="55"/>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indexed="64"/>
      </top>
      <bottom style="medium">
        <color indexed="64"/>
      </bottom>
      <diagonal/>
    </border>
    <border>
      <left/>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medium">
        <color auto="1"/>
      </left>
      <right/>
      <top/>
      <bottom/>
      <diagonal/>
    </border>
  </borders>
  <cellStyleXfs count="6">
    <xf numFmtId="0" fontId="0" fillId="0" borderId="0"/>
    <xf numFmtId="43" fontId="2" fillId="0" borderId="0" applyFont="0" applyFill="0" applyBorder="0" applyAlignment="0" applyProtection="0"/>
    <xf numFmtId="0" fontId="11" fillId="0" borderId="0" applyNumberFormat="0" applyFill="0" applyBorder="0" applyAlignment="0" applyProtection="0">
      <alignment vertical="top"/>
      <protection locked="0"/>
    </xf>
    <xf numFmtId="0" fontId="2" fillId="0" borderId="0"/>
    <xf numFmtId="0" fontId="1" fillId="0" borderId="0"/>
    <xf numFmtId="43" fontId="1" fillId="0" borderId="0" applyFont="0" applyFill="0" applyBorder="0" applyAlignment="0" applyProtection="0"/>
  </cellStyleXfs>
  <cellXfs count="541">
    <xf numFmtId="0" fontId="0" fillId="0" borderId="0" xfId="0"/>
    <xf numFmtId="0" fontId="7" fillId="0" borderId="0" xfId="0" applyFont="1"/>
    <xf numFmtId="0" fontId="3" fillId="0" borderId="0" xfId="0" applyFont="1"/>
    <xf numFmtId="0" fontId="8" fillId="0" borderId="0" xfId="0" applyFont="1"/>
    <xf numFmtId="2" fontId="0" fillId="0" borderId="0" xfId="0" applyNumberFormat="1"/>
    <xf numFmtId="0" fontId="0" fillId="2" borderId="0" xfId="0" applyFill="1"/>
    <xf numFmtId="0" fontId="0" fillId="3" borderId="0" xfId="0" applyFill="1"/>
    <xf numFmtId="0" fontId="3" fillId="2" borderId="0" xfId="0" applyFont="1" applyFill="1"/>
    <xf numFmtId="0" fontId="12" fillId="2" borderId="0" xfId="0" applyFont="1" applyFill="1"/>
    <xf numFmtId="169" fontId="0" fillId="0" borderId="0" xfId="0" applyNumberFormat="1"/>
    <xf numFmtId="10" fontId="0" fillId="0" borderId="0" xfId="0" applyNumberFormat="1"/>
    <xf numFmtId="0" fontId="15" fillId="3" borderId="0" xfId="0" applyFont="1" applyFill="1" applyAlignment="1">
      <alignment horizontal="right"/>
    </xf>
    <xf numFmtId="0" fontId="15" fillId="3" borderId="0" xfId="0" applyFont="1" applyFill="1"/>
    <xf numFmtId="0" fontId="0" fillId="0" borderId="0" xfId="0" applyBorder="1"/>
    <xf numFmtId="2" fontId="0" fillId="0" borderId="0" xfId="0" applyNumberFormat="1" applyBorder="1"/>
    <xf numFmtId="0" fontId="7" fillId="4" borderId="1" xfId="0" applyFont="1" applyFill="1" applyBorder="1" applyAlignment="1"/>
    <xf numFmtId="0" fontId="7" fillId="4" borderId="2" xfId="0" applyFont="1" applyFill="1" applyBorder="1" applyAlignment="1"/>
    <xf numFmtId="0" fontId="0" fillId="4" borderId="3" xfId="0" applyFill="1" applyBorder="1"/>
    <xf numFmtId="0" fontId="16" fillId="4" borderId="3" xfId="0" applyFont="1" applyFill="1" applyBorder="1"/>
    <xf numFmtId="169" fontId="7" fillId="4" borderId="2" xfId="0" applyNumberFormat="1" applyFont="1" applyFill="1" applyBorder="1" applyAlignment="1">
      <alignment horizontal="center"/>
    </xf>
    <xf numFmtId="0" fontId="7" fillId="4" borderId="1" xfId="0" applyFont="1" applyFill="1" applyBorder="1"/>
    <xf numFmtId="0" fontId="0" fillId="4" borderId="2" xfId="0" applyFill="1" applyBorder="1"/>
    <xf numFmtId="0" fontId="17" fillId="3" borderId="4" xfId="0" applyFont="1" applyFill="1" applyBorder="1" applyAlignment="1"/>
    <xf numFmtId="0" fontId="3" fillId="2" borderId="5" xfId="0" applyFont="1" applyFill="1" applyBorder="1" applyAlignment="1">
      <alignment horizontal="center" vertical="top" wrapText="1"/>
    </xf>
    <xf numFmtId="0" fontId="3" fillId="2" borderId="6" xfId="0" applyFont="1" applyFill="1" applyBorder="1" applyAlignment="1">
      <alignment horizontal="center" vertical="top" wrapText="1"/>
    </xf>
    <xf numFmtId="0" fontId="3" fillId="2" borderId="7" xfId="0" applyFont="1" applyFill="1" applyBorder="1" applyAlignment="1">
      <alignment horizontal="center" vertical="top" wrapText="1"/>
    </xf>
    <xf numFmtId="169" fontId="3" fillId="2" borderId="6" xfId="0" applyNumberFormat="1" applyFont="1" applyFill="1" applyBorder="1" applyAlignment="1">
      <alignment horizontal="center" vertical="top" wrapText="1"/>
    </xf>
    <xf numFmtId="0" fontId="3" fillId="5" borderId="8" xfId="0" applyFont="1" applyFill="1" applyBorder="1" applyAlignment="1"/>
    <xf numFmtId="0" fontId="3" fillId="5" borderId="9" xfId="0" applyFont="1" applyFill="1" applyBorder="1" applyAlignment="1"/>
    <xf numFmtId="0" fontId="3" fillId="5" borderId="10" xfId="0" applyFont="1" applyFill="1" applyBorder="1" applyAlignment="1"/>
    <xf numFmtId="0" fontId="3" fillId="5" borderId="11" xfId="0" applyFont="1" applyFill="1" applyBorder="1"/>
    <xf numFmtId="0" fontId="8" fillId="0" borderId="0" xfId="0" applyNumberFormat="1" applyFont="1" applyProtection="1">
      <protection locked="0"/>
    </xf>
    <xf numFmtId="0" fontId="0" fillId="0" borderId="0" xfId="0" applyNumberFormat="1" applyProtection="1">
      <protection locked="0"/>
    </xf>
    <xf numFmtId="0" fontId="0" fillId="6" borderId="12" xfId="0" applyFill="1" applyBorder="1"/>
    <xf numFmtId="0" fontId="6" fillId="0" borderId="11" xfId="0" applyFont="1" applyBorder="1"/>
    <xf numFmtId="0" fontId="0" fillId="0" borderId="11" xfId="0" applyFill="1" applyBorder="1"/>
    <xf numFmtId="0" fontId="0" fillId="6" borderId="11" xfId="0" applyFill="1" applyBorder="1"/>
    <xf numFmtId="0" fontId="0" fillId="4" borderId="11" xfId="0" applyFill="1" applyBorder="1"/>
    <xf numFmtId="0" fontId="3" fillId="5" borderId="0" xfId="0" applyFont="1" applyFill="1"/>
    <xf numFmtId="0" fontId="0" fillId="6" borderId="0" xfId="0" applyFill="1" applyBorder="1"/>
    <xf numFmtId="0" fontId="0" fillId="2" borderId="0" xfId="0" applyFill="1" applyBorder="1"/>
    <xf numFmtId="0" fontId="0" fillId="0" borderId="13" xfId="0" applyFill="1" applyBorder="1"/>
    <xf numFmtId="0" fontId="8" fillId="2" borderId="0" xfId="0" applyFont="1" applyFill="1"/>
    <xf numFmtId="0" fontId="0" fillId="0" borderId="11" xfId="0" applyBorder="1"/>
    <xf numFmtId="0" fontId="6" fillId="0" borderId="11" xfId="0" applyFont="1" applyFill="1" applyBorder="1"/>
    <xf numFmtId="0" fontId="0" fillId="6" borderId="13" xfId="0" applyFill="1" applyBorder="1"/>
    <xf numFmtId="0" fontId="6" fillId="0" borderId="13" xfId="0" applyFont="1" applyFill="1" applyBorder="1"/>
    <xf numFmtId="0" fontId="0" fillId="4" borderId="0" xfId="0" applyFill="1" applyBorder="1"/>
    <xf numFmtId="11" fontId="0" fillId="0" borderId="0" xfId="0" applyNumberFormat="1"/>
    <xf numFmtId="0" fontId="13" fillId="3" borderId="0" xfId="0" applyFont="1" applyFill="1"/>
    <xf numFmtId="0" fontId="0" fillId="0" borderId="0" xfId="0" applyFill="1"/>
    <xf numFmtId="0" fontId="3" fillId="5" borderId="8" xfId="0" applyFont="1" applyFill="1" applyBorder="1"/>
    <xf numFmtId="0" fontId="3" fillId="5" borderId="9" xfId="0" applyFont="1" applyFill="1" applyBorder="1"/>
    <xf numFmtId="0" fontId="0" fillId="4" borderId="12" xfId="0" applyFill="1" applyBorder="1"/>
    <xf numFmtId="0" fontId="16" fillId="7" borderId="0" xfId="0" applyFont="1" applyFill="1"/>
    <xf numFmtId="0" fontId="0" fillId="4" borderId="14" xfId="0" applyFill="1" applyBorder="1"/>
    <xf numFmtId="0" fontId="3" fillId="4" borderId="11" xfId="0" applyFont="1" applyFill="1" applyBorder="1"/>
    <xf numFmtId="0" fontId="0" fillId="0" borderId="0" xfId="0" applyFill="1" applyBorder="1"/>
    <xf numFmtId="0" fontId="0" fillId="6" borderId="8" xfId="0" applyFill="1" applyBorder="1"/>
    <xf numFmtId="0" fontId="0" fillId="4" borderId="8" xfId="0" applyFill="1" applyBorder="1"/>
    <xf numFmtId="0" fontId="6" fillId="0" borderId="15" xfId="0" applyFont="1" applyBorder="1"/>
    <xf numFmtId="0" fontId="6" fillId="0" borderId="16" xfId="0" applyFont="1" applyBorder="1"/>
    <xf numFmtId="0" fontId="6" fillId="0" borderId="15" xfId="0" applyFont="1" applyFill="1" applyBorder="1"/>
    <xf numFmtId="0" fontId="6" fillId="0" borderId="17" xfId="0" applyFont="1" applyBorder="1"/>
    <xf numFmtId="0" fontId="3" fillId="5" borderId="4" xfId="0" applyFont="1" applyFill="1" applyBorder="1" applyAlignment="1"/>
    <xf numFmtId="0" fontId="0" fillId="2" borderId="14" xfId="0" applyFill="1" applyBorder="1"/>
    <xf numFmtId="0" fontId="0" fillId="2" borderId="13" xfId="0" applyFill="1" applyBorder="1"/>
    <xf numFmtId="0" fontId="0" fillId="2" borderId="12" xfId="0" applyFill="1" applyBorder="1"/>
    <xf numFmtId="0" fontId="0" fillId="8" borderId="0" xfId="0" applyFill="1"/>
    <xf numFmtId="0" fontId="0" fillId="9" borderId="0" xfId="0" applyFill="1"/>
    <xf numFmtId="0" fontId="16" fillId="0" borderId="0" xfId="0" applyFont="1" applyFill="1" applyBorder="1"/>
    <xf numFmtId="0" fontId="3" fillId="0" borderId="0" xfId="0" applyFont="1" applyFill="1" applyBorder="1"/>
    <xf numFmtId="0" fontId="0" fillId="11" borderId="0" xfId="0" applyFill="1"/>
    <xf numFmtId="0" fontId="0" fillId="0" borderId="0" xfId="0" applyAlignment="1">
      <alignment horizontal="right"/>
    </xf>
    <xf numFmtId="0" fontId="18" fillId="0" borderId="0" xfId="0" applyFont="1"/>
    <xf numFmtId="0" fontId="3" fillId="0" borderId="0" xfId="0" applyFont="1" applyFill="1" applyBorder="1" applyAlignment="1" applyProtection="1">
      <alignment horizontal="center"/>
    </xf>
    <xf numFmtId="173" fontId="21" fillId="0" borderId="0" xfId="0" applyNumberFormat="1" applyFont="1" applyFill="1" applyBorder="1" applyAlignment="1" applyProtection="1">
      <alignment horizontal="center"/>
    </xf>
    <xf numFmtId="173" fontId="8" fillId="0" borderId="0" xfId="0" applyNumberFormat="1" applyFont="1" applyFill="1" applyBorder="1" applyAlignment="1" applyProtection="1">
      <alignment horizontal="center"/>
    </xf>
    <xf numFmtId="173" fontId="8" fillId="0" borderId="0" xfId="0" applyNumberFormat="1" applyFont="1" applyFill="1" applyBorder="1" applyAlignment="1" applyProtection="1">
      <alignment horizontal="center"/>
      <protection locked="0"/>
    </xf>
    <xf numFmtId="173" fontId="8" fillId="0" borderId="0" xfId="0" applyNumberFormat="1" applyFont="1" applyBorder="1" applyAlignment="1" applyProtection="1">
      <alignment horizontal="center"/>
      <protection locked="0"/>
    </xf>
    <xf numFmtId="173" fontId="8" fillId="0" borderId="0" xfId="0" applyNumberFormat="1" applyFont="1" applyAlignment="1" applyProtection="1">
      <alignment horizontal="center"/>
      <protection locked="0"/>
    </xf>
    <xf numFmtId="173" fontId="8" fillId="0" borderId="0" xfId="0" applyNumberFormat="1" applyFont="1" applyBorder="1" applyAlignment="1" applyProtection="1">
      <alignment horizontal="center"/>
    </xf>
    <xf numFmtId="173" fontId="8" fillId="0" borderId="0" xfId="0" applyNumberFormat="1" applyFont="1" applyFill="1" applyAlignment="1" applyProtection="1">
      <alignment horizontal="center"/>
      <protection locked="0"/>
    </xf>
    <xf numFmtId="11" fontId="7" fillId="0" borderId="0" xfId="0" applyNumberFormat="1" applyFont="1"/>
    <xf numFmtId="173" fontId="0" fillId="0" borderId="0" xfId="0" applyNumberFormat="1"/>
    <xf numFmtId="0" fontId="0" fillId="12" borderId="0" xfId="0" applyFill="1"/>
    <xf numFmtId="168" fontId="0" fillId="0" borderId="0" xfId="0" applyNumberFormat="1"/>
    <xf numFmtId="0" fontId="3" fillId="0" borderId="0" xfId="0" applyFont="1" applyFill="1" applyAlignment="1">
      <alignment horizontal="center"/>
    </xf>
    <xf numFmtId="0" fontId="3" fillId="4" borderId="0" xfId="0" applyFont="1" applyFill="1" applyAlignment="1">
      <alignment horizontal="center"/>
    </xf>
    <xf numFmtId="0" fontId="3" fillId="13" borderId="0" xfId="0" applyFont="1" applyFill="1" applyAlignment="1">
      <alignment horizontal="center"/>
    </xf>
    <xf numFmtId="0" fontId="3" fillId="14" borderId="0" xfId="0" applyFont="1" applyFill="1" applyAlignment="1">
      <alignment horizontal="center"/>
    </xf>
    <xf numFmtId="169" fontId="7" fillId="4" borderId="1" xfId="0" applyNumberFormat="1" applyFont="1" applyFill="1" applyBorder="1" applyAlignment="1">
      <alignment horizontal="center"/>
    </xf>
    <xf numFmtId="0" fontId="0" fillId="4" borderId="19" xfId="0" applyFill="1" applyBorder="1"/>
    <xf numFmtId="0" fontId="7" fillId="4" borderId="3" xfId="0" applyFont="1" applyFill="1" applyBorder="1"/>
    <xf numFmtId="0" fontId="7" fillId="4" borderId="20" xfId="0" applyFont="1" applyFill="1" applyBorder="1" applyAlignment="1">
      <alignment horizontal="left"/>
    </xf>
    <xf numFmtId="0" fontId="7" fillId="4" borderId="21" xfId="0" applyFont="1" applyFill="1" applyBorder="1" applyAlignment="1">
      <alignment horizontal="left"/>
    </xf>
    <xf numFmtId="0" fontId="0" fillId="4" borderId="21" xfId="0" applyFill="1" applyBorder="1"/>
    <xf numFmtId="0" fontId="0" fillId="4" borderId="22" xfId="0" applyFill="1" applyBorder="1"/>
    <xf numFmtId="0" fontId="3" fillId="7" borderId="7" xfId="0" applyFont="1" applyFill="1" applyBorder="1" applyAlignment="1">
      <alignment horizontal="center" vertical="top" wrapText="1"/>
    </xf>
    <xf numFmtId="169" fontId="3" fillId="2" borderId="5" xfId="0" applyNumberFormat="1" applyFont="1" applyFill="1" applyBorder="1" applyAlignment="1">
      <alignment horizontal="center" vertical="top" wrapText="1"/>
    </xf>
    <xf numFmtId="0" fontId="3" fillId="2" borderId="23" xfId="0" applyFont="1" applyFill="1" applyBorder="1" applyAlignment="1">
      <alignment horizontal="center" vertical="top" wrapText="1"/>
    </xf>
    <xf numFmtId="0" fontId="3" fillId="7" borderId="24" xfId="0" applyFont="1" applyFill="1" applyBorder="1" applyAlignment="1">
      <alignment horizontal="center" vertical="top" wrapText="1"/>
    </xf>
    <xf numFmtId="0" fontId="3" fillId="7" borderId="25" xfId="0" applyFont="1" applyFill="1" applyBorder="1" applyAlignment="1">
      <alignment horizontal="center" vertical="top" wrapText="1"/>
    </xf>
    <xf numFmtId="0" fontId="3" fillId="2" borderId="26" xfId="0" applyFont="1" applyFill="1" applyBorder="1" applyAlignment="1">
      <alignment horizontal="center" vertical="top" wrapText="1"/>
    </xf>
    <xf numFmtId="0" fontId="3" fillId="2" borderId="27" xfId="0" applyFont="1" applyFill="1" applyBorder="1" applyAlignment="1">
      <alignment horizontal="center" vertical="top" wrapText="1"/>
    </xf>
    <xf numFmtId="0" fontId="3" fillId="2" borderId="28" xfId="0" applyFont="1" applyFill="1" applyBorder="1" applyAlignment="1">
      <alignment horizontal="center" vertical="top" wrapText="1"/>
    </xf>
    <xf numFmtId="0" fontId="3" fillId="7" borderId="29" xfId="0" applyFont="1" applyFill="1" applyBorder="1" applyAlignment="1">
      <alignment horizontal="center" vertical="top" wrapText="1"/>
    </xf>
    <xf numFmtId="0" fontId="3" fillId="15" borderId="5" xfId="0" applyFont="1" applyFill="1" applyBorder="1" applyAlignment="1">
      <alignment horizontal="center" vertical="top" wrapText="1"/>
    </xf>
    <xf numFmtId="2" fontId="3" fillId="15" borderId="6" xfId="0" applyNumberFormat="1" applyFont="1" applyFill="1" applyBorder="1" applyAlignment="1">
      <alignment horizontal="center" vertical="top" wrapText="1"/>
    </xf>
    <xf numFmtId="165" fontId="0" fillId="0" borderId="0" xfId="0" applyNumberFormat="1"/>
    <xf numFmtId="164" fontId="0" fillId="0" borderId="0" xfId="0" applyNumberFormat="1"/>
    <xf numFmtId="0" fontId="0" fillId="0" borderId="0" xfId="0" applyNumberFormat="1"/>
    <xf numFmtId="0" fontId="7" fillId="4" borderId="2" xfId="0" applyNumberFormat="1" applyFont="1" applyFill="1" applyBorder="1" applyAlignment="1"/>
    <xf numFmtId="0" fontId="3" fillId="2" borderId="6" xfId="0" applyNumberFormat="1" applyFont="1" applyFill="1" applyBorder="1" applyAlignment="1">
      <alignment horizontal="center" vertical="top" wrapText="1"/>
    </xf>
    <xf numFmtId="170" fontId="0" fillId="0" borderId="0" xfId="0" applyNumberFormat="1" applyAlignment="1">
      <alignment horizontal="left" indent="1"/>
    </xf>
    <xf numFmtId="170" fontId="0" fillId="0" borderId="0" xfId="0" applyNumberFormat="1"/>
    <xf numFmtId="173" fontId="18" fillId="3" borderId="0" xfId="0" applyNumberFormat="1" applyFont="1" applyFill="1" applyBorder="1" applyAlignment="1" applyProtection="1">
      <alignment horizontal="center"/>
    </xf>
    <xf numFmtId="173" fontId="27" fillId="3" borderId="0" xfId="0" applyNumberFormat="1" applyFont="1" applyFill="1" applyBorder="1" applyAlignment="1" applyProtection="1">
      <alignment horizontal="center"/>
    </xf>
    <xf numFmtId="0" fontId="0" fillId="0" borderId="30" xfId="0" applyBorder="1"/>
    <xf numFmtId="0" fontId="0" fillId="0" borderId="31" xfId="0" applyBorder="1"/>
    <xf numFmtId="0" fontId="8" fillId="0" borderId="30" xfId="0" applyFont="1" applyBorder="1"/>
    <xf numFmtId="0" fontId="0" fillId="14" borderId="0" xfId="0" applyFill="1" applyBorder="1"/>
    <xf numFmtId="0" fontId="0" fillId="0" borderId="32" xfId="0" applyBorder="1"/>
    <xf numFmtId="0" fontId="0" fillId="0" borderId="33" xfId="0" applyBorder="1"/>
    <xf numFmtId="0" fontId="0" fillId="0" borderId="34" xfId="0" applyBorder="1"/>
    <xf numFmtId="0" fontId="0" fillId="0" borderId="2" xfId="0" applyBorder="1"/>
    <xf numFmtId="0" fontId="0" fillId="0" borderId="3" xfId="0" applyBorder="1"/>
    <xf numFmtId="0" fontId="7" fillId="0" borderId="30" xfId="0" applyFont="1" applyBorder="1"/>
    <xf numFmtId="0" fontId="7" fillId="13" borderId="0" xfId="0" applyFont="1" applyFill="1" applyBorder="1"/>
    <xf numFmtId="0" fontId="8" fillId="13" borderId="0" xfId="0" applyFont="1" applyFill="1" applyBorder="1"/>
    <xf numFmtId="0" fontId="3" fillId="0" borderId="30" xfId="0" applyFont="1" applyBorder="1"/>
    <xf numFmtId="0" fontId="3" fillId="0" borderId="32" xfId="0" applyFont="1" applyBorder="1"/>
    <xf numFmtId="0" fontId="7" fillId="13" borderId="33" xfId="0" applyFont="1" applyFill="1" applyBorder="1"/>
    <xf numFmtId="11" fontId="0" fillId="14" borderId="0" xfId="0" applyNumberFormat="1" applyFill="1" applyBorder="1"/>
    <xf numFmtId="0" fontId="0" fillId="13" borderId="0" xfId="0" applyFill="1" applyBorder="1"/>
    <xf numFmtId="1" fontId="3" fillId="13" borderId="0" xfId="0" applyNumberFormat="1" applyFont="1" applyFill="1" applyBorder="1" applyAlignment="1">
      <alignment horizontal="right"/>
    </xf>
    <xf numFmtId="0" fontId="3" fillId="13" borderId="0" xfId="0" applyFont="1" applyFill="1" applyBorder="1"/>
    <xf numFmtId="11" fontId="0" fillId="13" borderId="0" xfId="0" applyNumberFormat="1" applyFill="1" applyBorder="1"/>
    <xf numFmtId="168" fontId="0" fillId="13" borderId="33" xfId="0" applyNumberFormat="1" applyFill="1" applyBorder="1"/>
    <xf numFmtId="0" fontId="7" fillId="0" borderId="32" xfId="0" applyFont="1" applyBorder="1"/>
    <xf numFmtId="0" fontId="0" fillId="4" borderId="33" xfId="0" applyFill="1" applyBorder="1"/>
    <xf numFmtId="172" fontId="0" fillId="13" borderId="0" xfId="0" applyNumberFormat="1" applyFill="1" applyBorder="1"/>
    <xf numFmtId="0" fontId="0" fillId="0" borderId="0" xfId="0" applyBorder="1" applyAlignment="1">
      <alignment horizontal="right"/>
    </xf>
    <xf numFmtId="0" fontId="0" fillId="0" borderId="33" xfId="0" applyBorder="1" applyAlignment="1">
      <alignment horizontal="right"/>
    </xf>
    <xf numFmtId="0" fontId="0" fillId="5" borderId="0" xfId="0" applyFill="1" applyBorder="1"/>
    <xf numFmtId="0" fontId="7" fillId="0" borderId="0" xfId="0" applyFont="1" applyBorder="1"/>
    <xf numFmtId="0" fontId="3" fillId="0" borderId="0" xfId="0" applyFont="1" applyBorder="1"/>
    <xf numFmtId="11" fontId="7" fillId="0" borderId="33" xfId="0" applyNumberFormat="1" applyFont="1" applyBorder="1"/>
    <xf numFmtId="11" fontId="0" fillId="4" borderId="0" xfId="0" applyNumberFormat="1" applyFill="1" applyBorder="1"/>
    <xf numFmtId="0" fontId="3" fillId="5" borderId="0" xfId="0" applyFont="1" applyFill="1" applyBorder="1"/>
    <xf numFmtId="0" fontId="0" fillId="2" borderId="0" xfId="0" applyFill="1" applyProtection="1">
      <protection locked="0"/>
    </xf>
    <xf numFmtId="0" fontId="0" fillId="2" borderId="11" xfId="0" applyFill="1" applyBorder="1" applyProtection="1">
      <protection locked="0"/>
    </xf>
    <xf numFmtId="0" fontId="0" fillId="10" borderId="0" xfId="0" applyFill="1" applyBorder="1"/>
    <xf numFmtId="0" fontId="0" fillId="0" borderId="8" xfId="0" applyFill="1" applyBorder="1"/>
    <xf numFmtId="0" fontId="0" fillId="4" borderId="13" xfId="0" applyFill="1" applyBorder="1"/>
    <xf numFmtId="0" fontId="0" fillId="7" borderId="11" xfId="0" applyFill="1" applyBorder="1"/>
    <xf numFmtId="0" fontId="16" fillId="7" borderId="11" xfId="0" applyFont="1" applyFill="1" applyBorder="1"/>
    <xf numFmtId="0" fontId="8" fillId="7" borderId="11" xfId="0" applyFont="1" applyFill="1" applyBorder="1" applyAlignment="1"/>
    <xf numFmtId="0" fontId="8" fillId="10" borderId="11" xfId="0" applyFont="1" applyFill="1" applyBorder="1"/>
    <xf numFmtId="0" fontId="3" fillId="0" borderId="0" xfId="0" applyFont="1" applyFill="1" applyBorder="1" applyAlignment="1"/>
    <xf numFmtId="0" fontId="8" fillId="0" borderId="0" xfId="0" applyFont="1" applyFill="1" applyBorder="1" applyAlignment="1"/>
    <xf numFmtId="0" fontId="8" fillId="0" borderId="0" xfId="0" applyFont="1" applyFill="1" applyBorder="1"/>
    <xf numFmtId="0" fontId="18" fillId="3" borderId="0" xfId="0" applyFont="1" applyFill="1" applyBorder="1" applyProtection="1"/>
    <xf numFmtId="0" fontId="18" fillId="3" borderId="0" xfId="0" applyFont="1" applyFill="1" applyProtection="1"/>
    <xf numFmtId="0" fontId="19" fillId="10" borderId="0" xfId="0" applyFont="1" applyFill="1" applyBorder="1" applyAlignment="1" applyProtection="1"/>
    <xf numFmtId="0" fontId="18" fillId="10" borderId="0" xfId="0" applyFont="1" applyFill="1" applyBorder="1" applyAlignment="1" applyProtection="1">
      <alignment horizontal="right"/>
    </xf>
    <xf numFmtId="0" fontId="19" fillId="10" borderId="0" xfId="0" applyFont="1" applyFill="1" applyBorder="1" applyAlignment="1" applyProtection="1">
      <alignment horizontal="right"/>
    </xf>
    <xf numFmtId="0" fontId="18" fillId="10" borderId="0" xfId="0" applyFont="1" applyFill="1" applyBorder="1" applyProtection="1"/>
    <xf numFmtId="0" fontId="27" fillId="16" borderId="21" xfId="0" applyFont="1" applyFill="1" applyBorder="1" applyProtection="1"/>
    <xf numFmtId="0" fontId="27" fillId="16" borderId="22" xfId="0" applyFont="1" applyFill="1" applyBorder="1" applyProtection="1"/>
    <xf numFmtId="0" fontId="27" fillId="3" borderId="0" xfId="0" applyFont="1" applyFill="1" applyProtection="1"/>
    <xf numFmtId="0" fontId="18" fillId="10" borderId="0" xfId="0" applyFont="1" applyFill="1" applyBorder="1" applyAlignment="1" applyProtection="1">
      <alignment horizontal="center"/>
    </xf>
    <xf numFmtId="0" fontId="18" fillId="10" borderId="0" xfId="0" applyFont="1" applyFill="1" applyBorder="1" applyAlignment="1" applyProtection="1">
      <alignment horizontal="left"/>
    </xf>
    <xf numFmtId="173" fontId="18" fillId="3" borderId="0" xfId="0" applyNumberFormat="1" applyFont="1" applyFill="1" applyAlignment="1" applyProtection="1">
      <alignment horizontal="center"/>
    </xf>
    <xf numFmtId="0" fontId="23" fillId="0" borderId="0" xfId="0" applyFont="1" applyBorder="1"/>
    <xf numFmtId="0" fontId="3" fillId="0" borderId="0" xfId="0" applyFont="1" applyBorder="1" applyAlignment="1">
      <alignment horizontal="center"/>
    </xf>
    <xf numFmtId="0" fontId="0" fillId="0" borderId="1" xfId="0" applyBorder="1"/>
    <xf numFmtId="0" fontId="7" fillId="0" borderId="1" xfId="0" applyFont="1" applyBorder="1"/>
    <xf numFmtId="0" fontId="7" fillId="13" borderId="2" xfId="0" applyFont="1" applyFill="1" applyBorder="1"/>
    <xf numFmtId="0" fontId="3" fillId="0" borderId="1" xfId="0" applyFont="1" applyBorder="1"/>
    <xf numFmtId="2" fontId="7" fillId="4" borderId="2" xfId="0" applyNumberFormat="1" applyFont="1" applyFill="1" applyBorder="1"/>
    <xf numFmtId="0" fontId="0" fillId="13" borderId="2" xfId="0" applyFill="1" applyBorder="1"/>
    <xf numFmtId="0" fontId="0" fillId="0" borderId="2" xfId="0" applyBorder="1" applyAlignment="1">
      <alignment horizontal="right"/>
    </xf>
    <xf numFmtId="0" fontId="24" fillId="0" borderId="0" xfId="0" applyFont="1" applyBorder="1"/>
    <xf numFmtId="0" fontId="3" fillId="0" borderId="30" xfId="0" applyFont="1" applyFill="1" applyBorder="1"/>
    <xf numFmtId="0" fontId="8" fillId="0" borderId="30" xfId="0" applyFont="1" applyFill="1" applyBorder="1"/>
    <xf numFmtId="0" fontId="0" fillId="0" borderId="2" xfId="0" applyBorder="1" applyAlignment="1"/>
    <xf numFmtId="0" fontId="0" fillId="17" borderId="0" xfId="0" applyFill="1" applyBorder="1"/>
    <xf numFmtId="2" fontId="0" fillId="18" borderId="0" xfId="0" applyNumberFormat="1" applyFill="1" applyBorder="1"/>
    <xf numFmtId="0" fontId="32" fillId="0" borderId="0" xfId="0" applyFont="1" applyBorder="1"/>
    <xf numFmtId="0" fontId="32" fillId="4" borderId="0" xfId="0" applyFont="1" applyFill="1" applyBorder="1"/>
    <xf numFmtId="0" fontId="0" fillId="0" borderId="0" xfId="0" applyFont="1" applyFill="1" applyBorder="1"/>
    <xf numFmtId="0" fontId="23" fillId="0" borderId="40" xfId="0" applyFont="1" applyBorder="1"/>
    <xf numFmtId="0" fontId="0" fillId="0" borderId="35" xfId="0" applyBorder="1"/>
    <xf numFmtId="0" fontId="0" fillId="0" borderId="37" xfId="0" applyBorder="1"/>
    <xf numFmtId="0" fontId="8" fillId="0" borderId="41" xfId="0" applyFont="1" applyBorder="1"/>
    <xf numFmtId="0" fontId="0" fillId="0" borderId="38" xfId="0" applyBorder="1"/>
    <xf numFmtId="0" fontId="32" fillId="0" borderId="41" xfId="0" applyFont="1" applyBorder="1"/>
    <xf numFmtId="0" fontId="32" fillId="0" borderId="41" xfId="0" applyFont="1" applyFill="1" applyBorder="1"/>
    <xf numFmtId="0" fontId="32" fillId="0" borderId="42" xfId="0" applyFont="1" applyBorder="1"/>
    <xf numFmtId="0" fontId="32" fillId="0" borderId="36" xfId="0" applyFont="1" applyBorder="1"/>
    <xf numFmtId="0" fontId="0" fillId="0" borderId="36" xfId="0" applyBorder="1"/>
    <xf numFmtId="0" fontId="0" fillId="0" borderId="39" xfId="0" applyBorder="1"/>
    <xf numFmtId="0" fontId="32" fillId="18" borderId="0" xfId="0" applyFont="1" applyFill="1" applyBorder="1"/>
    <xf numFmtId="0" fontId="0" fillId="18" borderId="0" xfId="0" applyFill="1" applyBorder="1"/>
    <xf numFmtId="0" fontId="32" fillId="18" borderId="36" xfId="0" applyFont="1" applyFill="1" applyBorder="1"/>
    <xf numFmtId="0" fontId="8" fillId="0" borderId="33" xfId="0" applyFont="1" applyBorder="1"/>
    <xf numFmtId="0" fontId="8" fillId="14" borderId="0" xfId="0" applyFont="1" applyFill="1" applyBorder="1"/>
    <xf numFmtId="0" fontId="18" fillId="10" borderId="31" xfId="0" applyFont="1" applyFill="1" applyBorder="1" applyProtection="1"/>
    <xf numFmtId="0" fontId="20" fillId="10" borderId="0" xfId="0" applyFont="1" applyFill="1" applyBorder="1" applyProtection="1"/>
    <xf numFmtId="2" fontId="18" fillId="10" borderId="0" xfId="0" applyNumberFormat="1" applyFont="1" applyFill="1" applyBorder="1" applyProtection="1"/>
    <xf numFmtId="167" fontId="18" fillId="10" borderId="0" xfId="0" applyNumberFormat="1" applyFont="1" applyFill="1" applyBorder="1" applyProtection="1"/>
    <xf numFmtId="171" fontId="18" fillId="10" borderId="0" xfId="0" applyNumberFormat="1" applyFont="1" applyFill="1" applyBorder="1" applyProtection="1"/>
    <xf numFmtId="166" fontId="18" fillId="10" borderId="0" xfId="0" applyNumberFormat="1" applyFont="1" applyFill="1" applyBorder="1" applyProtection="1"/>
    <xf numFmtId="2" fontId="7" fillId="4" borderId="0" xfId="0" applyNumberFormat="1" applyFont="1" applyFill="1" applyBorder="1"/>
    <xf numFmtId="168" fontId="0" fillId="13" borderId="0" xfId="0" applyNumberFormat="1" applyFill="1" applyBorder="1"/>
    <xf numFmtId="0" fontId="8" fillId="13" borderId="33" xfId="0" applyFont="1" applyFill="1" applyBorder="1"/>
    <xf numFmtId="0" fontId="11" fillId="0" borderId="0" xfId="2" applyAlignment="1" applyProtection="1"/>
    <xf numFmtId="2" fontId="32" fillId="13" borderId="0" xfId="0" applyNumberFormat="1" applyFont="1" applyFill="1" applyBorder="1"/>
    <xf numFmtId="167" fontId="32" fillId="18" borderId="0" xfId="0" applyNumberFormat="1" applyFont="1" applyFill="1" applyBorder="1"/>
    <xf numFmtId="0" fontId="18" fillId="19" borderId="0" xfId="0" applyFont="1" applyFill="1" applyProtection="1"/>
    <xf numFmtId="0" fontId="0" fillId="0" borderId="30" xfId="0" applyFill="1" applyBorder="1"/>
    <xf numFmtId="0" fontId="2" fillId="0" borderId="0" xfId="0" applyFont="1"/>
    <xf numFmtId="0" fontId="2" fillId="0" borderId="0" xfId="0" applyFont="1" applyBorder="1"/>
    <xf numFmtId="2" fontId="2" fillId="0" borderId="0" xfId="0" quotePrefix="1" applyNumberFormat="1" applyFont="1" applyBorder="1"/>
    <xf numFmtId="0" fontId="0" fillId="0" borderId="0" xfId="0" applyBorder="1" applyAlignment="1">
      <alignment horizontal="left"/>
    </xf>
    <xf numFmtId="0" fontId="2" fillId="0" borderId="2" xfId="0" applyFont="1" applyBorder="1"/>
    <xf numFmtId="0" fontId="0" fillId="0" borderId="32" xfId="0" applyFill="1" applyBorder="1"/>
    <xf numFmtId="0" fontId="2" fillId="0" borderId="33" xfId="0" applyFont="1" applyBorder="1"/>
    <xf numFmtId="0" fontId="34" fillId="10" borderId="0" xfId="0" applyFont="1" applyFill="1" applyBorder="1" applyAlignment="1" applyProtection="1"/>
    <xf numFmtId="0" fontId="18" fillId="19" borderId="0" xfId="0" applyFont="1" applyFill="1" applyBorder="1" applyProtection="1"/>
    <xf numFmtId="0" fontId="22" fillId="22" borderId="0" xfId="0" applyFont="1" applyFill="1" applyBorder="1" applyAlignment="1" applyProtection="1">
      <alignment vertical="center"/>
    </xf>
    <xf numFmtId="0" fontId="0" fillId="21" borderId="0" xfId="0" applyFill="1"/>
    <xf numFmtId="0" fontId="49" fillId="21" borderId="0" xfId="0" applyFont="1" applyFill="1"/>
    <xf numFmtId="0" fontId="25" fillId="10" borderId="0" xfId="0" applyNumberFormat="1" applyFont="1" applyFill="1" applyBorder="1" applyAlignment="1" applyProtection="1">
      <alignment horizontal="right"/>
    </xf>
    <xf numFmtId="0" fontId="3" fillId="10" borderId="0" xfId="0" applyFont="1" applyFill="1" applyBorder="1" applyAlignment="1" applyProtection="1">
      <alignment horizontal="right"/>
    </xf>
    <xf numFmtId="0" fontId="2" fillId="10" borderId="0" xfId="0" applyFont="1" applyFill="1" applyBorder="1" applyAlignment="1" applyProtection="1">
      <alignment horizontal="right"/>
    </xf>
    <xf numFmtId="0" fontId="2" fillId="10" borderId="33" xfId="0" applyFont="1" applyFill="1" applyBorder="1" applyAlignment="1" applyProtection="1">
      <alignment horizontal="right"/>
    </xf>
    <xf numFmtId="0" fontId="2" fillId="10" borderId="30" xfId="0" applyFont="1" applyFill="1" applyBorder="1" applyProtection="1"/>
    <xf numFmtId="0" fontId="2" fillId="10" borderId="0" xfId="0" applyFont="1" applyFill="1" applyBorder="1" applyProtection="1"/>
    <xf numFmtId="0" fontId="3" fillId="22" borderId="0" xfId="0" applyNumberFormat="1" applyFont="1" applyFill="1" applyBorder="1" applyProtection="1">
      <protection locked="0"/>
    </xf>
    <xf numFmtId="0" fontId="52" fillId="10" borderId="0" xfId="0" applyFont="1" applyFill="1" applyBorder="1" applyProtection="1"/>
    <xf numFmtId="1" fontId="3" fillId="22" borderId="0" xfId="0" applyNumberFormat="1" applyFont="1" applyFill="1" applyBorder="1" applyProtection="1">
      <protection locked="0"/>
    </xf>
    <xf numFmtId="0" fontId="53" fillId="10" borderId="0" xfId="0" applyFont="1" applyFill="1" applyBorder="1" applyProtection="1"/>
    <xf numFmtId="0" fontId="6" fillId="10" borderId="0" xfId="0" applyFont="1" applyFill="1" applyBorder="1" applyAlignment="1" applyProtection="1">
      <alignment horizontal="right"/>
    </xf>
    <xf numFmtId="0" fontId="51" fillId="10" borderId="0" xfId="0" applyFont="1" applyFill="1" applyBorder="1" applyProtection="1"/>
    <xf numFmtId="0" fontId="54" fillId="10" borderId="0" xfId="0" applyFont="1" applyFill="1" applyBorder="1" applyAlignment="1" applyProtection="1"/>
    <xf numFmtId="0" fontId="3" fillId="10" borderId="0" xfId="0" applyFont="1" applyFill="1" applyBorder="1" applyAlignment="1" applyProtection="1"/>
    <xf numFmtId="168" fontId="3" fillId="10" borderId="0" xfId="0" applyNumberFormat="1" applyFont="1" applyFill="1" applyBorder="1" applyAlignment="1" applyProtection="1"/>
    <xf numFmtId="0" fontId="54" fillId="10" borderId="0" xfId="0" applyFont="1" applyFill="1" applyBorder="1" applyProtection="1"/>
    <xf numFmtId="0" fontId="2" fillId="19" borderId="0" xfId="0" applyFont="1" applyFill="1" applyProtection="1"/>
    <xf numFmtId="0" fontId="3" fillId="10" borderId="0" xfId="0" applyFont="1" applyFill="1" applyBorder="1" applyProtection="1"/>
    <xf numFmtId="0" fontId="3" fillId="10" borderId="30" xfId="0" applyFont="1" applyFill="1" applyBorder="1" applyProtection="1"/>
    <xf numFmtId="0" fontId="3" fillId="22" borderId="0" xfId="0" applyFont="1" applyFill="1" applyBorder="1" applyProtection="1">
      <protection locked="0"/>
    </xf>
    <xf numFmtId="0" fontId="54" fillId="19" borderId="0" xfId="0" applyFont="1" applyFill="1" applyBorder="1" applyProtection="1"/>
    <xf numFmtId="1" fontId="51" fillId="10" borderId="0" xfId="0" applyNumberFormat="1" applyFont="1" applyFill="1" applyBorder="1" applyAlignment="1" applyProtection="1">
      <alignment horizontal="right"/>
    </xf>
    <xf numFmtId="0" fontId="56" fillId="16" borderId="21" xfId="0" applyFont="1" applyFill="1" applyBorder="1" applyProtection="1"/>
    <xf numFmtId="0" fontId="54" fillId="10" borderId="0" xfId="0" applyFont="1" applyFill="1" applyBorder="1" applyAlignment="1" applyProtection="1">
      <alignment vertical="center"/>
    </xf>
    <xf numFmtId="0" fontId="7" fillId="10" borderId="0" xfId="0" applyFont="1" applyFill="1" applyBorder="1" applyAlignment="1" applyProtection="1">
      <alignment horizontal="right"/>
    </xf>
    <xf numFmtId="168" fontId="7" fillId="10" borderId="0" xfId="0" applyNumberFormat="1" applyFont="1" applyFill="1" applyBorder="1" applyProtection="1"/>
    <xf numFmtId="0" fontId="7" fillId="10" borderId="0" xfId="0" applyFont="1" applyFill="1" applyBorder="1" applyProtection="1"/>
    <xf numFmtId="0" fontId="2" fillId="19" borderId="0" xfId="0" applyFont="1" applyFill="1" applyBorder="1" applyProtection="1"/>
    <xf numFmtId="168" fontId="3" fillId="19" borderId="0" xfId="0" applyNumberFormat="1" applyFont="1" applyFill="1" applyBorder="1" applyAlignment="1" applyProtection="1">
      <alignment horizontal="right" vertical="center"/>
    </xf>
    <xf numFmtId="168" fontId="2" fillId="19" borderId="0" xfId="0" applyNumberFormat="1" applyFont="1" applyFill="1" applyBorder="1" applyAlignment="1" applyProtection="1">
      <alignment horizontal="right"/>
    </xf>
    <xf numFmtId="0" fontId="2" fillId="19" borderId="0" xfId="0" applyFont="1" applyFill="1" applyBorder="1" applyAlignment="1" applyProtection="1">
      <alignment horizontal="left"/>
    </xf>
    <xf numFmtId="1" fontId="3" fillId="19" borderId="0" xfId="0" applyNumberFormat="1" applyFont="1" applyFill="1" applyBorder="1" applyAlignment="1" applyProtection="1">
      <alignment horizontal="right" vertical="center"/>
    </xf>
    <xf numFmtId="1" fontId="2" fillId="19" borderId="0" xfId="0" applyNumberFormat="1" applyFont="1" applyFill="1" applyBorder="1" applyAlignment="1" applyProtection="1">
      <alignment horizontal="right"/>
    </xf>
    <xf numFmtId="1" fontId="3" fillId="19" borderId="0" xfId="0" applyNumberFormat="1" applyFont="1" applyFill="1" applyBorder="1" applyAlignment="1" applyProtection="1">
      <alignment horizontal="right" vertical="center"/>
      <protection locked="0" hidden="1"/>
    </xf>
    <xf numFmtId="0" fontId="3" fillId="10" borderId="0" xfId="0" applyFont="1" applyFill="1" applyBorder="1" applyAlignment="1" applyProtection="1">
      <alignment horizontal="left"/>
    </xf>
    <xf numFmtId="0" fontId="57" fillId="10" borderId="0" xfId="0" applyFont="1" applyFill="1" applyBorder="1" applyProtection="1"/>
    <xf numFmtId="0" fontId="2" fillId="10" borderId="0" xfId="0" applyFont="1" applyFill="1" applyBorder="1" applyAlignment="1" applyProtection="1">
      <alignment horizontal="left"/>
    </xf>
    <xf numFmtId="0" fontId="55" fillId="22" borderId="0" xfId="0" applyNumberFormat="1" applyFont="1" applyFill="1" applyBorder="1" applyAlignment="1" applyProtection="1">
      <alignment horizontal="right"/>
      <protection locked="0" hidden="1"/>
    </xf>
    <xf numFmtId="0" fontId="59" fillId="16" borderId="21" xfId="0" applyFont="1" applyFill="1" applyBorder="1" applyProtection="1"/>
    <xf numFmtId="0" fontId="24" fillId="10" borderId="30" xfId="0" applyFont="1" applyFill="1" applyBorder="1" applyProtection="1"/>
    <xf numFmtId="0" fontId="24" fillId="10" borderId="30" xfId="0" applyFont="1" applyFill="1" applyBorder="1" applyAlignment="1" applyProtection="1"/>
    <xf numFmtId="2" fontId="2" fillId="10" borderId="0" xfId="0" applyNumberFormat="1" applyFont="1" applyFill="1" applyBorder="1" applyProtection="1"/>
    <xf numFmtId="168" fontId="2" fillId="10" borderId="0" xfId="0" applyNumberFormat="1" applyFont="1" applyFill="1" applyBorder="1" applyProtection="1"/>
    <xf numFmtId="1" fontId="2" fillId="10" borderId="0" xfId="0" applyNumberFormat="1" applyFont="1" applyFill="1" applyBorder="1" applyProtection="1"/>
    <xf numFmtId="168" fontId="2" fillId="10" borderId="0" xfId="0" applyNumberFormat="1" applyFont="1" applyFill="1" applyBorder="1" applyAlignment="1" applyProtection="1">
      <alignment horizontal="right"/>
    </xf>
    <xf numFmtId="1" fontId="2" fillId="10" borderId="0" xfId="0" applyNumberFormat="1" applyFont="1" applyFill="1" applyBorder="1" applyAlignment="1" applyProtection="1">
      <alignment horizontal="right"/>
    </xf>
    <xf numFmtId="0" fontId="61" fillId="10" borderId="0" xfId="0" applyFont="1" applyFill="1" applyBorder="1" applyAlignment="1" applyProtection="1">
      <alignment horizontal="right"/>
    </xf>
    <xf numFmtId="0" fontId="61" fillId="19" borderId="0" xfId="0" applyFont="1" applyFill="1" applyBorder="1" applyAlignment="1" applyProtection="1">
      <alignment horizontal="right"/>
    </xf>
    <xf numFmtId="1" fontId="61" fillId="22" borderId="0" xfId="0" applyNumberFormat="1" applyFont="1" applyFill="1" applyBorder="1" applyAlignment="1" applyProtection="1">
      <alignment horizontal="right"/>
      <protection locked="0"/>
    </xf>
    <xf numFmtId="0" fontId="61" fillId="22" borderId="0" xfId="0" applyNumberFormat="1" applyFont="1" applyFill="1" applyBorder="1" applyProtection="1">
      <protection locked="0"/>
    </xf>
    <xf numFmtId="168" fontId="61" fillId="22" borderId="0" xfId="0" applyNumberFormat="1" applyFont="1" applyFill="1" applyBorder="1" applyAlignment="1" applyProtection="1">
      <alignment horizontal="right" vertical="center"/>
      <protection locked="0" hidden="1"/>
    </xf>
    <xf numFmtId="1" fontId="61" fillId="22" borderId="0" xfId="0" applyNumberFormat="1" applyFont="1" applyFill="1" applyBorder="1" applyAlignment="1" applyProtection="1">
      <alignment horizontal="right" vertical="center"/>
      <protection locked="0" hidden="1"/>
    </xf>
    <xf numFmtId="0" fontId="2" fillId="10" borderId="2" xfId="0" applyFont="1" applyFill="1" applyBorder="1" applyProtection="1"/>
    <xf numFmtId="0" fontId="2" fillId="10" borderId="2" xfId="0" applyFont="1" applyFill="1" applyBorder="1" applyAlignment="1" applyProtection="1">
      <alignment horizontal="right"/>
    </xf>
    <xf numFmtId="0" fontId="61" fillId="10" borderId="2" xfId="0" applyFont="1" applyFill="1" applyBorder="1" applyAlignment="1" applyProtection="1">
      <alignment horizontal="right"/>
    </xf>
    <xf numFmtId="0" fontId="3" fillId="22" borderId="2" xfId="0" applyNumberFormat="1" applyFont="1" applyFill="1" applyBorder="1" applyProtection="1">
      <protection locked="0"/>
    </xf>
    <xf numFmtId="0" fontId="3" fillId="10" borderId="3" xfId="0" applyFont="1" applyFill="1" applyBorder="1" applyProtection="1"/>
    <xf numFmtId="0" fontId="3" fillId="10" borderId="31" xfId="0" applyFont="1" applyFill="1" applyBorder="1" applyProtection="1"/>
    <xf numFmtId="0" fontId="2" fillId="10" borderId="32" xfId="0" applyFont="1" applyFill="1" applyBorder="1" applyProtection="1"/>
    <xf numFmtId="0" fontId="2" fillId="10" borderId="33" xfId="0" applyFont="1" applyFill="1" applyBorder="1" applyProtection="1"/>
    <xf numFmtId="0" fontId="2" fillId="10" borderId="34" xfId="0" applyFont="1" applyFill="1" applyBorder="1" applyProtection="1"/>
    <xf numFmtId="43" fontId="60" fillId="10" borderId="2" xfId="1" applyFont="1" applyFill="1" applyBorder="1" applyAlignment="1" applyProtection="1">
      <alignment horizontal="right"/>
    </xf>
    <xf numFmtId="0" fontId="2" fillId="10" borderId="3" xfId="0" applyFont="1" applyFill="1" applyBorder="1" applyProtection="1"/>
    <xf numFmtId="0" fontId="2" fillId="10" borderId="31" xfId="0" applyFont="1" applyFill="1" applyBorder="1" applyProtection="1"/>
    <xf numFmtId="1" fontId="2" fillId="10" borderId="33" xfId="0" applyNumberFormat="1" applyFont="1" applyFill="1" applyBorder="1" applyProtection="1"/>
    <xf numFmtId="168" fontId="2" fillId="10" borderId="33" xfId="0" applyNumberFormat="1" applyFont="1" applyFill="1" applyBorder="1" applyProtection="1"/>
    <xf numFmtId="0" fontId="3" fillId="10" borderId="2" xfId="0" applyFont="1" applyFill="1" applyBorder="1" applyAlignment="1" applyProtection="1"/>
    <xf numFmtId="0" fontId="3" fillId="10" borderId="2" xfId="0" applyFont="1" applyFill="1" applyBorder="1" applyAlignment="1" applyProtection="1">
      <alignment horizontal="right"/>
    </xf>
    <xf numFmtId="1" fontId="3" fillId="22" borderId="2" xfId="0" applyNumberFormat="1" applyFont="1" applyFill="1" applyBorder="1" applyProtection="1">
      <protection locked="0"/>
    </xf>
    <xf numFmtId="0" fontId="3" fillId="10" borderId="2" xfId="0" applyFont="1" applyFill="1" applyBorder="1" applyProtection="1"/>
    <xf numFmtId="0" fontId="3" fillId="10" borderId="3" xfId="0" applyFont="1" applyFill="1" applyBorder="1" applyAlignment="1" applyProtection="1"/>
    <xf numFmtId="0" fontId="2" fillId="10" borderId="34" xfId="0" applyFont="1" applyFill="1" applyBorder="1" applyAlignment="1" applyProtection="1"/>
    <xf numFmtId="0" fontId="61" fillId="19" borderId="2" xfId="0" applyFont="1" applyFill="1" applyBorder="1" applyAlignment="1" applyProtection="1">
      <alignment horizontal="right"/>
    </xf>
    <xf numFmtId="0" fontId="3" fillId="22" borderId="2" xfId="0" applyFont="1" applyFill="1" applyBorder="1" applyProtection="1">
      <protection locked="0"/>
    </xf>
    <xf numFmtId="0" fontId="2" fillId="10" borderId="33" xfId="0" applyNumberFormat="1" applyFont="1" applyFill="1" applyBorder="1" applyAlignment="1" applyProtection="1">
      <alignment horizontal="right"/>
    </xf>
    <xf numFmtId="0" fontId="3" fillId="10" borderId="31" xfId="0" applyFont="1" applyFill="1" applyBorder="1" applyAlignment="1" applyProtection="1">
      <alignment horizontal="left"/>
    </xf>
    <xf numFmtId="168" fontId="2" fillId="10" borderId="2" xfId="0" applyNumberFormat="1" applyFont="1" applyFill="1" applyBorder="1" applyProtection="1"/>
    <xf numFmtId="0" fontId="2" fillId="19" borderId="43" xfId="0" applyFont="1" applyFill="1" applyBorder="1" applyAlignment="1" applyProtection="1">
      <alignment horizontal="left"/>
    </xf>
    <xf numFmtId="0" fontId="55" fillId="22" borderId="43" xfId="0" applyNumberFormat="1" applyFont="1" applyFill="1" applyBorder="1" applyAlignment="1" applyProtection="1">
      <alignment horizontal="right"/>
      <protection locked="0" hidden="1"/>
    </xf>
    <xf numFmtId="0" fontId="55" fillId="10" borderId="44" xfId="0" applyFont="1" applyFill="1" applyBorder="1" applyAlignment="1" applyProtection="1">
      <alignment horizontal="left"/>
    </xf>
    <xf numFmtId="0" fontId="55" fillId="10" borderId="31" xfId="0" applyFont="1" applyFill="1" applyBorder="1" applyAlignment="1" applyProtection="1">
      <alignment horizontal="left"/>
    </xf>
    <xf numFmtId="168" fontId="3" fillId="10" borderId="45" xfId="0" applyNumberFormat="1" applyFont="1" applyFill="1" applyBorder="1" applyAlignment="1" applyProtection="1">
      <alignment horizontal="right"/>
    </xf>
    <xf numFmtId="168" fontId="3" fillId="10" borderId="30" xfId="0" applyNumberFormat="1" applyFont="1" applyFill="1" applyBorder="1" applyAlignment="1" applyProtection="1">
      <alignment horizontal="right"/>
    </xf>
    <xf numFmtId="0" fontId="3" fillId="10" borderId="45" xfId="0" applyFont="1" applyFill="1" applyBorder="1" applyAlignment="1" applyProtection="1">
      <alignment horizontal="center"/>
    </xf>
    <xf numFmtId="0" fontId="3" fillId="10" borderId="30" xfId="0" applyFont="1" applyFill="1" applyBorder="1" applyAlignment="1" applyProtection="1">
      <alignment horizontal="center"/>
    </xf>
    <xf numFmtId="0" fontId="3" fillId="10" borderId="45" xfId="0" applyFont="1" applyFill="1" applyBorder="1" applyProtection="1"/>
    <xf numFmtId="0" fontId="3" fillId="10" borderId="43" xfId="0" applyFont="1" applyFill="1" applyBorder="1" applyProtection="1"/>
    <xf numFmtId="0" fontId="2" fillId="10" borderId="43" xfId="0" applyFont="1" applyFill="1" applyBorder="1" applyProtection="1"/>
    <xf numFmtId="0" fontId="2" fillId="10" borderId="44" xfId="0" applyFont="1" applyFill="1" applyBorder="1" applyProtection="1"/>
    <xf numFmtId="0" fontId="2" fillId="10" borderId="43" xfId="0" applyFont="1" applyFill="1" applyBorder="1" applyAlignment="1" applyProtection="1">
      <alignment vertical="center"/>
    </xf>
    <xf numFmtId="0" fontId="2" fillId="10" borderId="47" xfId="0" applyFont="1" applyFill="1" applyBorder="1" applyProtection="1"/>
    <xf numFmtId="0" fontId="3" fillId="10" borderId="47" xfId="0" applyFont="1" applyFill="1" applyBorder="1" applyAlignment="1" applyProtection="1">
      <alignment horizontal="right"/>
    </xf>
    <xf numFmtId="0" fontId="2" fillId="10" borderId="48" xfId="0" applyFont="1" applyFill="1" applyBorder="1" applyProtection="1"/>
    <xf numFmtId="0" fontId="2" fillId="19" borderId="47" xfId="0" applyFont="1" applyFill="1" applyBorder="1" applyAlignment="1" applyProtection="1">
      <alignment horizontal="left"/>
    </xf>
    <xf numFmtId="0" fontId="55" fillId="22" borderId="47" xfId="0" applyNumberFormat="1" applyFont="1" applyFill="1" applyBorder="1" applyAlignment="1" applyProtection="1">
      <alignment horizontal="right"/>
      <protection locked="0" hidden="1"/>
    </xf>
    <xf numFmtId="0" fontId="55" fillId="10" borderId="48" xfId="0" applyFont="1" applyFill="1" applyBorder="1" applyAlignment="1" applyProtection="1">
      <alignment horizontal="left"/>
    </xf>
    <xf numFmtId="0" fontId="58" fillId="10" borderId="46" xfId="0" applyFont="1" applyFill="1" applyBorder="1" applyAlignment="1" applyProtection="1">
      <alignment horizontal="left"/>
    </xf>
    <xf numFmtId="0" fontId="58" fillId="10" borderId="48" xfId="0" applyFont="1" applyFill="1" applyBorder="1" applyProtection="1"/>
    <xf numFmtId="0" fontId="3" fillId="10" borderId="44" xfId="0" applyFont="1" applyFill="1" applyBorder="1" applyAlignment="1" applyProtection="1">
      <alignment horizontal="left"/>
    </xf>
    <xf numFmtId="168" fontId="2" fillId="10" borderId="43" xfId="0" applyNumberFormat="1" applyFont="1" applyFill="1" applyBorder="1" applyAlignment="1" applyProtection="1">
      <alignment horizontal="left" vertical="center"/>
    </xf>
    <xf numFmtId="1" fontId="2" fillId="10" borderId="0" xfId="0" applyNumberFormat="1" applyFont="1" applyFill="1" applyBorder="1" applyAlignment="1" applyProtection="1">
      <alignment horizontal="left" vertical="center"/>
    </xf>
    <xf numFmtId="1" fontId="2" fillId="10" borderId="47" xfId="0" applyNumberFormat="1" applyFont="1" applyFill="1" applyBorder="1" applyAlignment="1" applyProtection="1">
      <alignment horizontal="left" vertical="center"/>
    </xf>
    <xf numFmtId="1" fontId="3" fillId="19" borderId="47" xfId="0" applyNumberFormat="1" applyFont="1" applyFill="1" applyBorder="1" applyAlignment="1" applyProtection="1">
      <alignment horizontal="right" vertical="center"/>
    </xf>
    <xf numFmtId="1" fontId="61" fillId="22" borderId="47" xfId="0" applyNumberFormat="1" applyFont="1" applyFill="1" applyBorder="1" applyAlignment="1" applyProtection="1">
      <alignment horizontal="right" vertical="center"/>
      <protection locked="0" hidden="1"/>
    </xf>
    <xf numFmtId="0" fontId="3" fillId="10" borderId="48" xfId="0" applyFont="1" applyFill="1" applyBorder="1" applyAlignment="1" applyProtection="1">
      <alignment horizontal="left"/>
    </xf>
    <xf numFmtId="0" fontId="24" fillId="10" borderId="30" xfId="0" applyFont="1" applyFill="1" applyBorder="1" applyAlignment="1" applyProtection="1">
      <alignment vertical="center"/>
    </xf>
    <xf numFmtId="0" fontId="2" fillId="10" borderId="45" xfId="0" applyFont="1" applyFill="1" applyBorder="1" applyProtection="1"/>
    <xf numFmtId="0" fontId="3" fillId="10" borderId="45" xfId="0" applyFont="1" applyFill="1" applyBorder="1" applyAlignment="1" applyProtection="1"/>
    <xf numFmtId="0" fontId="2" fillId="19" borderId="30" xfId="0" applyFont="1" applyFill="1" applyBorder="1" applyProtection="1"/>
    <xf numFmtId="1" fontId="3" fillId="19" borderId="30" xfId="0" applyNumberFormat="1" applyFont="1" applyFill="1" applyBorder="1" applyAlignment="1" applyProtection="1">
      <alignment horizontal="right" vertical="center"/>
    </xf>
    <xf numFmtId="0" fontId="3" fillId="10" borderId="32" xfId="0" applyFont="1" applyFill="1" applyBorder="1" applyAlignment="1" applyProtection="1">
      <alignment horizontal="center"/>
    </xf>
    <xf numFmtId="0" fontId="56" fillId="16" borderId="49" xfId="0" applyFont="1" applyFill="1" applyBorder="1" applyProtection="1"/>
    <xf numFmtId="0" fontId="18" fillId="3" borderId="30" xfId="0" applyFont="1" applyFill="1" applyBorder="1" applyProtection="1"/>
    <xf numFmtId="0" fontId="18" fillId="19" borderId="30" xfId="0" applyFont="1" applyFill="1" applyBorder="1" applyProtection="1"/>
    <xf numFmtId="0" fontId="18" fillId="19" borderId="43" xfId="0" applyFont="1" applyFill="1" applyBorder="1" applyProtection="1"/>
    <xf numFmtId="0" fontId="18" fillId="19" borderId="32" xfId="0" applyFont="1" applyFill="1" applyBorder="1" applyProtection="1"/>
    <xf numFmtId="0" fontId="18" fillId="19" borderId="47" xfId="0" applyFont="1" applyFill="1" applyBorder="1" applyProtection="1"/>
    <xf numFmtId="168" fontId="3" fillId="19" borderId="43" xfId="0" applyNumberFormat="1" applyFont="1" applyFill="1" applyBorder="1" applyAlignment="1" applyProtection="1">
      <alignment horizontal="right" vertical="center"/>
    </xf>
    <xf numFmtId="168" fontId="61" fillId="22" borderId="43" xfId="0" applyNumberFormat="1" applyFont="1" applyFill="1" applyBorder="1" applyAlignment="1" applyProtection="1">
      <alignment horizontal="right" vertical="center"/>
      <protection locked="0" hidden="1"/>
    </xf>
    <xf numFmtId="0" fontId="2" fillId="19" borderId="0" xfId="0" applyFont="1" applyFill="1" applyBorder="1" applyAlignment="1" applyProtection="1">
      <alignment horizontal="right"/>
      <protection locked="0"/>
    </xf>
    <xf numFmtId="0" fontId="3" fillId="0" borderId="44" xfId="0" applyFont="1" applyFill="1" applyBorder="1" applyAlignment="1" applyProtection="1">
      <alignment horizontal="left"/>
    </xf>
    <xf numFmtId="173" fontId="18" fillId="21" borderId="0" xfId="0" applyNumberFormat="1" applyFont="1" applyFill="1" applyBorder="1" applyAlignment="1" applyProtection="1">
      <alignment horizontal="center"/>
    </xf>
    <xf numFmtId="0" fontId="18" fillId="21" borderId="0" xfId="0" applyFont="1" applyFill="1" applyProtection="1"/>
    <xf numFmtId="173" fontId="27" fillId="21" borderId="0" xfId="0" applyNumberFormat="1" applyFont="1" applyFill="1" applyBorder="1" applyAlignment="1" applyProtection="1">
      <alignment horizontal="center"/>
    </xf>
    <xf numFmtId="0" fontId="27" fillId="21" borderId="0" xfId="0" applyFont="1" applyFill="1" applyProtection="1"/>
    <xf numFmtId="0" fontId="2" fillId="19" borderId="0" xfId="0" applyFont="1" applyFill="1" applyBorder="1" applyProtection="1">
      <protection locked="0"/>
    </xf>
    <xf numFmtId="0" fontId="2" fillId="10" borderId="46" xfId="0" applyFont="1" applyFill="1" applyBorder="1" applyProtection="1"/>
    <xf numFmtId="0" fontId="3" fillId="10" borderId="47" xfId="0" applyFont="1" applyFill="1" applyBorder="1" applyProtection="1"/>
    <xf numFmtId="0" fontId="2" fillId="10" borderId="50" xfId="0" applyFont="1" applyFill="1" applyBorder="1" applyProtection="1"/>
    <xf numFmtId="0" fontId="63" fillId="10" borderId="0" xfId="0" applyFont="1" applyFill="1" applyBorder="1" applyAlignment="1" applyProtection="1">
      <alignment horizontal="right"/>
    </xf>
    <xf numFmtId="0" fontId="65" fillId="10" borderId="0" xfId="0" applyFont="1" applyFill="1" applyBorder="1" applyProtection="1"/>
    <xf numFmtId="0" fontId="65" fillId="10" borderId="31" xfId="0" applyFont="1" applyFill="1" applyBorder="1" applyProtection="1"/>
    <xf numFmtId="173" fontId="65" fillId="21" borderId="0" xfId="0" applyNumberFormat="1" applyFont="1" applyFill="1" applyBorder="1" applyAlignment="1" applyProtection="1">
      <alignment horizontal="center"/>
    </xf>
    <xf numFmtId="0" fontId="65" fillId="21" borderId="0" xfId="0" applyFont="1" applyFill="1" applyProtection="1"/>
    <xf numFmtId="173" fontId="65" fillId="3" borderId="0" xfId="0" applyNumberFormat="1" applyFont="1" applyFill="1" applyBorder="1" applyAlignment="1" applyProtection="1">
      <alignment horizontal="center"/>
    </xf>
    <xf numFmtId="0" fontId="65" fillId="3" borderId="0" xfId="0" applyFont="1" applyFill="1" applyProtection="1"/>
    <xf numFmtId="0" fontId="63" fillId="10" borderId="43" xfId="0" applyFont="1" applyFill="1" applyBorder="1" applyAlignment="1" applyProtection="1">
      <alignment horizontal="right"/>
    </xf>
    <xf numFmtId="0" fontId="2" fillId="19" borderId="33" xfId="0" applyFont="1" applyFill="1" applyBorder="1" applyProtection="1"/>
    <xf numFmtId="0" fontId="18" fillId="10" borderId="33" xfId="0" applyFont="1" applyFill="1" applyBorder="1" applyProtection="1"/>
    <xf numFmtId="0" fontId="18" fillId="10" borderId="34" xfId="0" applyFont="1" applyFill="1" applyBorder="1" applyProtection="1"/>
    <xf numFmtId="0" fontId="64" fillId="10" borderId="30" xfId="0" applyFont="1" applyFill="1" applyBorder="1" applyAlignment="1" applyProtection="1">
      <alignment vertical="center"/>
    </xf>
    <xf numFmtId="0" fontId="63" fillId="10" borderId="0" xfId="0" applyFont="1" applyFill="1" applyBorder="1" applyAlignment="1" applyProtection="1">
      <alignment horizontal="right" vertical="center"/>
    </xf>
    <xf numFmtId="168" fontId="63" fillId="10" borderId="47" xfId="0" applyNumberFormat="1" applyFont="1" applyFill="1" applyBorder="1" applyAlignment="1" applyProtection="1">
      <alignment horizontal="center" vertical="center"/>
    </xf>
    <xf numFmtId="168" fontId="63" fillId="10" borderId="47" xfId="0" applyNumberFormat="1" applyFont="1" applyFill="1" applyBorder="1" applyAlignment="1" applyProtection="1">
      <alignment vertical="center"/>
    </xf>
    <xf numFmtId="0" fontId="63" fillId="0" borderId="0" xfId="0" applyFont="1" applyFill="1" applyBorder="1" applyAlignment="1" applyProtection="1">
      <alignment horizontal="left" vertical="center"/>
    </xf>
    <xf numFmtId="0" fontId="2" fillId="0" borderId="1" xfId="0" applyFont="1" applyBorder="1"/>
    <xf numFmtId="0" fontId="2" fillId="0" borderId="30" xfId="0" applyFont="1" applyBorder="1"/>
    <xf numFmtId="0" fontId="2" fillId="0" borderId="0" xfId="0" applyFont="1" applyFill="1" applyBorder="1"/>
    <xf numFmtId="2" fontId="0" fillId="0" borderId="0" xfId="0" applyNumberFormat="1" applyBorder="1" applyAlignment="1">
      <alignment horizontal="right"/>
    </xf>
    <xf numFmtId="0" fontId="2" fillId="10" borderId="0" xfId="0" applyNumberFormat="1" applyFont="1" applyFill="1" applyBorder="1" applyAlignment="1" applyProtection="1">
      <alignment horizontal="right"/>
    </xf>
    <xf numFmtId="0" fontId="3" fillId="22" borderId="0" xfId="0" applyNumberFormat="1" applyFont="1" applyFill="1" applyBorder="1" applyAlignment="1" applyProtection="1">
      <alignment horizontal="right"/>
      <protection locked="0"/>
    </xf>
    <xf numFmtId="0" fontId="68" fillId="0" borderId="0" xfId="0" applyFont="1" applyBorder="1"/>
    <xf numFmtId="0" fontId="2" fillId="10" borderId="0" xfId="3" applyFill="1"/>
    <xf numFmtId="49" fontId="2" fillId="10" borderId="0" xfId="3" applyNumberFormat="1" applyFill="1"/>
    <xf numFmtId="0" fontId="69" fillId="3" borderId="51" xfId="3" applyFont="1" applyFill="1" applyBorder="1" applyAlignment="1">
      <alignment horizontal="center"/>
    </xf>
    <xf numFmtId="0" fontId="69" fillId="3" borderId="52" xfId="3" applyFont="1" applyFill="1" applyBorder="1" applyAlignment="1">
      <alignment horizontal="center"/>
    </xf>
    <xf numFmtId="0" fontId="69" fillId="3" borderId="52" xfId="3" applyFont="1" applyFill="1" applyBorder="1" applyAlignment="1">
      <alignment horizontal="left"/>
    </xf>
    <xf numFmtId="0" fontId="12" fillId="10" borderId="0" xfId="3" applyFont="1" applyFill="1" applyAlignment="1">
      <alignment vertical="center"/>
    </xf>
    <xf numFmtId="0" fontId="2" fillId="23" borderId="18" xfId="3" applyFill="1" applyBorder="1" applyAlignment="1">
      <alignment horizontal="center" vertical="center"/>
    </xf>
    <xf numFmtId="0" fontId="2" fillId="10" borderId="18" xfId="3" applyFill="1" applyBorder="1" applyAlignment="1">
      <alignment horizontal="center" vertical="center"/>
    </xf>
    <xf numFmtId="0" fontId="2" fillId="10" borderId="11" xfId="3" applyFill="1" applyBorder="1" applyAlignment="1">
      <alignment vertical="center" wrapText="1"/>
    </xf>
    <xf numFmtId="0" fontId="2" fillId="10" borderId="11" xfId="3" applyFill="1" applyBorder="1" applyAlignment="1">
      <alignment horizontal="left" vertical="center"/>
    </xf>
    <xf numFmtId="0" fontId="2" fillId="10" borderId="0" xfId="3" applyFill="1" applyAlignment="1">
      <alignment vertical="center"/>
    </xf>
    <xf numFmtId="49" fontId="2" fillId="10" borderId="0" xfId="3" applyNumberFormat="1" applyFill="1" applyAlignment="1">
      <alignment vertical="center"/>
    </xf>
    <xf numFmtId="0" fontId="2" fillId="24" borderId="18" xfId="3" applyFill="1" applyBorder="1" applyAlignment="1">
      <alignment horizontal="center" vertical="center"/>
    </xf>
    <xf numFmtId="0" fontId="2" fillId="24" borderId="11" xfId="3" applyFill="1" applyBorder="1" applyAlignment="1">
      <alignment vertical="center" wrapText="1"/>
    </xf>
    <xf numFmtId="175" fontId="2" fillId="24" borderId="11" xfId="3" applyNumberFormat="1" applyFill="1" applyBorder="1" applyAlignment="1">
      <alignment horizontal="center" vertical="center"/>
    </xf>
    <xf numFmtId="0" fontId="2" fillId="24" borderId="11" xfId="3" quotePrefix="1" applyFill="1" applyBorder="1" applyAlignment="1">
      <alignment horizontal="left" vertical="center"/>
    </xf>
    <xf numFmtId="0" fontId="2" fillId="24" borderId="11" xfId="3" applyFill="1" applyBorder="1" applyAlignment="1">
      <alignment horizontal="left" vertical="center"/>
    </xf>
    <xf numFmtId="0" fontId="2" fillId="24" borderId="11" xfId="3" applyNumberFormat="1" applyFill="1" applyBorder="1" applyAlignment="1">
      <alignment horizontal="center" vertical="center"/>
    </xf>
    <xf numFmtId="0" fontId="2" fillId="19" borderId="18" xfId="3" applyFill="1" applyBorder="1" applyAlignment="1">
      <alignment horizontal="center" vertical="center"/>
    </xf>
    <xf numFmtId="0" fontId="2" fillId="19" borderId="11" xfId="3" applyFill="1" applyBorder="1" applyAlignment="1">
      <alignment vertical="center" wrapText="1"/>
    </xf>
    <xf numFmtId="175" fontId="2" fillId="19" borderId="11" xfId="3" applyNumberFormat="1" applyFill="1" applyBorder="1" applyAlignment="1">
      <alignment horizontal="center" vertical="center"/>
    </xf>
    <xf numFmtId="0" fontId="2" fillId="19" borderId="11" xfId="3" quotePrefix="1" applyFill="1" applyBorder="1" applyAlignment="1">
      <alignment horizontal="left" vertical="center"/>
    </xf>
    <xf numFmtId="0" fontId="2" fillId="19" borderId="11" xfId="3" applyFill="1" applyBorder="1" applyAlignment="1">
      <alignment horizontal="left" vertical="center"/>
    </xf>
    <xf numFmtId="177" fontId="2" fillId="10" borderId="11" xfId="3" applyNumberFormat="1" applyFill="1" applyBorder="1" applyAlignment="1">
      <alignment horizontal="center" vertical="center"/>
    </xf>
    <xf numFmtId="0" fontId="2" fillId="10" borderId="15" xfId="3" applyFill="1" applyBorder="1" applyAlignment="1">
      <alignment horizontal="left" vertical="center"/>
    </xf>
    <xf numFmtId="49" fontId="2" fillId="10" borderId="11" xfId="3" applyNumberFormat="1" applyFill="1" applyBorder="1" applyAlignment="1">
      <alignment horizontal="left" vertical="center"/>
    </xf>
    <xf numFmtId="0" fontId="2" fillId="23" borderId="11" xfId="3" applyFill="1" applyBorder="1" applyAlignment="1">
      <alignment vertical="center" wrapText="1"/>
    </xf>
    <xf numFmtId="176" fontId="2" fillId="23" borderId="11" xfId="3" applyNumberFormat="1" applyFill="1" applyBorder="1" applyAlignment="1">
      <alignment horizontal="center" vertical="center"/>
    </xf>
    <xf numFmtId="0" fontId="2" fillId="23" borderId="15" xfId="3" applyFill="1" applyBorder="1" applyAlignment="1">
      <alignment horizontal="left" vertical="center"/>
    </xf>
    <xf numFmtId="0" fontId="2" fillId="23" borderId="11" xfId="3" quotePrefix="1" applyFill="1" applyBorder="1" applyAlignment="1">
      <alignment horizontal="left" vertical="center"/>
    </xf>
    <xf numFmtId="0" fontId="2" fillId="23" borderId="11" xfId="3" applyFill="1" applyBorder="1" applyAlignment="1">
      <alignment horizontal="left" vertical="center"/>
    </xf>
    <xf numFmtId="176" fontId="2" fillId="19" borderId="11" xfId="3" applyNumberFormat="1" applyFill="1" applyBorder="1" applyAlignment="1">
      <alignment horizontal="center" vertical="center"/>
    </xf>
    <xf numFmtId="0" fontId="2" fillId="19" borderId="15" xfId="3" applyFill="1" applyBorder="1" applyAlignment="1">
      <alignment horizontal="left" vertical="center"/>
    </xf>
    <xf numFmtId="177" fontId="2" fillId="19" borderId="11" xfId="3" applyNumberFormat="1" applyFill="1" applyBorder="1" applyAlignment="1">
      <alignment horizontal="center" vertical="center"/>
    </xf>
    <xf numFmtId="177" fontId="2" fillId="23" borderId="11" xfId="3" applyNumberFormat="1" applyFill="1" applyBorder="1" applyAlignment="1">
      <alignment horizontal="center" vertical="center"/>
    </xf>
    <xf numFmtId="174" fontId="2" fillId="23" borderId="11" xfId="3" applyNumberFormat="1" applyFill="1" applyBorder="1" applyAlignment="1">
      <alignment horizontal="center" vertical="center"/>
    </xf>
    <xf numFmtId="0" fontId="2" fillId="19" borderId="11" xfId="3" applyFill="1" applyBorder="1" applyAlignment="1">
      <alignment horizontal="center" vertical="center"/>
    </xf>
    <xf numFmtId="49" fontId="2" fillId="19" borderId="11" xfId="3" applyNumberFormat="1" applyFill="1" applyBorder="1" applyAlignment="1">
      <alignment horizontal="left" vertical="center"/>
    </xf>
    <xf numFmtId="186" fontId="2" fillId="23" borderId="11" xfId="3" applyNumberFormat="1" applyFill="1" applyBorder="1" applyAlignment="1">
      <alignment horizontal="center" vertical="center"/>
    </xf>
    <xf numFmtId="0" fontId="2" fillId="10" borderId="11" xfId="0" applyFont="1" applyFill="1" applyBorder="1" applyAlignment="1">
      <alignment vertical="center" wrapText="1"/>
    </xf>
    <xf numFmtId="0" fontId="2" fillId="10" borderId="11" xfId="0" applyFont="1" applyFill="1" applyBorder="1" applyAlignment="1">
      <alignment horizontal="left" vertical="center"/>
    </xf>
    <xf numFmtId="49" fontId="2" fillId="10" borderId="11" xfId="0" applyNumberFormat="1" applyFont="1" applyFill="1" applyBorder="1" applyAlignment="1">
      <alignment horizontal="left" vertical="center"/>
    </xf>
    <xf numFmtId="0" fontId="2" fillId="19" borderId="11" xfId="3" applyNumberFormat="1" applyFill="1" applyBorder="1" applyAlignment="1">
      <alignment horizontal="center" vertical="center"/>
    </xf>
    <xf numFmtId="0" fontId="57" fillId="10" borderId="11" xfId="3" applyFont="1" applyFill="1" applyBorder="1" applyAlignment="1">
      <alignment horizontal="center" vertical="center"/>
    </xf>
    <xf numFmtId="0" fontId="3" fillId="10" borderId="18" xfId="3" applyFont="1" applyFill="1" applyBorder="1" applyAlignment="1">
      <alignment horizontal="center" vertical="center"/>
    </xf>
    <xf numFmtId="0" fontId="3" fillId="10" borderId="11" xfId="3" applyFont="1" applyFill="1" applyBorder="1" applyAlignment="1">
      <alignment vertical="center" wrapText="1"/>
    </xf>
    <xf numFmtId="0" fontId="3" fillId="10" borderId="11" xfId="3" applyFont="1" applyFill="1" applyBorder="1" applyAlignment="1">
      <alignment horizontal="left" vertical="center"/>
    </xf>
    <xf numFmtId="0" fontId="2" fillId="19" borderId="0" xfId="3" applyFill="1"/>
    <xf numFmtId="49" fontId="2" fillId="19" borderId="0" xfId="3" applyNumberFormat="1" applyFill="1"/>
    <xf numFmtId="0" fontId="3" fillId="19" borderId="45" xfId="0" applyFont="1" applyFill="1" applyBorder="1" applyProtection="1"/>
    <xf numFmtId="0" fontId="3" fillId="22" borderId="47" xfId="0" applyFont="1" applyFill="1" applyBorder="1" applyProtection="1">
      <protection locked="0"/>
    </xf>
    <xf numFmtId="0" fontId="3" fillId="22" borderId="0" xfId="0" applyFont="1" applyFill="1" applyBorder="1" applyAlignment="1" applyProtection="1">
      <alignment horizontal="right"/>
      <protection locked="0"/>
    </xf>
    <xf numFmtId="0" fontId="3" fillId="22" borderId="47" xfId="0" applyFont="1" applyFill="1" applyBorder="1" applyAlignment="1" applyProtection="1">
      <alignment horizontal="right"/>
      <protection locked="0"/>
    </xf>
    <xf numFmtId="0" fontId="70" fillId="19" borderId="0" xfId="0" applyFont="1" applyFill="1"/>
    <xf numFmtId="0" fontId="2" fillId="19" borderId="0" xfId="3" applyFont="1" applyFill="1"/>
    <xf numFmtId="168" fontId="3" fillId="22" borderId="0" xfId="0" applyNumberFormat="1" applyFont="1" applyFill="1" applyBorder="1" applyProtection="1">
      <protection locked="0"/>
    </xf>
    <xf numFmtId="0" fontId="3" fillId="10" borderId="0" xfId="3" applyFont="1" applyFill="1"/>
    <xf numFmtId="0" fontId="57" fillId="10" borderId="43" xfId="0" applyFont="1" applyFill="1" applyBorder="1" applyAlignment="1" applyProtection="1">
      <protection locked="0"/>
    </xf>
    <xf numFmtId="1" fontId="0" fillId="4" borderId="0" xfId="0" applyNumberFormat="1" applyFill="1" applyBorder="1"/>
    <xf numFmtId="0" fontId="57" fillId="10" borderId="30" xfId="0" applyFont="1" applyFill="1" applyBorder="1" applyAlignment="1" applyProtection="1">
      <alignment vertical="center"/>
    </xf>
    <xf numFmtId="0" fontId="0" fillId="14" borderId="2" xfId="0" applyNumberFormat="1" applyFill="1" applyBorder="1"/>
    <xf numFmtId="174" fontId="2" fillId="19" borderId="11" xfId="3" applyNumberFormat="1" applyFill="1" applyBorder="1" applyAlignment="1">
      <alignment horizontal="center" vertical="center"/>
    </xf>
    <xf numFmtId="0" fontId="3" fillId="5" borderId="56" xfId="0" applyFont="1" applyFill="1" applyBorder="1" applyAlignment="1"/>
    <xf numFmtId="0" fontId="3" fillId="5" borderId="0" xfId="0" applyFont="1" applyFill="1" applyBorder="1" applyAlignment="1"/>
    <xf numFmtId="2" fontId="7" fillId="13" borderId="0" xfId="0" applyNumberFormat="1" applyFont="1" applyFill="1" applyBorder="1"/>
    <xf numFmtId="168" fontId="7" fillId="13" borderId="0" xfId="0" applyNumberFormat="1" applyFont="1" applyFill="1" applyBorder="1"/>
    <xf numFmtId="169" fontId="7" fillId="13" borderId="0" xfId="0" applyNumberFormat="1" applyFont="1" applyFill="1" applyBorder="1"/>
    <xf numFmtId="11" fontId="7" fillId="13" borderId="0" xfId="0" applyNumberFormat="1" applyFont="1" applyFill="1" applyBorder="1"/>
    <xf numFmtId="0" fontId="22" fillId="25" borderId="49" xfId="0" applyFont="1" applyFill="1" applyBorder="1" applyProtection="1"/>
    <xf numFmtId="0" fontId="22" fillId="25" borderId="50" xfId="0" applyFont="1" applyFill="1" applyBorder="1" applyProtection="1"/>
    <xf numFmtId="0" fontId="18" fillId="25" borderId="50" xfId="0" applyFont="1" applyFill="1" applyBorder="1" applyProtection="1"/>
    <xf numFmtId="173" fontId="18" fillId="25" borderId="47" xfId="0" applyNumberFormat="1" applyFont="1" applyFill="1" applyBorder="1" applyAlignment="1" applyProtection="1">
      <alignment horizontal="center"/>
    </xf>
    <xf numFmtId="0" fontId="18" fillId="25" borderId="0" xfId="0" applyFont="1" applyFill="1" applyBorder="1" applyProtection="1"/>
    <xf numFmtId="173" fontId="18" fillId="25" borderId="0" xfId="0" applyNumberFormat="1" applyFont="1" applyFill="1" applyBorder="1" applyAlignment="1" applyProtection="1">
      <alignment horizontal="center"/>
    </xf>
    <xf numFmtId="173" fontId="65" fillId="25" borderId="0" xfId="0" applyNumberFormat="1" applyFont="1" applyFill="1" applyBorder="1" applyAlignment="1" applyProtection="1">
      <alignment horizontal="center"/>
    </xf>
    <xf numFmtId="173" fontId="27" fillId="25" borderId="0" xfId="0" applyNumberFormat="1" applyFont="1" applyFill="1" applyBorder="1" applyAlignment="1" applyProtection="1">
      <alignment horizontal="center"/>
    </xf>
    <xf numFmtId="0" fontId="28" fillId="25" borderId="0" xfId="0" applyFont="1" applyFill="1" applyBorder="1" applyAlignment="1" applyProtection="1">
      <alignment horizontal="left"/>
    </xf>
    <xf numFmtId="0" fontId="26" fillId="25" borderId="0" xfId="0" applyFont="1" applyFill="1" applyBorder="1" applyAlignment="1" applyProtection="1">
      <alignment horizontal="left" vertical="center"/>
    </xf>
    <xf numFmtId="0" fontId="67" fillId="25" borderId="0" xfId="0" applyFont="1" applyFill="1" applyBorder="1" applyAlignment="1" applyProtection="1">
      <alignment horizontal="left" vertical="center"/>
    </xf>
    <xf numFmtId="0" fontId="22" fillId="25" borderId="0" xfId="0" applyFont="1" applyFill="1" applyBorder="1" applyAlignment="1" applyProtection="1">
      <alignment vertical="center"/>
    </xf>
    <xf numFmtId="0" fontId="26" fillId="25" borderId="0" xfId="0" quotePrefix="1" applyFont="1" applyFill="1" applyBorder="1" applyAlignment="1" applyProtection="1">
      <alignment vertical="center"/>
    </xf>
    <xf numFmtId="0" fontId="31" fillId="25" borderId="0" xfId="0" applyFont="1" applyFill="1" applyBorder="1" applyAlignment="1" applyProtection="1">
      <alignment vertical="center"/>
    </xf>
    <xf numFmtId="0" fontId="31" fillId="25" borderId="0" xfId="0" applyFont="1" applyFill="1" applyBorder="1" applyProtection="1"/>
    <xf numFmtId="0" fontId="33" fillId="25" borderId="32" xfId="0" applyFont="1" applyFill="1" applyBorder="1" applyProtection="1"/>
    <xf numFmtId="0" fontId="33" fillId="25" borderId="33" xfId="0" applyFont="1" applyFill="1" applyBorder="1" applyProtection="1"/>
    <xf numFmtId="0" fontId="22" fillId="25" borderId="33" xfId="0" applyFont="1" applyFill="1" applyBorder="1" applyProtection="1"/>
    <xf numFmtId="0" fontId="29" fillId="25" borderId="33" xfId="0" applyFont="1" applyFill="1" applyBorder="1" applyProtection="1"/>
    <xf numFmtId="0" fontId="29" fillId="25" borderId="47" xfId="0" applyFont="1" applyFill="1" applyBorder="1" applyProtection="1"/>
    <xf numFmtId="0" fontId="28" fillId="25" borderId="57" xfId="0" applyFont="1" applyFill="1" applyBorder="1" applyAlignment="1" applyProtection="1">
      <alignment horizontal="left"/>
    </xf>
    <xf numFmtId="0" fontId="26" fillId="25" borderId="57" xfId="0" applyFont="1" applyFill="1" applyBorder="1" applyAlignment="1" applyProtection="1">
      <alignment horizontal="left" vertical="center"/>
    </xf>
    <xf numFmtId="0" fontId="73" fillId="25" borderId="0" xfId="2" applyFont="1" applyFill="1" applyBorder="1" applyAlignment="1" applyProtection="1">
      <alignment horizontal="left" vertical="center"/>
    </xf>
    <xf numFmtId="0" fontId="73" fillId="25" borderId="0" xfId="2" applyFont="1" applyFill="1" applyBorder="1" applyAlignment="1" applyProtection="1"/>
    <xf numFmtId="0" fontId="63" fillId="10" borderId="0" xfId="0" applyFont="1" applyFill="1" applyBorder="1" applyAlignment="1" applyProtection="1">
      <alignment horizontal="left" vertical="center"/>
    </xf>
    <xf numFmtId="0" fontId="26" fillId="25" borderId="0" xfId="0" applyFont="1" applyFill="1" applyBorder="1" applyAlignment="1" applyProtection="1">
      <alignment horizontal="center" vertical="center"/>
    </xf>
    <xf numFmtId="0" fontId="48" fillId="20" borderId="45" xfId="0" applyFont="1" applyFill="1" applyBorder="1" applyAlignment="1" applyProtection="1">
      <alignment horizontal="center" vertical="center"/>
    </xf>
    <xf numFmtId="0" fontId="48" fillId="20" borderId="43" xfId="0" applyFont="1" applyFill="1" applyBorder="1" applyAlignment="1" applyProtection="1">
      <alignment horizontal="center" vertical="center"/>
    </xf>
    <xf numFmtId="179" fontId="2" fillId="19" borderId="8" xfId="3" applyNumberFormat="1" applyFill="1" applyBorder="1" applyAlignment="1">
      <alignment horizontal="left" vertical="center"/>
    </xf>
    <xf numFmtId="0" fontId="0" fillId="0" borderId="9" xfId="0" applyBorder="1"/>
    <xf numFmtId="0" fontId="2" fillId="10" borderId="8" xfId="0" applyFont="1" applyFill="1" applyBorder="1" applyAlignment="1">
      <alignment horizontal="left" vertical="center"/>
    </xf>
    <xf numFmtId="0" fontId="0" fillId="10" borderId="9" xfId="0" applyFill="1" applyBorder="1" applyAlignment="1">
      <alignment horizontal="left" vertical="center"/>
    </xf>
    <xf numFmtId="0" fontId="0" fillId="10" borderId="15" xfId="0" applyFill="1" applyBorder="1" applyAlignment="1">
      <alignment horizontal="left" vertical="center"/>
    </xf>
    <xf numFmtId="188" fontId="2" fillId="24" borderId="8" xfId="3" applyNumberFormat="1" applyFill="1" applyBorder="1" applyAlignment="1">
      <alignment horizontal="left" vertical="center"/>
    </xf>
    <xf numFmtId="188" fontId="2" fillId="24" borderId="9" xfId="3" applyNumberFormat="1" applyFill="1" applyBorder="1" applyAlignment="1">
      <alignment horizontal="left" vertical="center"/>
    </xf>
    <xf numFmtId="188" fontId="2" fillId="24" borderId="15" xfId="3" applyNumberFormat="1" applyFill="1" applyBorder="1" applyAlignment="1">
      <alignment horizontal="left" vertical="center"/>
    </xf>
    <xf numFmtId="189" fontId="2" fillId="24" borderId="8" xfId="3" applyNumberFormat="1" applyFill="1" applyBorder="1" applyAlignment="1">
      <alignment horizontal="left" vertical="center"/>
    </xf>
    <xf numFmtId="189" fontId="2" fillId="24" borderId="9" xfId="3" applyNumberFormat="1" applyFill="1" applyBorder="1" applyAlignment="1">
      <alignment horizontal="left" vertical="center"/>
    </xf>
    <xf numFmtId="189" fontId="2" fillId="24" borderId="15" xfId="3" applyNumberFormat="1" applyFill="1" applyBorder="1" applyAlignment="1">
      <alignment horizontal="left" vertical="center"/>
    </xf>
    <xf numFmtId="187" fontId="2" fillId="23" borderId="8" xfId="3" applyNumberFormat="1" applyFill="1" applyBorder="1" applyAlignment="1">
      <alignment horizontal="left" vertical="center"/>
    </xf>
    <xf numFmtId="187" fontId="2" fillId="23" borderId="9" xfId="3" applyNumberFormat="1" applyFill="1" applyBorder="1" applyAlignment="1">
      <alignment horizontal="left" vertical="center"/>
    </xf>
    <xf numFmtId="187" fontId="2" fillId="23" borderId="15" xfId="3" applyNumberFormat="1" applyFill="1" applyBorder="1" applyAlignment="1">
      <alignment horizontal="left" vertical="center"/>
    </xf>
    <xf numFmtId="180" fontId="2" fillId="23" borderId="8" xfId="3" applyNumberFormat="1" applyFill="1" applyBorder="1" applyAlignment="1">
      <alignment horizontal="left" vertical="center"/>
    </xf>
    <xf numFmtId="180" fontId="2" fillId="23" borderId="9" xfId="3" applyNumberFormat="1" applyFill="1" applyBorder="1" applyAlignment="1">
      <alignment horizontal="left" vertical="center"/>
    </xf>
    <xf numFmtId="181" fontId="2" fillId="19" borderId="8" xfId="3" applyNumberFormat="1" applyFill="1" applyBorder="1" applyAlignment="1">
      <alignment horizontal="left" vertical="center"/>
    </xf>
    <xf numFmtId="181" fontId="2" fillId="19" borderId="9" xfId="3" applyNumberFormat="1" applyFill="1" applyBorder="1" applyAlignment="1">
      <alignment horizontal="left" vertical="center"/>
    </xf>
    <xf numFmtId="183" fontId="2" fillId="23" borderId="8" xfId="3" applyNumberFormat="1" applyFill="1" applyBorder="1" applyAlignment="1">
      <alignment horizontal="left" vertical="center"/>
    </xf>
    <xf numFmtId="183" fontId="2" fillId="23" borderId="9" xfId="3" applyNumberFormat="1" applyFill="1" applyBorder="1" applyAlignment="1">
      <alignment horizontal="left" vertical="center"/>
    </xf>
    <xf numFmtId="185" fontId="2" fillId="19" borderId="8" xfId="3" applyNumberFormat="1" applyFill="1" applyBorder="1" applyAlignment="1">
      <alignment horizontal="left" vertical="center"/>
    </xf>
    <xf numFmtId="185" fontId="2" fillId="19" borderId="9" xfId="3" applyNumberFormat="1" applyFill="1" applyBorder="1" applyAlignment="1">
      <alignment horizontal="left" vertical="center"/>
    </xf>
    <xf numFmtId="182" fontId="2" fillId="23" borderId="8" xfId="3" applyNumberFormat="1" applyFill="1" applyBorder="1" applyAlignment="1">
      <alignment horizontal="left" vertical="center"/>
    </xf>
    <xf numFmtId="182" fontId="2" fillId="23" borderId="9" xfId="3" applyNumberFormat="1" applyFill="1" applyBorder="1" applyAlignment="1">
      <alignment horizontal="left" vertical="center"/>
    </xf>
    <xf numFmtId="184" fontId="2" fillId="19" borderId="8" xfId="3" applyNumberFormat="1" applyFill="1" applyBorder="1" applyAlignment="1">
      <alignment horizontal="left" vertical="center"/>
    </xf>
    <xf numFmtId="184" fontId="2" fillId="19" borderId="9" xfId="3" applyNumberFormat="1" applyFill="1" applyBorder="1" applyAlignment="1">
      <alignment horizontal="left" vertical="center"/>
    </xf>
    <xf numFmtId="178" fontId="2" fillId="19" borderId="8" xfId="3" applyNumberFormat="1" applyFill="1" applyBorder="1" applyAlignment="1">
      <alignment horizontal="left" vertical="center"/>
    </xf>
    <xf numFmtId="178" fontId="2" fillId="19" borderId="9" xfId="3" applyNumberFormat="1" applyFill="1" applyBorder="1" applyAlignment="1">
      <alignment horizontal="left" vertical="center"/>
    </xf>
    <xf numFmtId="179" fontId="2" fillId="23" borderId="8" xfId="3" applyNumberFormat="1" applyFill="1" applyBorder="1" applyAlignment="1">
      <alignment horizontal="left" vertical="center"/>
    </xf>
    <xf numFmtId="179" fontId="2" fillId="23" borderId="9" xfId="3" applyNumberFormat="1" applyFill="1" applyBorder="1" applyAlignment="1">
      <alignment horizontal="left" vertical="center"/>
    </xf>
    <xf numFmtId="0" fontId="69" fillId="3" borderId="53" xfId="3" applyFont="1" applyFill="1" applyBorder="1" applyAlignment="1">
      <alignment horizontal="left"/>
    </xf>
    <xf numFmtId="0" fontId="69" fillId="3" borderId="54" xfId="3" applyFont="1" applyFill="1" applyBorder="1" applyAlignment="1">
      <alignment horizontal="left"/>
    </xf>
    <xf numFmtId="0" fontId="69" fillId="3" borderId="55" xfId="3" applyFont="1" applyFill="1" applyBorder="1" applyAlignment="1">
      <alignment horizontal="left"/>
    </xf>
    <xf numFmtId="0" fontId="3" fillId="10" borderId="8" xfId="3" applyFont="1" applyFill="1" applyBorder="1" applyAlignment="1">
      <alignment horizontal="left" vertical="center"/>
    </xf>
    <xf numFmtId="0" fontId="3" fillId="10" borderId="9" xfId="3" applyFont="1" applyFill="1" applyBorder="1" applyAlignment="1">
      <alignment horizontal="left" vertical="center"/>
    </xf>
    <xf numFmtId="0" fontId="3" fillId="10" borderId="15" xfId="3" applyFont="1" applyFill="1" applyBorder="1" applyAlignment="1">
      <alignment horizontal="left" vertical="center"/>
    </xf>
    <xf numFmtId="183" fontId="2" fillId="19" borderId="8" xfId="3" applyNumberFormat="1" applyFill="1" applyBorder="1" applyAlignment="1">
      <alignment horizontal="left" vertical="center"/>
    </xf>
    <xf numFmtId="183" fontId="2" fillId="19" borderId="9" xfId="3" applyNumberFormat="1" applyFill="1" applyBorder="1" applyAlignment="1">
      <alignment horizontal="left" vertical="center"/>
    </xf>
    <xf numFmtId="188" fontId="2" fillId="19" borderId="8" xfId="3" applyNumberFormat="1" applyFill="1" applyBorder="1" applyAlignment="1">
      <alignment horizontal="left" vertical="center"/>
    </xf>
    <xf numFmtId="188" fontId="2" fillId="19" borderId="9" xfId="3" applyNumberFormat="1" applyFill="1" applyBorder="1" applyAlignment="1">
      <alignment horizontal="left" vertical="center"/>
    </xf>
    <xf numFmtId="188" fontId="2" fillId="19" borderId="15" xfId="3" applyNumberFormat="1" applyFill="1" applyBorder="1" applyAlignment="1">
      <alignment horizontal="left" vertical="center"/>
    </xf>
    <xf numFmtId="190" fontId="2" fillId="19" borderId="8" xfId="3" applyNumberFormat="1" applyFill="1" applyBorder="1" applyAlignment="1">
      <alignment horizontal="left" vertical="center"/>
    </xf>
    <xf numFmtId="190" fontId="2" fillId="19" borderId="9" xfId="3" applyNumberFormat="1" applyFill="1" applyBorder="1" applyAlignment="1">
      <alignment horizontal="left" vertical="center"/>
    </xf>
    <xf numFmtId="190" fontId="2" fillId="19" borderId="15" xfId="3" applyNumberFormat="1" applyFill="1" applyBorder="1" applyAlignment="1">
      <alignment horizontal="left" vertical="center"/>
    </xf>
    <xf numFmtId="189" fontId="2" fillId="19" borderId="8" xfId="3" applyNumberFormat="1" applyFill="1" applyBorder="1" applyAlignment="1">
      <alignment horizontal="left" vertical="center"/>
    </xf>
    <xf numFmtId="189" fontId="2" fillId="19" borderId="9" xfId="3" applyNumberFormat="1" applyFill="1" applyBorder="1" applyAlignment="1">
      <alignment horizontal="left" vertical="center"/>
    </xf>
    <xf numFmtId="189" fontId="2" fillId="19" borderId="15" xfId="3" applyNumberFormat="1" applyFill="1" applyBorder="1" applyAlignment="1">
      <alignment horizontal="left" vertical="center"/>
    </xf>
    <xf numFmtId="181" fontId="2" fillId="10" borderId="8" xfId="3" applyNumberFormat="1" applyFill="1" applyBorder="1" applyAlignment="1">
      <alignment horizontal="left" vertical="center"/>
    </xf>
    <xf numFmtId="181" fontId="2" fillId="10" borderId="9" xfId="3" applyNumberFormat="1" applyFill="1" applyBorder="1" applyAlignment="1">
      <alignment horizontal="left" vertical="center"/>
    </xf>
    <xf numFmtId="184" fontId="2" fillId="23" borderId="8" xfId="3" applyNumberFormat="1" applyFill="1" applyBorder="1" applyAlignment="1">
      <alignment horizontal="left" vertical="center"/>
    </xf>
    <xf numFmtId="184" fontId="2" fillId="23" borderId="9" xfId="3" applyNumberFormat="1" applyFill="1" applyBorder="1" applyAlignment="1">
      <alignment horizontal="left" vertical="center"/>
    </xf>
    <xf numFmtId="0" fontId="46" fillId="19" borderId="30" xfId="0" applyFont="1" applyFill="1" applyBorder="1" applyAlignment="1" applyProtection="1">
      <alignment horizontal="left" vertical="center"/>
    </xf>
    <xf numFmtId="0" fontId="46" fillId="19" borderId="0" xfId="0" applyFont="1" applyFill="1" applyBorder="1" applyAlignment="1" applyProtection="1">
      <alignment horizontal="left" vertical="center"/>
    </xf>
    <xf numFmtId="0" fontId="3" fillId="0" borderId="0" xfId="0" applyFont="1" applyAlignment="1">
      <alignment horizontal="center"/>
    </xf>
    <xf numFmtId="0" fontId="4" fillId="3" borderId="0" xfId="0" applyFont="1" applyFill="1" applyAlignment="1">
      <alignment horizontal="center"/>
    </xf>
    <xf numFmtId="0" fontId="9" fillId="3" borderId="0" xfId="0" applyFont="1" applyFill="1" applyAlignment="1">
      <alignment horizontal="center"/>
    </xf>
    <xf numFmtId="0" fontId="3" fillId="2" borderId="0" xfId="0" applyFont="1" applyFill="1" applyAlignment="1">
      <alignment horizontal="center"/>
    </xf>
    <xf numFmtId="0" fontId="14" fillId="3" borderId="0" xfId="0" applyFont="1" applyFill="1" applyAlignment="1">
      <alignment horizontal="left"/>
    </xf>
    <xf numFmtId="0" fontId="3" fillId="0" borderId="0" xfId="0" applyFont="1" applyAlignment="1">
      <alignment horizontal="left" wrapText="1"/>
    </xf>
  </cellXfs>
  <cellStyles count="6">
    <cellStyle name="Comma" xfId="1" builtinId="3"/>
    <cellStyle name="Comma 2" xfId="5" xr:uid="{00000000-0005-0000-0000-000001000000}"/>
    <cellStyle name="Hyperlink" xfId="2" builtinId="8"/>
    <cellStyle name="Normal" xfId="0" builtinId="0"/>
    <cellStyle name="Normal 2" xfId="3" xr:uid="{00000000-0005-0000-0000-000004000000}"/>
    <cellStyle name="Normal 3" xfId="4" xr:uid="{00000000-0005-0000-0000-000005000000}"/>
  </cellStyles>
  <dxfs count="1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i val="0"/>
        <color rgb="FFFF0000"/>
      </font>
    </dxf>
    <dxf>
      <font>
        <b/>
        <i val="0"/>
        <condense val="0"/>
        <extend val="0"/>
        <color indexed="12"/>
      </font>
    </dxf>
    <dxf>
      <font>
        <b/>
        <i val="0"/>
        <condense val="0"/>
        <extend val="0"/>
        <color indexed="10"/>
      </font>
    </dxf>
    <dxf>
      <font>
        <b/>
        <i val="0"/>
        <condense val="0"/>
        <extend val="0"/>
        <color indexed="10"/>
      </font>
    </dxf>
    <dxf>
      <font>
        <b/>
        <i val="0"/>
        <color rgb="FFFF0000"/>
      </font>
    </dxf>
    <dxf>
      <font>
        <b/>
        <i val="0"/>
        <condense val="0"/>
        <extend val="0"/>
        <color indexed="10"/>
      </font>
    </dxf>
    <dxf>
      <font>
        <b/>
        <i val="0"/>
        <color rgb="FFFF0000"/>
      </font>
    </dxf>
  </dxfs>
  <tableStyles count="0" defaultTableStyle="TableStyleMedium9" defaultPivotStyle="PivotStyleLight16"/>
  <colors>
    <mruColors>
      <color rgb="FF0000FF"/>
      <color rgb="FF003366"/>
      <color rgb="FFCCFFFF"/>
      <color rgb="FFFFFF99"/>
      <color rgb="FF7030A0"/>
      <color rgb="FFD1979B"/>
      <color rgb="FFDBEEF4"/>
      <color rgb="FF96969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microsoft.com/office/2006/relationships/vbaProject" Target="vbaProject.bin"/><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pitchFamily="34" charset="0"/>
                <a:ea typeface="Calibri"/>
                <a:cs typeface="Arial" pitchFamily="34" charset="0"/>
              </a:defRPr>
            </a:pPr>
            <a:r>
              <a:rPr lang="en-US" sz="1800" u="none">
                <a:latin typeface="Arial" pitchFamily="34" charset="0"/>
                <a:cs typeface="Arial" pitchFamily="34" charset="0"/>
              </a:rPr>
              <a:t>Bode Plot </a:t>
            </a:r>
          </a:p>
        </c:rich>
      </c:tx>
      <c:layout>
        <c:manualLayout>
          <c:xMode val="edge"/>
          <c:yMode val="edge"/>
          <c:x val="0.10050639430091837"/>
          <c:y val="2.3290736067608779E-2"/>
        </c:manualLayout>
      </c:layout>
      <c:overlay val="0"/>
      <c:spPr>
        <a:noFill/>
        <a:ln w="25400">
          <a:noFill/>
        </a:ln>
      </c:spPr>
    </c:title>
    <c:autoTitleDeleted val="0"/>
    <c:plotArea>
      <c:layout>
        <c:manualLayout>
          <c:layoutTarget val="inner"/>
          <c:xMode val="edge"/>
          <c:yMode val="edge"/>
          <c:x val="8.6865550467700392E-2"/>
          <c:y val="0.11264619116931211"/>
          <c:w val="0.82929752780099952"/>
          <c:h val="0.76205184354221722"/>
        </c:manualLayout>
      </c:layout>
      <c:scatterChart>
        <c:scatterStyle val="smoothMarker"/>
        <c:varyColors val="0"/>
        <c:ser>
          <c:idx val="2"/>
          <c:order val="0"/>
          <c:tx>
            <c:v>Loop Gain</c:v>
          </c:tx>
          <c:spPr>
            <a:ln w="31750">
              <a:solidFill>
                <a:srgbClr val="FF0000"/>
              </a:solidFill>
              <a:prstDash val="solid"/>
            </a:ln>
          </c:spPr>
          <c:marker>
            <c:symbol val="none"/>
          </c:marker>
          <c:xVal>
            <c:numRef>
              <c:f>'Bode Plots Calculations'!$B$9:$B$676</c:f>
              <c:numCache>
                <c:formatCode>General</c:formatCode>
                <c:ptCount val="668"/>
                <c:pt idx="0">
                  <c:v>1E-3</c:v>
                </c:pt>
                <c:pt idx="1">
                  <c:v>2E-3</c:v>
                </c:pt>
                <c:pt idx="2">
                  <c:v>3.0000000000000001E-3</c:v>
                </c:pt>
                <c:pt idx="3">
                  <c:v>4.0000000000000001E-3</c:v>
                </c:pt>
                <c:pt idx="4">
                  <c:v>5.0000000000000001E-3</c:v>
                </c:pt>
                <c:pt idx="5">
                  <c:v>6.0000000000000001E-3</c:v>
                </c:pt>
                <c:pt idx="6">
                  <c:v>7.0000000000000001E-3</c:v>
                </c:pt>
                <c:pt idx="7">
                  <c:v>8.0000000000000002E-3</c:v>
                </c:pt>
                <c:pt idx="8">
                  <c:v>8.9999999999999993E-3</c:v>
                </c:pt>
                <c:pt idx="9">
                  <c:v>0.01</c:v>
                </c:pt>
                <c:pt idx="10">
                  <c:v>0.02</c:v>
                </c:pt>
                <c:pt idx="11">
                  <c:v>0.03</c:v>
                </c:pt>
                <c:pt idx="12">
                  <c:v>0.04</c:v>
                </c:pt>
                <c:pt idx="13">
                  <c:v>0.05</c:v>
                </c:pt>
                <c:pt idx="14">
                  <c:v>0.06</c:v>
                </c:pt>
                <c:pt idx="15">
                  <c:v>7.0000000000000007E-2</c:v>
                </c:pt>
                <c:pt idx="16">
                  <c:v>0.08</c:v>
                </c:pt>
                <c:pt idx="17">
                  <c:v>0.09</c:v>
                </c:pt>
                <c:pt idx="18">
                  <c:v>0.1</c:v>
                </c:pt>
                <c:pt idx="19">
                  <c:v>0.2</c:v>
                </c:pt>
                <c:pt idx="20">
                  <c:v>0.3</c:v>
                </c:pt>
                <c:pt idx="21">
                  <c:v>0.4</c:v>
                </c:pt>
                <c:pt idx="22">
                  <c:v>0.5</c:v>
                </c:pt>
                <c:pt idx="23">
                  <c:v>0.6</c:v>
                </c:pt>
                <c:pt idx="24">
                  <c:v>0.7</c:v>
                </c:pt>
                <c:pt idx="25">
                  <c:v>0.8</c:v>
                </c:pt>
                <c:pt idx="26">
                  <c:v>0.9</c:v>
                </c:pt>
                <c:pt idx="27">
                  <c:v>1</c:v>
                </c:pt>
                <c:pt idx="28">
                  <c:v>1.5</c:v>
                </c:pt>
                <c:pt idx="29">
                  <c:v>2</c:v>
                </c:pt>
                <c:pt idx="30">
                  <c:v>2.5</c:v>
                </c:pt>
                <c:pt idx="31">
                  <c:v>3</c:v>
                </c:pt>
                <c:pt idx="32">
                  <c:v>3.5</c:v>
                </c:pt>
                <c:pt idx="33">
                  <c:v>4</c:v>
                </c:pt>
                <c:pt idx="34">
                  <c:v>4.5</c:v>
                </c:pt>
                <c:pt idx="35">
                  <c:v>5</c:v>
                </c:pt>
                <c:pt idx="36">
                  <c:v>5.5</c:v>
                </c:pt>
                <c:pt idx="37">
                  <c:v>6</c:v>
                </c:pt>
                <c:pt idx="38">
                  <c:v>6.5</c:v>
                </c:pt>
                <c:pt idx="39">
                  <c:v>7</c:v>
                </c:pt>
                <c:pt idx="40">
                  <c:v>7.5</c:v>
                </c:pt>
                <c:pt idx="41">
                  <c:v>8</c:v>
                </c:pt>
                <c:pt idx="42">
                  <c:v>8.5</c:v>
                </c:pt>
                <c:pt idx="43">
                  <c:v>9</c:v>
                </c:pt>
                <c:pt idx="44">
                  <c:v>9.5</c:v>
                </c:pt>
                <c:pt idx="45">
                  <c:v>10</c:v>
                </c:pt>
                <c:pt idx="46">
                  <c:v>10.5</c:v>
                </c:pt>
                <c:pt idx="47">
                  <c:v>11</c:v>
                </c:pt>
                <c:pt idx="48">
                  <c:v>11.5</c:v>
                </c:pt>
                <c:pt idx="49">
                  <c:v>12</c:v>
                </c:pt>
                <c:pt idx="50">
                  <c:v>12.5</c:v>
                </c:pt>
                <c:pt idx="51">
                  <c:v>13</c:v>
                </c:pt>
                <c:pt idx="52">
                  <c:v>13.5</c:v>
                </c:pt>
                <c:pt idx="53">
                  <c:v>14</c:v>
                </c:pt>
                <c:pt idx="54">
                  <c:v>14.5</c:v>
                </c:pt>
                <c:pt idx="55">
                  <c:v>15</c:v>
                </c:pt>
                <c:pt idx="56">
                  <c:v>15.5</c:v>
                </c:pt>
                <c:pt idx="57">
                  <c:v>16</c:v>
                </c:pt>
                <c:pt idx="58">
                  <c:v>16.5</c:v>
                </c:pt>
                <c:pt idx="59">
                  <c:v>17</c:v>
                </c:pt>
                <c:pt idx="60">
                  <c:v>17.5</c:v>
                </c:pt>
                <c:pt idx="61">
                  <c:v>18</c:v>
                </c:pt>
                <c:pt idx="62">
                  <c:v>18.5</c:v>
                </c:pt>
                <c:pt idx="63">
                  <c:v>19</c:v>
                </c:pt>
                <c:pt idx="64">
                  <c:v>19.5</c:v>
                </c:pt>
                <c:pt idx="65">
                  <c:v>20</c:v>
                </c:pt>
                <c:pt idx="66">
                  <c:v>20.5</c:v>
                </c:pt>
                <c:pt idx="67">
                  <c:v>21</c:v>
                </c:pt>
                <c:pt idx="68">
                  <c:v>21.5</c:v>
                </c:pt>
                <c:pt idx="69">
                  <c:v>22</c:v>
                </c:pt>
                <c:pt idx="70">
                  <c:v>22.5</c:v>
                </c:pt>
                <c:pt idx="71">
                  <c:v>23</c:v>
                </c:pt>
                <c:pt idx="72">
                  <c:v>23.5</c:v>
                </c:pt>
                <c:pt idx="73">
                  <c:v>24</c:v>
                </c:pt>
                <c:pt idx="74">
                  <c:v>24.5</c:v>
                </c:pt>
                <c:pt idx="75">
                  <c:v>25</c:v>
                </c:pt>
                <c:pt idx="76">
                  <c:v>25.5</c:v>
                </c:pt>
                <c:pt idx="77">
                  <c:v>26</c:v>
                </c:pt>
                <c:pt idx="78">
                  <c:v>26.5</c:v>
                </c:pt>
                <c:pt idx="79">
                  <c:v>27</c:v>
                </c:pt>
                <c:pt idx="80">
                  <c:v>27.5</c:v>
                </c:pt>
                <c:pt idx="81">
                  <c:v>28</c:v>
                </c:pt>
                <c:pt idx="82">
                  <c:v>28.5</c:v>
                </c:pt>
                <c:pt idx="83">
                  <c:v>29</c:v>
                </c:pt>
                <c:pt idx="84">
                  <c:v>29.5</c:v>
                </c:pt>
                <c:pt idx="85">
                  <c:v>30</c:v>
                </c:pt>
                <c:pt idx="86">
                  <c:v>30.5</c:v>
                </c:pt>
                <c:pt idx="87">
                  <c:v>31</c:v>
                </c:pt>
                <c:pt idx="88">
                  <c:v>31.5</c:v>
                </c:pt>
                <c:pt idx="89">
                  <c:v>32</c:v>
                </c:pt>
                <c:pt idx="90">
                  <c:v>32.5</c:v>
                </c:pt>
                <c:pt idx="91">
                  <c:v>33</c:v>
                </c:pt>
                <c:pt idx="92">
                  <c:v>33.5</c:v>
                </c:pt>
                <c:pt idx="93">
                  <c:v>34</c:v>
                </c:pt>
                <c:pt idx="94">
                  <c:v>34.5</c:v>
                </c:pt>
                <c:pt idx="95">
                  <c:v>35</c:v>
                </c:pt>
                <c:pt idx="96">
                  <c:v>35.5</c:v>
                </c:pt>
                <c:pt idx="97">
                  <c:v>36</c:v>
                </c:pt>
                <c:pt idx="98">
                  <c:v>36.5</c:v>
                </c:pt>
                <c:pt idx="99">
                  <c:v>37</c:v>
                </c:pt>
                <c:pt idx="100">
                  <c:v>37.5</c:v>
                </c:pt>
                <c:pt idx="101">
                  <c:v>38</c:v>
                </c:pt>
                <c:pt idx="102">
                  <c:v>38.5</c:v>
                </c:pt>
                <c:pt idx="103">
                  <c:v>39</c:v>
                </c:pt>
                <c:pt idx="104">
                  <c:v>39.5</c:v>
                </c:pt>
                <c:pt idx="105">
                  <c:v>40</c:v>
                </c:pt>
                <c:pt idx="106">
                  <c:v>40.5</c:v>
                </c:pt>
                <c:pt idx="107">
                  <c:v>41</c:v>
                </c:pt>
                <c:pt idx="108">
                  <c:v>41.5</c:v>
                </c:pt>
                <c:pt idx="109">
                  <c:v>42</c:v>
                </c:pt>
                <c:pt idx="110">
                  <c:v>42.5</c:v>
                </c:pt>
                <c:pt idx="111">
                  <c:v>43</c:v>
                </c:pt>
                <c:pt idx="112">
                  <c:v>43.5</c:v>
                </c:pt>
                <c:pt idx="113">
                  <c:v>44</c:v>
                </c:pt>
                <c:pt idx="114">
                  <c:v>44.5</c:v>
                </c:pt>
                <c:pt idx="115">
                  <c:v>45</c:v>
                </c:pt>
                <c:pt idx="116">
                  <c:v>45.5</c:v>
                </c:pt>
                <c:pt idx="117">
                  <c:v>46</c:v>
                </c:pt>
                <c:pt idx="118">
                  <c:v>46.5</c:v>
                </c:pt>
                <c:pt idx="119">
                  <c:v>47</c:v>
                </c:pt>
                <c:pt idx="120">
                  <c:v>47.5</c:v>
                </c:pt>
                <c:pt idx="121">
                  <c:v>48</c:v>
                </c:pt>
                <c:pt idx="122">
                  <c:v>48.5</c:v>
                </c:pt>
                <c:pt idx="123">
                  <c:v>49</c:v>
                </c:pt>
                <c:pt idx="124">
                  <c:v>49.5</c:v>
                </c:pt>
                <c:pt idx="125">
                  <c:v>50</c:v>
                </c:pt>
                <c:pt idx="126">
                  <c:v>50.5</c:v>
                </c:pt>
                <c:pt idx="127">
                  <c:v>51</c:v>
                </c:pt>
                <c:pt idx="128">
                  <c:v>51.5</c:v>
                </c:pt>
                <c:pt idx="129">
                  <c:v>52</c:v>
                </c:pt>
                <c:pt idx="130">
                  <c:v>52.5</c:v>
                </c:pt>
                <c:pt idx="131">
                  <c:v>53</c:v>
                </c:pt>
                <c:pt idx="132">
                  <c:v>53.5</c:v>
                </c:pt>
                <c:pt idx="133">
                  <c:v>54</c:v>
                </c:pt>
                <c:pt idx="134">
                  <c:v>54.5</c:v>
                </c:pt>
                <c:pt idx="135">
                  <c:v>55</c:v>
                </c:pt>
                <c:pt idx="136">
                  <c:v>55.5</c:v>
                </c:pt>
                <c:pt idx="137">
                  <c:v>56</c:v>
                </c:pt>
                <c:pt idx="138">
                  <c:v>56.5</c:v>
                </c:pt>
                <c:pt idx="139">
                  <c:v>57</c:v>
                </c:pt>
                <c:pt idx="140">
                  <c:v>57.5</c:v>
                </c:pt>
                <c:pt idx="141">
                  <c:v>58</c:v>
                </c:pt>
                <c:pt idx="142">
                  <c:v>58.5</c:v>
                </c:pt>
                <c:pt idx="143">
                  <c:v>59</c:v>
                </c:pt>
                <c:pt idx="144">
                  <c:v>59.5</c:v>
                </c:pt>
                <c:pt idx="145">
                  <c:v>60</c:v>
                </c:pt>
                <c:pt idx="146">
                  <c:v>60.5</c:v>
                </c:pt>
                <c:pt idx="147">
                  <c:v>61</c:v>
                </c:pt>
                <c:pt idx="148">
                  <c:v>61.5</c:v>
                </c:pt>
                <c:pt idx="149">
                  <c:v>62</c:v>
                </c:pt>
                <c:pt idx="150">
                  <c:v>62.5</c:v>
                </c:pt>
                <c:pt idx="151">
                  <c:v>63</c:v>
                </c:pt>
                <c:pt idx="152">
                  <c:v>63.5</c:v>
                </c:pt>
                <c:pt idx="153">
                  <c:v>64</c:v>
                </c:pt>
                <c:pt idx="154">
                  <c:v>64.5</c:v>
                </c:pt>
                <c:pt idx="155">
                  <c:v>65</c:v>
                </c:pt>
                <c:pt idx="156">
                  <c:v>65.5</c:v>
                </c:pt>
                <c:pt idx="157">
                  <c:v>66</c:v>
                </c:pt>
                <c:pt idx="158">
                  <c:v>66.5</c:v>
                </c:pt>
                <c:pt idx="159">
                  <c:v>67</c:v>
                </c:pt>
                <c:pt idx="160">
                  <c:v>67.5</c:v>
                </c:pt>
                <c:pt idx="161">
                  <c:v>68</c:v>
                </c:pt>
                <c:pt idx="162">
                  <c:v>68.5</c:v>
                </c:pt>
                <c:pt idx="163">
                  <c:v>69</c:v>
                </c:pt>
                <c:pt idx="164">
                  <c:v>69.5</c:v>
                </c:pt>
                <c:pt idx="165">
                  <c:v>70</c:v>
                </c:pt>
                <c:pt idx="166">
                  <c:v>70.5</c:v>
                </c:pt>
                <c:pt idx="167">
                  <c:v>71</c:v>
                </c:pt>
                <c:pt idx="168">
                  <c:v>71.5</c:v>
                </c:pt>
                <c:pt idx="169">
                  <c:v>72</c:v>
                </c:pt>
                <c:pt idx="170">
                  <c:v>72.5</c:v>
                </c:pt>
                <c:pt idx="171">
                  <c:v>73</c:v>
                </c:pt>
                <c:pt idx="172">
                  <c:v>73.5</c:v>
                </c:pt>
                <c:pt idx="173">
                  <c:v>74</c:v>
                </c:pt>
                <c:pt idx="174">
                  <c:v>74.5</c:v>
                </c:pt>
                <c:pt idx="175">
                  <c:v>75</c:v>
                </c:pt>
                <c:pt idx="176">
                  <c:v>75.5</c:v>
                </c:pt>
                <c:pt idx="177">
                  <c:v>76</c:v>
                </c:pt>
                <c:pt idx="178">
                  <c:v>76.5</c:v>
                </c:pt>
                <c:pt idx="179">
                  <c:v>77</c:v>
                </c:pt>
                <c:pt idx="180">
                  <c:v>77.5</c:v>
                </c:pt>
                <c:pt idx="181">
                  <c:v>78</c:v>
                </c:pt>
                <c:pt idx="182">
                  <c:v>78.5</c:v>
                </c:pt>
                <c:pt idx="183">
                  <c:v>79</c:v>
                </c:pt>
                <c:pt idx="184">
                  <c:v>79.5</c:v>
                </c:pt>
                <c:pt idx="185">
                  <c:v>80</c:v>
                </c:pt>
                <c:pt idx="186">
                  <c:v>80.5</c:v>
                </c:pt>
                <c:pt idx="187">
                  <c:v>81</c:v>
                </c:pt>
                <c:pt idx="188">
                  <c:v>81.5</c:v>
                </c:pt>
                <c:pt idx="189">
                  <c:v>82</c:v>
                </c:pt>
                <c:pt idx="190">
                  <c:v>82.5</c:v>
                </c:pt>
                <c:pt idx="191">
                  <c:v>83</c:v>
                </c:pt>
                <c:pt idx="192">
                  <c:v>83.5</c:v>
                </c:pt>
                <c:pt idx="193">
                  <c:v>84</c:v>
                </c:pt>
                <c:pt idx="194">
                  <c:v>84.5</c:v>
                </c:pt>
                <c:pt idx="195">
                  <c:v>85</c:v>
                </c:pt>
                <c:pt idx="196">
                  <c:v>85.5</c:v>
                </c:pt>
                <c:pt idx="197">
                  <c:v>86</c:v>
                </c:pt>
                <c:pt idx="198">
                  <c:v>86.5</c:v>
                </c:pt>
                <c:pt idx="199">
                  <c:v>87</c:v>
                </c:pt>
                <c:pt idx="200">
                  <c:v>87.5</c:v>
                </c:pt>
                <c:pt idx="201">
                  <c:v>88</c:v>
                </c:pt>
                <c:pt idx="202">
                  <c:v>88.5</c:v>
                </c:pt>
                <c:pt idx="203">
                  <c:v>89</c:v>
                </c:pt>
                <c:pt idx="204">
                  <c:v>89.5</c:v>
                </c:pt>
                <c:pt idx="205">
                  <c:v>90</c:v>
                </c:pt>
                <c:pt idx="206">
                  <c:v>90.5</c:v>
                </c:pt>
                <c:pt idx="207">
                  <c:v>91</c:v>
                </c:pt>
                <c:pt idx="208">
                  <c:v>91.5</c:v>
                </c:pt>
                <c:pt idx="209">
                  <c:v>92</c:v>
                </c:pt>
                <c:pt idx="210">
                  <c:v>92.5</c:v>
                </c:pt>
                <c:pt idx="211">
                  <c:v>93</c:v>
                </c:pt>
                <c:pt idx="212">
                  <c:v>93.5</c:v>
                </c:pt>
                <c:pt idx="213">
                  <c:v>94</c:v>
                </c:pt>
                <c:pt idx="214">
                  <c:v>94.5</c:v>
                </c:pt>
                <c:pt idx="215">
                  <c:v>95</c:v>
                </c:pt>
                <c:pt idx="216">
                  <c:v>95.5</c:v>
                </c:pt>
                <c:pt idx="217">
                  <c:v>96</c:v>
                </c:pt>
                <c:pt idx="218">
                  <c:v>96.5</c:v>
                </c:pt>
                <c:pt idx="219">
                  <c:v>97</c:v>
                </c:pt>
                <c:pt idx="220">
                  <c:v>97.5</c:v>
                </c:pt>
                <c:pt idx="221">
                  <c:v>98</c:v>
                </c:pt>
                <c:pt idx="222">
                  <c:v>98.5</c:v>
                </c:pt>
                <c:pt idx="223">
                  <c:v>99</c:v>
                </c:pt>
                <c:pt idx="224">
                  <c:v>99.5</c:v>
                </c:pt>
                <c:pt idx="225">
                  <c:v>100</c:v>
                </c:pt>
                <c:pt idx="226">
                  <c:v>105</c:v>
                </c:pt>
                <c:pt idx="227">
                  <c:v>110</c:v>
                </c:pt>
                <c:pt idx="228">
                  <c:v>115</c:v>
                </c:pt>
                <c:pt idx="229">
                  <c:v>120</c:v>
                </c:pt>
                <c:pt idx="230">
                  <c:v>125</c:v>
                </c:pt>
                <c:pt idx="231">
                  <c:v>130</c:v>
                </c:pt>
                <c:pt idx="232">
                  <c:v>135</c:v>
                </c:pt>
                <c:pt idx="233">
                  <c:v>140</c:v>
                </c:pt>
                <c:pt idx="234">
                  <c:v>145</c:v>
                </c:pt>
                <c:pt idx="235">
                  <c:v>150</c:v>
                </c:pt>
                <c:pt idx="236">
                  <c:v>155</c:v>
                </c:pt>
                <c:pt idx="237">
                  <c:v>160</c:v>
                </c:pt>
                <c:pt idx="238">
                  <c:v>165</c:v>
                </c:pt>
                <c:pt idx="239">
                  <c:v>170</c:v>
                </c:pt>
                <c:pt idx="240">
                  <c:v>175</c:v>
                </c:pt>
                <c:pt idx="241">
                  <c:v>180</c:v>
                </c:pt>
                <c:pt idx="242">
                  <c:v>185</c:v>
                </c:pt>
                <c:pt idx="243">
                  <c:v>190</c:v>
                </c:pt>
                <c:pt idx="244">
                  <c:v>195</c:v>
                </c:pt>
                <c:pt idx="245">
                  <c:v>200</c:v>
                </c:pt>
                <c:pt idx="246">
                  <c:v>205</c:v>
                </c:pt>
                <c:pt idx="247">
                  <c:v>210</c:v>
                </c:pt>
                <c:pt idx="248">
                  <c:v>215</c:v>
                </c:pt>
                <c:pt idx="249">
                  <c:v>220</c:v>
                </c:pt>
                <c:pt idx="250">
                  <c:v>225</c:v>
                </c:pt>
                <c:pt idx="251">
                  <c:v>230</c:v>
                </c:pt>
                <c:pt idx="252">
                  <c:v>235</c:v>
                </c:pt>
                <c:pt idx="253">
                  <c:v>240</c:v>
                </c:pt>
                <c:pt idx="254">
                  <c:v>245</c:v>
                </c:pt>
                <c:pt idx="255">
                  <c:v>250</c:v>
                </c:pt>
                <c:pt idx="256">
                  <c:v>255</c:v>
                </c:pt>
                <c:pt idx="257">
                  <c:v>260</c:v>
                </c:pt>
                <c:pt idx="258">
                  <c:v>265</c:v>
                </c:pt>
                <c:pt idx="259">
                  <c:v>270</c:v>
                </c:pt>
                <c:pt idx="260">
                  <c:v>275</c:v>
                </c:pt>
                <c:pt idx="261">
                  <c:v>280</c:v>
                </c:pt>
                <c:pt idx="262">
                  <c:v>285</c:v>
                </c:pt>
                <c:pt idx="263">
                  <c:v>290</c:v>
                </c:pt>
                <c:pt idx="264">
                  <c:v>295</c:v>
                </c:pt>
                <c:pt idx="265">
                  <c:v>300</c:v>
                </c:pt>
                <c:pt idx="266">
                  <c:v>305</c:v>
                </c:pt>
                <c:pt idx="267">
                  <c:v>310</c:v>
                </c:pt>
                <c:pt idx="268">
                  <c:v>315</c:v>
                </c:pt>
                <c:pt idx="269">
                  <c:v>320</c:v>
                </c:pt>
                <c:pt idx="270">
                  <c:v>325</c:v>
                </c:pt>
                <c:pt idx="271">
                  <c:v>330</c:v>
                </c:pt>
                <c:pt idx="272">
                  <c:v>335</c:v>
                </c:pt>
                <c:pt idx="273">
                  <c:v>340</c:v>
                </c:pt>
                <c:pt idx="274">
                  <c:v>345</c:v>
                </c:pt>
                <c:pt idx="275">
                  <c:v>350</c:v>
                </c:pt>
                <c:pt idx="276">
                  <c:v>355</c:v>
                </c:pt>
                <c:pt idx="277">
                  <c:v>360</c:v>
                </c:pt>
                <c:pt idx="278">
                  <c:v>365</c:v>
                </c:pt>
                <c:pt idx="279">
                  <c:v>370</c:v>
                </c:pt>
                <c:pt idx="280">
                  <c:v>375</c:v>
                </c:pt>
                <c:pt idx="281">
                  <c:v>380</c:v>
                </c:pt>
                <c:pt idx="282">
                  <c:v>385</c:v>
                </c:pt>
                <c:pt idx="283">
                  <c:v>390</c:v>
                </c:pt>
                <c:pt idx="284">
                  <c:v>395</c:v>
                </c:pt>
                <c:pt idx="285">
                  <c:v>400</c:v>
                </c:pt>
                <c:pt idx="286">
                  <c:v>405</c:v>
                </c:pt>
                <c:pt idx="287">
                  <c:v>410</c:v>
                </c:pt>
                <c:pt idx="288">
                  <c:v>415</c:v>
                </c:pt>
                <c:pt idx="289">
                  <c:v>420</c:v>
                </c:pt>
                <c:pt idx="290">
                  <c:v>425</c:v>
                </c:pt>
                <c:pt idx="291">
                  <c:v>430</c:v>
                </c:pt>
                <c:pt idx="292">
                  <c:v>435</c:v>
                </c:pt>
                <c:pt idx="293">
                  <c:v>440</c:v>
                </c:pt>
                <c:pt idx="294">
                  <c:v>445</c:v>
                </c:pt>
                <c:pt idx="295">
                  <c:v>450</c:v>
                </c:pt>
                <c:pt idx="296">
                  <c:v>455</c:v>
                </c:pt>
                <c:pt idx="297">
                  <c:v>460</c:v>
                </c:pt>
                <c:pt idx="298">
                  <c:v>465</c:v>
                </c:pt>
                <c:pt idx="299">
                  <c:v>470</c:v>
                </c:pt>
                <c:pt idx="300">
                  <c:v>475</c:v>
                </c:pt>
                <c:pt idx="301">
                  <c:v>480</c:v>
                </c:pt>
                <c:pt idx="302">
                  <c:v>485</c:v>
                </c:pt>
                <c:pt idx="303">
                  <c:v>490</c:v>
                </c:pt>
                <c:pt idx="304">
                  <c:v>495</c:v>
                </c:pt>
                <c:pt idx="305">
                  <c:v>500</c:v>
                </c:pt>
                <c:pt idx="306">
                  <c:v>505</c:v>
                </c:pt>
                <c:pt idx="307">
                  <c:v>510</c:v>
                </c:pt>
                <c:pt idx="308">
                  <c:v>515</c:v>
                </c:pt>
                <c:pt idx="309">
                  <c:v>520</c:v>
                </c:pt>
                <c:pt idx="310">
                  <c:v>525</c:v>
                </c:pt>
                <c:pt idx="311">
                  <c:v>530</c:v>
                </c:pt>
                <c:pt idx="312">
                  <c:v>535</c:v>
                </c:pt>
                <c:pt idx="313">
                  <c:v>540</c:v>
                </c:pt>
                <c:pt idx="314">
                  <c:v>545</c:v>
                </c:pt>
                <c:pt idx="315">
                  <c:v>550</c:v>
                </c:pt>
                <c:pt idx="316">
                  <c:v>555</c:v>
                </c:pt>
                <c:pt idx="317">
                  <c:v>560</c:v>
                </c:pt>
                <c:pt idx="318">
                  <c:v>565</c:v>
                </c:pt>
                <c:pt idx="319">
                  <c:v>570</c:v>
                </c:pt>
                <c:pt idx="320">
                  <c:v>575</c:v>
                </c:pt>
                <c:pt idx="321">
                  <c:v>580</c:v>
                </c:pt>
                <c:pt idx="322">
                  <c:v>585</c:v>
                </c:pt>
                <c:pt idx="323">
                  <c:v>590</c:v>
                </c:pt>
                <c:pt idx="324">
                  <c:v>595</c:v>
                </c:pt>
                <c:pt idx="325">
                  <c:v>600</c:v>
                </c:pt>
                <c:pt idx="326">
                  <c:v>605</c:v>
                </c:pt>
                <c:pt idx="327">
                  <c:v>610</c:v>
                </c:pt>
                <c:pt idx="328">
                  <c:v>615</c:v>
                </c:pt>
                <c:pt idx="329">
                  <c:v>620</c:v>
                </c:pt>
                <c:pt idx="330">
                  <c:v>625</c:v>
                </c:pt>
                <c:pt idx="331">
                  <c:v>630</c:v>
                </c:pt>
                <c:pt idx="332">
                  <c:v>635</c:v>
                </c:pt>
                <c:pt idx="333">
                  <c:v>640</c:v>
                </c:pt>
                <c:pt idx="334">
                  <c:v>645</c:v>
                </c:pt>
                <c:pt idx="335">
                  <c:v>650</c:v>
                </c:pt>
                <c:pt idx="336">
                  <c:v>655</c:v>
                </c:pt>
                <c:pt idx="337">
                  <c:v>660</c:v>
                </c:pt>
                <c:pt idx="338">
                  <c:v>665</c:v>
                </c:pt>
                <c:pt idx="339">
                  <c:v>670</c:v>
                </c:pt>
                <c:pt idx="340">
                  <c:v>675</c:v>
                </c:pt>
                <c:pt idx="341">
                  <c:v>680</c:v>
                </c:pt>
                <c:pt idx="342">
                  <c:v>685</c:v>
                </c:pt>
                <c:pt idx="343">
                  <c:v>690</c:v>
                </c:pt>
                <c:pt idx="344">
                  <c:v>695</c:v>
                </c:pt>
                <c:pt idx="345">
                  <c:v>700</c:v>
                </c:pt>
                <c:pt idx="346">
                  <c:v>705</c:v>
                </c:pt>
                <c:pt idx="347">
                  <c:v>710</c:v>
                </c:pt>
                <c:pt idx="348">
                  <c:v>715</c:v>
                </c:pt>
                <c:pt idx="349">
                  <c:v>720</c:v>
                </c:pt>
                <c:pt idx="350">
                  <c:v>725</c:v>
                </c:pt>
                <c:pt idx="351">
                  <c:v>730</c:v>
                </c:pt>
                <c:pt idx="352">
                  <c:v>735</c:v>
                </c:pt>
                <c:pt idx="353">
                  <c:v>740</c:v>
                </c:pt>
                <c:pt idx="354">
                  <c:v>745</c:v>
                </c:pt>
                <c:pt idx="355">
                  <c:v>750</c:v>
                </c:pt>
                <c:pt idx="356">
                  <c:v>755</c:v>
                </c:pt>
                <c:pt idx="357">
                  <c:v>760</c:v>
                </c:pt>
                <c:pt idx="358">
                  <c:v>765</c:v>
                </c:pt>
                <c:pt idx="359">
                  <c:v>770</c:v>
                </c:pt>
                <c:pt idx="360">
                  <c:v>775</c:v>
                </c:pt>
                <c:pt idx="361">
                  <c:v>780</c:v>
                </c:pt>
                <c:pt idx="362">
                  <c:v>785</c:v>
                </c:pt>
                <c:pt idx="363">
                  <c:v>790</c:v>
                </c:pt>
                <c:pt idx="364">
                  <c:v>795</c:v>
                </c:pt>
                <c:pt idx="365">
                  <c:v>800</c:v>
                </c:pt>
                <c:pt idx="366">
                  <c:v>805</c:v>
                </c:pt>
                <c:pt idx="367">
                  <c:v>810</c:v>
                </c:pt>
                <c:pt idx="368">
                  <c:v>815</c:v>
                </c:pt>
                <c:pt idx="369">
                  <c:v>820</c:v>
                </c:pt>
                <c:pt idx="370">
                  <c:v>825</c:v>
                </c:pt>
                <c:pt idx="371">
                  <c:v>830</c:v>
                </c:pt>
                <c:pt idx="372">
                  <c:v>835</c:v>
                </c:pt>
                <c:pt idx="373">
                  <c:v>840</c:v>
                </c:pt>
                <c:pt idx="374">
                  <c:v>845</c:v>
                </c:pt>
                <c:pt idx="375">
                  <c:v>850</c:v>
                </c:pt>
                <c:pt idx="376">
                  <c:v>855</c:v>
                </c:pt>
                <c:pt idx="377">
                  <c:v>860</c:v>
                </c:pt>
                <c:pt idx="378">
                  <c:v>865</c:v>
                </c:pt>
                <c:pt idx="379">
                  <c:v>870</c:v>
                </c:pt>
                <c:pt idx="380">
                  <c:v>875</c:v>
                </c:pt>
                <c:pt idx="381">
                  <c:v>880</c:v>
                </c:pt>
                <c:pt idx="382">
                  <c:v>885</c:v>
                </c:pt>
                <c:pt idx="383">
                  <c:v>890</c:v>
                </c:pt>
                <c:pt idx="384">
                  <c:v>895</c:v>
                </c:pt>
                <c:pt idx="385">
                  <c:v>900</c:v>
                </c:pt>
                <c:pt idx="386">
                  <c:v>905</c:v>
                </c:pt>
                <c:pt idx="387">
                  <c:v>910</c:v>
                </c:pt>
                <c:pt idx="388">
                  <c:v>915</c:v>
                </c:pt>
                <c:pt idx="389">
                  <c:v>920</c:v>
                </c:pt>
                <c:pt idx="390">
                  <c:v>925</c:v>
                </c:pt>
                <c:pt idx="391">
                  <c:v>930</c:v>
                </c:pt>
                <c:pt idx="392">
                  <c:v>935</c:v>
                </c:pt>
                <c:pt idx="393">
                  <c:v>940</c:v>
                </c:pt>
                <c:pt idx="394">
                  <c:v>945</c:v>
                </c:pt>
                <c:pt idx="395">
                  <c:v>950</c:v>
                </c:pt>
                <c:pt idx="396">
                  <c:v>955</c:v>
                </c:pt>
                <c:pt idx="397">
                  <c:v>960</c:v>
                </c:pt>
                <c:pt idx="398">
                  <c:v>965</c:v>
                </c:pt>
                <c:pt idx="399">
                  <c:v>970</c:v>
                </c:pt>
                <c:pt idx="400">
                  <c:v>975</c:v>
                </c:pt>
                <c:pt idx="401">
                  <c:v>980</c:v>
                </c:pt>
                <c:pt idx="402">
                  <c:v>985</c:v>
                </c:pt>
                <c:pt idx="403">
                  <c:v>990</c:v>
                </c:pt>
                <c:pt idx="404">
                  <c:v>995</c:v>
                </c:pt>
                <c:pt idx="405">
                  <c:v>1000</c:v>
                </c:pt>
                <c:pt idx="406">
                  <c:v>1005</c:v>
                </c:pt>
                <c:pt idx="407">
                  <c:v>1010</c:v>
                </c:pt>
                <c:pt idx="408">
                  <c:v>1015</c:v>
                </c:pt>
                <c:pt idx="409">
                  <c:v>1020</c:v>
                </c:pt>
                <c:pt idx="410">
                  <c:v>1025</c:v>
                </c:pt>
                <c:pt idx="411">
                  <c:v>1030</c:v>
                </c:pt>
                <c:pt idx="412">
                  <c:v>1035</c:v>
                </c:pt>
                <c:pt idx="413">
                  <c:v>1040</c:v>
                </c:pt>
                <c:pt idx="414">
                  <c:v>1045</c:v>
                </c:pt>
                <c:pt idx="415">
                  <c:v>1050</c:v>
                </c:pt>
                <c:pt idx="416">
                  <c:v>1055</c:v>
                </c:pt>
                <c:pt idx="417">
                  <c:v>1060</c:v>
                </c:pt>
                <c:pt idx="418">
                  <c:v>1065</c:v>
                </c:pt>
                <c:pt idx="419">
                  <c:v>1070</c:v>
                </c:pt>
                <c:pt idx="420">
                  <c:v>1075</c:v>
                </c:pt>
                <c:pt idx="421">
                  <c:v>1080</c:v>
                </c:pt>
                <c:pt idx="422">
                  <c:v>1085</c:v>
                </c:pt>
                <c:pt idx="423">
                  <c:v>1090</c:v>
                </c:pt>
                <c:pt idx="424">
                  <c:v>1095</c:v>
                </c:pt>
                <c:pt idx="425">
                  <c:v>1100</c:v>
                </c:pt>
                <c:pt idx="426">
                  <c:v>1105</c:v>
                </c:pt>
                <c:pt idx="427">
                  <c:v>1110</c:v>
                </c:pt>
                <c:pt idx="428">
                  <c:v>1115</c:v>
                </c:pt>
                <c:pt idx="429">
                  <c:v>1120</c:v>
                </c:pt>
                <c:pt idx="430">
                  <c:v>1125</c:v>
                </c:pt>
                <c:pt idx="431">
                  <c:v>1130</c:v>
                </c:pt>
                <c:pt idx="432">
                  <c:v>1135</c:v>
                </c:pt>
                <c:pt idx="433">
                  <c:v>1140</c:v>
                </c:pt>
                <c:pt idx="434">
                  <c:v>1145</c:v>
                </c:pt>
                <c:pt idx="435">
                  <c:v>1150</c:v>
                </c:pt>
                <c:pt idx="436">
                  <c:v>1155</c:v>
                </c:pt>
                <c:pt idx="437">
                  <c:v>1160</c:v>
                </c:pt>
                <c:pt idx="438">
                  <c:v>1165</c:v>
                </c:pt>
                <c:pt idx="439">
                  <c:v>1170</c:v>
                </c:pt>
                <c:pt idx="440">
                  <c:v>1175</c:v>
                </c:pt>
                <c:pt idx="441">
                  <c:v>1180</c:v>
                </c:pt>
                <c:pt idx="442">
                  <c:v>1185</c:v>
                </c:pt>
                <c:pt idx="443">
                  <c:v>1190</c:v>
                </c:pt>
                <c:pt idx="444">
                  <c:v>1195</c:v>
                </c:pt>
                <c:pt idx="445">
                  <c:v>1200</c:v>
                </c:pt>
                <c:pt idx="446">
                  <c:v>1205</c:v>
                </c:pt>
                <c:pt idx="447">
                  <c:v>1210</c:v>
                </c:pt>
                <c:pt idx="448">
                  <c:v>1215</c:v>
                </c:pt>
                <c:pt idx="449">
                  <c:v>1220</c:v>
                </c:pt>
                <c:pt idx="450">
                  <c:v>1225</c:v>
                </c:pt>
                <c:pt idx="451">
                  <c:v>1230</c:v>
                </c:pt>
                <c:pt idx="452">
                  <c:v>1235</c:v>
                </c:pt>
                <c:pt idx="453">
                  <c:v>1240</c:v>
                </c:pt>
                <c:pt idx="454">
                  <c:v>1245</c:v>
                </c:pt>
                <c:pt idx="455">
                  <c:v>1250</c:v>
                </c:pt>
                <c:pt idx="456">
                  <c:v>1255</c:v>
                </c:pt>
                <c:pt idx="457">
                  <c:v>1260</c:v>
                </c:pt>
                <c:pt idx="458">
                  <c:v>1265</c:v>
                </c:pt>
                <c:pt idx="459">
                  <c:v>1270</c:v>
                </c:pt>
                <c:pt idx="460">
                  <c:v>1275</c:v>
                </c:pt>
                <c:pt idx="461">
                  <c:v>1280</c:v>
                </c:pt>
                <c:pt idx="462">
                  <c:v>1285</c:v>
                </c:pt>
                <c:pt idx="463">
                  <c:v>1290</c:v>
                </c:pt>
                <c:pt idx="464">
                  <c:v>1295</c:v>
                </c:pt>
                <c:pt idx="465">
                  <c:v>1300</c:v>
                </c:pt>
                <c:pt idx="466">
                  <c:v>1305</c:v>
                </c:pt>
                <c:pt idx="467">
                  <c:v>1310</c:v>
                </c:pt>
                <c:pt idx="468">
                  <c:v>1315</c:v>
                </c:pt>
                <c:pt idx="469">
                  <c:v>1320</c:v>
                </c:pt>
                <c:pt idx="470">
                  <c:v>1325</c:v>
                </c:pt>
                <c:pt idx="471">
                  <c:v>1330</c:v>
                </c:pt>
                <c:pt idx="472">
                  <c:v>1335</c:v>
                </c:pt>
                <c:pt idx="473">
                  <c:v>1340</c:v>
                </c:pt>
                <c:pt idx="474">
                  <c:v>1345</c:v>
                </c:pt>
                <c:pt idx="475">
                  <c:v>1350</c:v>
                </c:pt>
                <c:pt idx="476">
                  <c:v>1355</c:v>
                </c:pt>
                <c:pt idx="477">
                  <c:v>1360</c:v>
                </c:pt>
                <c:pt idx="478">
                  <c:v>1365</c:v>
                </c:pt>
                <c:pt idx="479">
                  <c:v>1370</c:v>
                </c:pt>
                <c:pt idx="480">
                  <c:v>1375</c:v>
                </c:pt>
                <c:pt idx="481">
                  <c:v>1380</c:v>
                </c:pt>
                <c:pt idx="482">
                  <c:v>1385</c:v>
                </c:pt>
                <c:pt idx="483">
                  <c:v>1390</c:v>
                </c:pt>
                <c:pt idx="484">
                  <c:v>1395</c:v>
                </c:pt>
                <c:pt idx="485">
                  <c:v>1400</c:v>
                </c:pt>
                <c:pt idx="486">
                  <c:v>1405</c:v>
                </c:pt>
                <c:pt idx="487">
                  <c:v>1410</c:v>
                </c:pt>
                <c:pt idx="488">
                  <c:v>1415</c:v>
                </c:pt>
                <c:pt idx="489">
                  <c:v>1420</c:v>
                </c:pt>
                <c:pt idx="490">
                  <c:v>1425</c:v>
                </c:pt>
                <c:pt idx="491">
                  <c:v>1430</c:v>
                </c:pt>
                <c:pt idx="492">
                  <c:v>1435</c:v>
                </c:pt>
                <c:pt idx="493">
                  <c:v>1440</c:v>
                </c:pt>
                <c:pt idx="494">
                  <c:v>1445</c:v>
                </c:pt>
                <c:pt idx="495">
                  <c:v>1450</c:v>
                </c:pt>
                <c:pt idx="496">
                  <c:v>1455</c:v>
                </c:pt>
                <c:pt idx="497">
                  <c:v>1460</c:v>
                </c:pt>
                <c:pt idx="498">
                  <c:v>1465</c:v>
                </c:pt>
                <c:pt idx="499">
                  <c:v>1470</c:v>
                </c:pt>
                <c:pt idx="500">
                  <c:v>1475</c:v>
                </c:pt>
                <c:pt idx="501">
                  <c:v>1480</c:v>
                </c:pt>
                <c:pt idx="502">
                  <c:v>1485</c:v>
                </c:pt>
                <c:pt idx="503">
                  <c:v>1490</c:v>
                </c:pt>
                <c:pt idx="504">
                  <c:v>1495</c:v>
                </c:pt>
                <c:pt idx="505">
                  <c:v>1500</c:v>
                </c:pt>
                <c:pt idx="506">
                  <c:v>1505</c:v>
                </c:pt>
                <c:pt idx="507">
                  <c:v>1510</c:v>
                </c:pt>
                <c:pt idx="508">
                  <c:v>1515</c:v>
                </c:pt>
                <c:pt idx="509">
                  <c:v>1520</c:v>
                </c:pt>
                <c:pt idx="510">
                  <c:v>1525</c:v>
                </c:pt>
                <c:pt idx="511">
                  <c:v>1530</c:v>
                </c:pt>
                <c:pt idx="512">
                  <c:v>1535</c:v>
                </c:pt>
                <c:pt idx="513">
                  <c:v>1540</c:v>
                </c:pt>
                <c:pt idx="514">
                  <c:v>1545</c:v>
                </c:pt>
                <c:pt idx="515">
                  <c:v>1550</c:v>
                </c:pt>
                <c:pt idx="516">
                  <c:v>1555</c:v>
                </c:pt>
                <c:pt idx="517">
                  <c:v>1560</c:v>
                </c:pt>
                <c:pt idx="518">
                  <c:v>1565</c:v>
                </c:pt>
                <c:pt idx="519">
                  <c:v>1570</c:v>
                </c:pt>
                <c:pt idx="520">
                  <c:v>1575</c:v>
                </c:pt>
                <c:pt idx="521">
                  <c:v>1580</c:v>
                </c:pt>
                <c:pt idx="522">
                  <c:v>1585</c:v>
                </c:pt>
                <c:pt idx="523">
                  <c:v>1590</c:v>
                </c:pt>
                <c:pt idx="524">
                  <c:v>1595</c:v>
                </c:pt>
                <c:pt idx="525">
                  <c:v>1600</c:v>
                </c:pt>
                <c:pt idx="526">
                  <c:v>1605</c:v>
                </c:pt>
                <c:pt idx="527">
                  <c:v>1610</c:v>
                </c:pt>
                <c:pt idx="528">
                  <c:v>1615</c:v>
                </c:pt>
                <c:pt idx="529">
                  <c:v>1620</c:v>
                </c:pt>
                <c:pt idx="530">
                  <c:v>1625</c:v>
                </c:pt>
                <c:pt idx="531">
                  <c:v>1630</c:v>
                </c:pt>
                <c:pt idx="532">
                  <c:v>1635</c:v>
                </c:pt>
                <c:pt idx="533">
                  <c:v>1640</c:v>
                </c:pt>
                <c:pt idx="534">
                  <c:v>1645</c:v>
                </c:pt>
                <c:pt idx="535">
                  <c:v>1650</c:v>
                </c:pt>
                <c:pt idx="536">
                  <c:v>1655</c:v>
                </c:pt>
                <c:pt idx="537">
                  <c:v>1660</c:v>
                </c:pt>
                <c:pt idx="538">
                  <c:v>1665</c:v>
                </c:pt>
                <c:pt idx="539">
                  <c:v>1670</c:v>
                </c:pt>
                <c:pt idx="540">
                  <c:v>1675</c:v>
                </c:pt>
                <c:pt idx="541">
                  <c:v>1680</c:v>
                </c:pt>
                <c:pt idx="542">
                  <c:v>1685</c:v>
                </c:pt>
                <c:pt idx="543">
                  <c:v>1690</c:v>
                </c:pt>
                <c:pt idx="544">
                  <c:v>1695</c:v>
                </c:pt>
                <c:pt idx="545">
                  <c:v>1700</c:v>
                </c:pt>
                <c:pt idx="546">
                  <c:v>1705</c:v>
                </c:pt>
                <c:pt idx="547">
                  <c:v>1710</c:v>
                </c:pt>
                <c:pt idx="548">
                  <c:v>1715</c:v>
                </c:pt>
                <c:pt idx="549">
                  <c:v>1720</c:v>
                </c:pt>
                <c:pt idx="550">
                  <c:v>1725</c:v>
                </c:pt>
                <c:pt idx="551">
                  <c:v>1730</c:v>
                </c:pt>
                <c:pt idx="552">
                  <c:v>1735</c:v>
                </c:pt>
                <c:pt idx="553">
                  <c:v>1740</c:v>
                </c:pt>
                <c:pt idx="554">
                  <c:v>1745</c:v>
                </c:pt>
                <c:pt idx="555">
                  <c:v>1750</c:v>
                </c:pt>
                <c:pt idx="556">
                  <c:v>1755</c:v>
                </c:pt>
                <c:pt idx="557">
                  <c:v>1760</c:v>
                </c:pt>
                <c:pt idx="558">
                  <c:v>1765</c:v>
                </c:pt>
                <c:pt idx="559">
                  <c:v>1770</c:v>
                </c:pt>
                <c:pt idx="560">
                  <c:v>1775</c:v>
                </c:pt>
                <c:pt idx="561">
                  <c:v>1780</c:v>
                </c:pt>
                <c:pt idx="562">
                  <c:v>1785</c:v>
                </c:pt>
                <c:pt idx="563">
                  <c:v>1790</c:v>
                </c:pt>
                <c:pt idx="564">
                  <c:v>1795</c:v>
                </c:pt>
                <c:pt idx="565">
                  <c:v>1800</c:v>
                </c:pt>
                <c:pt idx="566">
                  <c:v>1805</c:v>
                </c:pt>
                <c:pt idx="567">
                  <c:v>1810</c:v>
                </c:pt>
                <c:pt idx="568">
                  <c:v>1815</c:v>
                </c:pt>
                <c:pt idx="569">
                  <c:v>1820</c:v>
                </c:pt>
                <c:pt idx="570">
                  <c:v>1825</c:v>
                </c:pt>
                <c:pt idx="571">
                  <c:v>1830</c:v>
                </c:pt>
                <c:pt idx="572">
                  <c:v>1835</c:v>
                </c:pt>
                <c:pt idx="573">
                  <c:v>1840</c:v>
                </c:pt>
                <c:pt idx="574">
                  <c:v>1845</c:v>
                </c:pt>
                <c:pt idx="575">
                  <c:v>1850</c:v>
                </c:pt>
                <c:pt idx="576">
                  <c:v>1855</c:v>
                </c:pt>
                <c:pt idx="577">
                  <c:v>1860</c:v>
                </c:pt>
                <c:pt idx="578">
                  <c:v>1865</c:v>
                </c:pt>
                <c:pt idx="579">
                  <c:v>1870</c:v>
                </c:pt>
                <c:pt idx="580">
                  <c:v>1875</c:v>
                </c:pt>
                <c:pt idx="581">
                  <c:v>1880</c:v>
                </c:pt>
                <c:pt idx="582">
                  <c:v>1885</c:v>
                </c:pt>
                <c:pt idx="583">
                  <c:v>1890</c:v>
                </c:pt>
                <c:pt idx="584">
                  <c:v>1895</c:v>
                </c:pt>
                <c:pt idx="585">
                  <c:v>1900</c:v>
                </c:pt>
                <c:pt idx="586">
                  <c:v>1905</c:v>
                </c:pt>
                <c:pt idx="587">
                  <c:v>1910</c:v>
                </c:pt>
                <c:pt idx="588">
                  <c:v>1915</c:v>
                </c:pt>
                <c:pt idx="589">
                  <c:v>1920</c:v>
                </c:pt>
                <c:pt idx="590">
                  <c:v>1925</c:v>
                </c:pt>
                <c:pt idx="591">
                  <c:v>1930</c:v>
                </c:pt>
                <c:pt idx="592">
                  <c:v>1935</c:v>
                </c:pt>
                <c:pt idx="593">
                  <c:v>1940</c:v>
                </c:pt>
                <c:pt idx="594">
                  <c:v>1945</c:v>
                </c:pt>
                <c:pt idx="595">
                  <c:v>1950</c:v>
                </c:pt>
                <c:pt idx="596">
                  <c:v>1955</c:v>
                </c:pt>
                <c:pt idx="597">
                  <c:v>1960</c:v>
                </c:pt>
                <c:pt idx="598">
                  <c:v>1965</c:v>
                </c:pt>
                <c:pt idx="599">
                  <c:v>1970</c:v>
                </c:pt>
                <c:pt idx="600">
                  <c:v>1975</c:v>
                </c:pt>
                <c:pt idx="601">
                  <c:v>1980</c:v>
                </c:pt>
                <c:pt idx="602">
                  <c:v>1985</c:v>
                </c:pt>
                <c:pt idx="603">
                  <c:v>1990</c:v>
                </c:pt>
                <c:pt idx="604">
                  <c:v>1995</c:v>
                </c:pt>
                <c:pt idx="605">
                  <c:v>2000</c:v>
                </c:pt>
                <c:pt idx="606">
                  <c:v>2250</c:v>
                </c:pt>
                <c:pt idx="607">
                  <c:v>2500</c:v>
                </c:pt>
                <c:pt idx="608">
                  <c:v>2750</c:v>
                </c:pt>
                <c:pt idx="609">
                  <c:v>3000</c:v>
                </c:pt>
                <c:pt idx="610">
                  <c:v>3250</c:v>
                </c:pt>
                <c:pt idx="611">
                  <c:v>3500</c:v>
                </c:pt>
                <c:pt idx="612">
                  <c:v>3750</c:v>
                </c:pt>
                <c:pt idx="613">
                  <c:v>4000</c:v>
                </c:pt>
                <c:pt idx="614">
                  <c:v>4250</c:v>
                </c:pt>
                <c:pt idx="615">
                  <c:v>4500</c:v>
                </c:pt>
                <c:pt idx="616">
                  <c:v>4750</c:v>
                </c:pt>
                <c:pt idx="617">
                  <c:v>5000</c:v>
                </c:pt>
                <c:pt idx="618">
                  <c:v>5100</c:v>
                </c:pt>
                <c:pt idx="619">
                  <c:v>5200</c:v>
                </c:pt>
                <c:pt idx="620">
                  <c:v>5300</c:v>
                </c:pt>
                <c:pt idx="621">
                  <c:v>5400</c:v>
                </c:pt>
                <c:pt idx="622">
                  <c:v>5500</c:v>
                </c:pt>
                <c:pt idx="623">
                  <c:v>5600</c:v>
                </c:pt>
                <c:pt idx="624">
                  <c:v>5700</c:v>
                </c:pt>
                <c:pt idx="625">
                  <c:v>5800</c:v>
                </c:pt>
                <c:pt idx="626">
                  <c:v>5900</c:v>
                </c:pt>
                <c:pt idx="627">
                  <c:v>6000</c:v>
                </c:pt>
                <c:pt idx="628">
                  <c:v>6100</c:v>
                </c:pt>
                <c:pt idx="629">
                  <c:v>6200</c:v>
                </c:pt>
                <c:pt idx="630">
                  <c:v>6300</c:v>
                </c:pt>
                <c:pt idx="631">
                  <c:v>6400</c:v>
                </c:pt>
                <c:pt idx="632">
                  <c:v>6500</c:v>
                </c:pt>
                <c:pt idx="633">
                  <c:v>6600</c:v>
                </c:pt>
                <c:pt idx="634">
                  <c:v>6700</c:v>
                </c:pt>
                <c:pt idx="635">
                  <c:v>6800</c:v>
                </c:pt>
                <c:pt idx="636">
                  <c:v>6900</c:v>
                </c:pt>
                <c:pt idx="637">
                  <c:v>7000</c:v>
                </c:pt>
                <c:pt idx="638">
                  <c:v>7100</c:v>
                </c:pt>
                <c:pt idx="639">
                  <c:v>7200</c:v>
                </c:pt>
                <c:pt idx="640">
                  <c:v>7300</c:v>
                </c:pt>
                <c:pt idx="641">
                  <c:v>7400</c:v>
                </c:pt>
                <c:pt idx="642">
                  <c:v>7500</c:v>
                </c:pt>
                <c:pt idx="643">
                  <c:v>7600</c:v>
                </c:pt>
                <c:pt idx="644">
                  <c:v>7700</c:v>
                </c:pt>
                <c:pt idx="645">
                  <c:v>7800</c:v>
                </c:pt>
                <c:pt idx="646">
                  <c:v>7900</c:v>
                </c:pt>
                <c:pt idx="647">
                  <c:v>8000</c:v>
                </c:pt>
                <c:pt idx="648">
                  <c:v>8100</c:v>
                </c:pt>
                <c:pt idx="649">
                  <c:v>8200</c:v>
                </c:pt>
                <c:pt idx="650">
                  <c:v>8300</c:v>
                </c:pt>
                <c:pt idx="651">
                  <c:v>8400</c:v>
                </c:pt>
                <c:pt idx="652">
                  <c:v>8500</c:v>
                </c:pt>
                <c:pt idx="653">
                  <c:v>8600</c:v>
                </c:pt>
                <c:pt idx="654">
                  <c:v>8700</c:v>
                </c:pt>
                <c:pt idx="655">
                  <c:v>8800</c:v>
                </c:pt>
                <c:pt idx="656">
                  <c:v>8900</c:v>
                </c:pt>
                <c:pt idx="657">
                  <c:v>9000</c:v>
                </c:pt>
                <c:pt idx="658">
                  <c:v>9100</c:v>
                </c:pt>
                <c:pt idx="659">
                  <c:v>9200</c:v>
                </c:pt>
                <c:pt idx="660">
                  <c:v>9300</c:v>
                </c:pt>
                <c:pt idx="661">
                  <c:v>9400</c:v>
                </c:pt>
                <c:pt idx="662">
                  <c:v>9500</c:v>
                </c:pt>
                <c:pt idx="663">
                  <c:v>9600</c:v>
                </c:pt>
                <c:pt idx="664">
                  <c:v>9700</c:v>
                </c:pt>
                <c:pt idx="665">
                  <c:v>9800</c:v>
                </c:pt>
                <c:pt idx="666">
                  <c:v>9900</c:v>
                </c:pt>
                <c:pt idx="667">
                  <c:v>10000</c:v>
                </c:pt>
              </c:numCache>
            </c:numRef>
          </c:xVal>
          <c:yVal>
            <c:numRef>
              <c:f>'Bode Plots Calculations'!$BF$9:$BF$676</c:f>
              <c:numCache>
                <c:formatCode>General</c:formatCode>
                <c:ptCount val="668"/>
                <c:pt idx="0">
                  <c:v>68.029083380773812</c:v>
                </c:pt>
                <c:pt idx="1">
                  <c:v>67.970781678194484</c:v>
                </c:pt>
                <c:pt idx="2">
                  <c:v>67.875318436912181</c:v>
                </c:pt>
                <c:pt idx="3">
                  <c:v>67.745099999468479</c:v>
                </c:pt>
                <c:pt idx="4">
                  <c:v>67.583216415606373</c:v>
                </c:pt>
                <c:pt idx="5">
                  <c:v>67.393218337815512</c:v>
                </c:pt>
                <c:pt idx="6">
                  <c:v>67.178892757066706</c:v>
                </c:pt>
                <c:pt idx="7">
                  <c:v>66.944062000830144</c:v>
                </c:pt>
                <c:pt idx="8">
                  <c:v>66.692421295864847</c:v>
                </c:pt>
                <c:pt idx="9">
                  <c:v>66.427420897092858</c:v>
                </c:pt>
                <c:pt idx="10">
                  <c:v>63.561421230646005</c:v>
                </c:pt>
                <c:pt idx="11">
                  <c:v>60.99625368524773</c:v>
                </c:pt>
                <c:pt idx="12">
                  <c:v>58.889244476827294</c:v>
                </c:pt>
                <c:pt idx="13">
                  <c:v>57.145130759341271</c:v>
                </c:pt>
                <c:pt idx="14">
                  <c:v>55.670746811018851</c:v>
                </c:pt>
                <c:pt idx="15">
                  <c:v>54.399095216612857</c:v>
                </c:pt>
                <c:pt idx="16">
                  <c:v>53.283555780116131</c:v>
                </c:pt>
                <c:pt idx="17">
                  <c:v>52.291207054092006</c:v>
                </c:pt>
                <c:pt idx="18">
                  <c:v>51.398220404131877</c:v>
                </c:pt>
                <c:pt idx="19">
                  <c:v>45.451687474645688</c:v>
                </c:pt>
                <c:pt idx="20">
                  <c:v>41.948252233056458</c:v>
                </c:pt>
                <c:pt idx="21">
                  <c:v>39.46128831059049</c:v>
                </c:pt>
                <c:pt idx="22">
                  <c:v>37.534435203817061</c:v>
                </c:pt>
                <c:pt idx="23">
                  <c:v>35.963202024709787</c:v>
                </c:pt>
                <c:pt idx="24">
                  <c:v>34.638214451903345</c:v>
                </c:pt>
                <c:pt idx="25">
                  <c:v>33.494088352669806</c:v>
                </c:pt>
                <c:pt idx="26">
                  <c:v>32.488608815080966</c:v>
                </c:pt>
                <c:pt idx="27">
                  <c:v>31.592931050976567</c:v>
                </c:pt>
                <c:pt idx="28">
                  <c:v>28.197243562652282</c:v>
                </c:pt>
                <c:pt idx="29">
                  <c:v>25.871626226256438</c:v>
                </c:pt>
                <c:pt idx="30">
                  <c:v>24.151239211715911</c:v>
                </c:pt>
                <c:pt idx="31">
                  <c:v>22.827122223127603</c:v>
                </c:pt>
                <c:pt idx="32">
                  <c:v>21.786159441078951</c:v>
                </c:pt>
                <c:pt idx="33">
                  <c:v>20.95945783781746</c:v>
                </c:pt>
                <c:pt idx="34">
                  <c:v>20.301487469451128</c:v>
                </c:pt>
                <c:pt idx="35">
                  <c:v>19.780330408760673</c:v>
                </c:pt>
                <c:pt idx="36">
                  <c:v>19.372620836406359</c:v>
                </c:pt>
                <c:pt idx="37">
                  <c:v>19.060699256728554</c:v>
                </c:pt>
                <c:pt idx="38">
                  <c:v>18.830903690869242</c:v>
                </c:pt>
                <c:pt idx="39">
                  <c:v>18.672485622647262</c:v>
                </c:pt>
                <c:pt idx="40">
                  <c:v>18.576889447511611</c:v>
                </c:pt>
                <c:pt idx="41">
                  <c:v>18.537254315726571</c:v>
                </c:pt>
                <c:pt idx="42">
                  <c:v>18.548058298956224</c:v>
                </c:pt>
                <c:pt idx="43">
                  <c:v>18.604857374524876</c:v>
                </c:pt>
                <c:pt idx="44">
                  <c:v>18.704089831282534</c:v>
                </c:pt>
                <c:pt idx="45">
                  <c:v>18.842927136980741</c:v>
                </c:pt>
                <c:pt idx="46">
                  <c:v>19.019158497887638</c:v>
                </c:pt>
                <c:pt idx="47">
                  <c:v>19.231100077477294</c:v>
                </c:pt>
                <c:pt idx="48">
                  <c:v>19.4775220728649</c:v>
                </c:pt>
                <c:pt idx="49">
                  <c:v>19.757588070693419</c:v>
                </c:pt>
                <c:pt idx="50">
                  <c:v>20.070801546133058</c:v>
                </c:pt>
                <c:pt idx="51">
                  <c:v>20.416954074884114</c:v>
                </c:pt>
                <c:pt idx="52">
                  <c:v>20.796068688337286</c:v>
                </c:pt>
                <c:pt idx="53">
                  <c:v>21.208329537760932</c:v>
                </c:pt>
                <c:pt idx="54">
                  <c:v>21.653985154735341</c:v>
                </c:pt>
                <c:pt idx="55">
                  <c:v>22.133206341013654</c:v>
                </c:pt>
                <c:pt idx="56">
                  <c:v>22.645870023996608</c:v>
                </c:pt>
                <c:pt idx="57">
                  <c:v>23.191226020257215</c:v>
                </c:pt>
                <c:pt idx="58">
                  <c:v>23.767383760091001</c:v>
                </c:pt>
                <c:pt idx="59">
                  <c:v>24.370532370472905</c:v>
                </c:pt>
                <c:pt idx="60">
                  <c:v>24.993789842975467</c:v>
                </c:pt>
                <c:pt idx="61">
                  <c:v>25.625595374601641</c:v>
                </c:pt>
                <c:pt idx="62">
                  <c:v>26.247684883884869</c:v>
                </c:pt>
                <c:pt idx="63">
                  <c:v>26.833052490200085</c:v>
                </c:pt>
                <c:pt idx="64">
                  <c:v>27.345027847546991</c:v>
                </c:pt>
                <c:pt idx="65">
                  <c:v>27.739515809037648</c:v>
                </c:pt>
                <c:pt idx="66">
                  <c:v>27.972503863840394</c:v>
                </c:pt>
                <c:pt idx="67">
                  <c:v>28.012356154016036</c:v>
                </c:pt>
                <c:pt idx="68">
                  <c:v>27.851381992938254</c:v>
                </c:pt>
                <c:pt idx="69">
                  <c:v>27.508904701499333</c:v>
                </c:pt>
                <c:pt idx="70">
                  <c:v>27.023469001196723</c:v>
                </c:pt>
                <c:pt idx="71">
                  <c:v>26.439950368999519</c:v>
                </c:pt>
                <c:pt idx="72">
                  <c:v>25.799103641109923</c:v>
                </c:pt>
                <c:pt idx="73">
                  <c:v>25.132657129133541</c:v>
                </c:pt>
                <c:pt idx="74">
                  <c:v>24.462824834320674</c:v>
                </c:pt>
                <c:pt idx="75">
                  <c:v>23.803938930263033</c:v>
                </c:pt>
                <c:pt idx="76">
                  <c:v>23.164562438096187</c:v>
                </c:pt>
                <c:pt idx="77">
                  <c:v>22.549334704784716</c:v>
                </c:pt>
                <c:pt idx="78">
                  <c:v>21.960353529320159</c:v>
                </c:pt>
                <c:pt idx="79">
                  <c:v>21.398132080037659</c:v>
                </c:pt>
                <c:pt idx="80">
                  <c:v>20.86223248479353</c:v>
                </c:pt>
                <c:pt idx="81">
                  <c:v>20.351673860644702</c:v>
                </c:pt>
                <c:pt idx="82">
                  <c:v>19.865189930270017</c:v>
                </c:pt>
                <c:pt idx="83">
                  <c:v>19.401388819813757</c:v>
                </c:pt>
                <c:pt idx="84">
                  <c:v>18.958850168021371</c:v>
                </c:pt>
                <c:pt idx="85">
                  <c:v>18.536182441804371</c:v>
                </c:pt>
                <c:pt idx="86">
                  <c:v>18.132055187974196</c:v>
                </c:pt>
                <c:pt idx="87">
                  <c:v>17.745215634722133</c:v>
                </c:pt>
                <c:pt idx="88">
                  <c:v>17.374495637943909</c:v>
                </c:pt>
                <c:pt idx="89">
                  <c:v>17.018812781473336</c:v>
                </c:pt>
                <c:pt idx="90">
                  <c:v>16.677168044828043</c:v>
                </c:pt>
                <c:pt idx="91">
                  <c:v>16.348641561120658</c:v>
                </c:pt>
                <c:pt idx="92">
                  <c:v>16.032387418461749</c:v>
                </c:pt>
                <c:pt idx="93">
                  <c:v>15.72762809414699</c:v>
                </c:pt>
                <c:pt idx="94">
                  <c:v>15.433648878246835</c:v>
                </c:pt>
                <c:pt idx="95">
                  <c:v>15.149792494831146</c:v>
                </c:pt>
                <c:pt idx="96">
                  <c:v>14.875454034901342</c:v>
                </c:pt>
                <c:pt idx="97">
                  <c:v>14.610076255893009</c:v>
                </c:pt>
                <c:pt idx="98">
                  <c:v>14.353145265945662</c:v>
                </c:pt>
                <c:pt idx="99">
                  <c:v>14.104186588996015</c:v>
                </c:pt>
                <c:pt idx="100">
                  <c:v>13.862761593939046</c:v>
                </c:pt>
                <c:pt idx="101">
                  <c:v>13.628464264239559</c:v>
                </c:pt>
                <c:pt idx="102">
                  <c:v>13.400918281269046</c:v>
                </c:pt>
                <c:pt idx="103">
                  <c:v>13.179774393857912</c:v>
                </c:pt>
                <c:pt idx="104">
                  <c:v>12.964708047164848</c:v>
                </c:pt>
                <c:pt idx="105">
                  <c:v>12.755417245372939</c:v>
                </c:pt>
                <c:pt idx="106">
                  <c:v>12.551620624544304</c:v>
                </c:pt>
                <c:pt idx="107">
                  <c:v>12.353055713956852</c:v>
                </c:pt>
                <c:pt idx="108">
                  <c:v>12.15947736626185</c:v>
                </c:pt>
                <c:pt idx="109">
                  <c:v>11.970656338747037</c:v>
                </c:pt>
                <c:pt idx="110">
                  <c:v>11.786378009819973</c:v>
                </c:pt>
                <c:pt idx="111">
                  <c:v>11.606441216513506</c:v>
                </c:pt>
                <c:pt idx="112">
                  <c:v>11.430657200351744</c:v>
                </c:pt>
                <c:pt idx="113">
                  <c:v>11.258848650301408</c:v>
                </c:pt>
                <c:pt idx="114">
                  <c:v>11.090848832776199</c:v>
                </c:pt>
                <c:pt idx="115">
                  <c:v>10.926500799771139</c:v>
                </c:pt>
                <c:pt idx="116">
                  <c:v>10.765656667190155</c:v>
                </c:pt>
                <c:pt idx="117">
                  <c:v>10.608176956305705</c:v>
                </c:pt>
                <c:pt idx="118">
                  <c:v>10.453929992064852</c:v>
                </c:pt>
                <c:pt idx="119">
                  <c:v>10.30279135264292</c:v>
                </c:pt>
                <c:pt idx="120">
                  <c:v>10.154643365253476</c:v>
                </c:pt>
                <c:pt idx="121">
                  <c:v>10.009374643760832</c:v>
                </c:pt>
                <c:pt idx="122">
                  <c:v>9.8668796641169969</c:v>
                </c:pt>
                <c:pt idx="123">
                  <c:v>9.7270583740660896</c:v>
                </c:pt>
                <c:pt idx="124">
                  <c:v>9.5898158339322492</c:v>
                </c:pt>
                <c:pt idx="125">
                  <c:v>9.4550618856374467</c:v>
                </c:pt>
                <c:pt idx="126">
                  <c:v>9.3227108473891178</c:v>
                </c:pt>
                <c:pt idx="127">
                  <c:v>9.1926812317377209</c:v>
                </c:pt>
                <c:pt idx="128">
                  <c:v>9.0648954849359207</c:v>
                </c:pt>
                <c:pt idx="129">
                  <c:v>8.9392797457367905</c:v>
                </c:pt>
                <c:pt idx="130">
                  <c:v>8.8157636219520725</c:v>
                </c:pt>
                <c:pt idx="131">
                  <c:v>8.694279983254745</c:v>
                </c:pt>
                <c:pt idx="132">
                  <c:v>8.5747647688564541</c:v>
                </c:pt>
                <c:pt idx="133">
                  <c:v>8.4571568088204749</c:v>
                </c:pt>
                <c:pt idx="134">
                  <c:v>8.3413976578878586</c:v>
                </c:pt>
                <c:pt idx="135">
                  <c:v>8.2274314407987745</c:v>
                </c:pt>
                <c:pt idx="136">
                  <c:v>8.1152047081849723</c:v>
                </c:pt>
                <c:pt idx="137">
                  <c:v>8.0046663021933018</c:v>
                </c:pt>
                <c:pt idx="138">
                  <c:v>7.8957672310760652</c:v>
                </c:pt>
                <c:pt idx="139">
                  <c:v>7.7884605520519399</c:v>
                </c:pt>
                <c:pt idx="140">
                  <c:v>7.6827012618026362</c:v>
                </c:pt>
                <c:pt idx="141">
                  <c:v>7.5784461940257568</c:v>
                </c:pt>
                <c:pt idx="142">
                  <c:v>7.4756539235143125</c:v>
                </c:pt>
                <c:pt idx="143">
                  <c:v>7.3742846762783998</c:v>
                </c:pt>
                <c:pt idx="144">
                  <c:v>7.2743002452656942</c:v>
                </c:pt>
                <c:pt idx="145">
                  <c:v>7.1756639112740732</c:v>
                </c:pt>
                <c:pt idx="146">
                  <c:v>7.0783403686835111</c:v>
                </c:pt>
                <c:pt idx="147">
                  <c:v>6.9822956556648208</c:v>
                </c:pt>
                <c:pt idx="148">
                  <c:v>6.8874970885504716</c:v>
                </c:pt>
                <c:pt idx="149">
                  <c:v>6.7939132000778653</c:v>
                </c:pt>
                <c:pt idx="150">
                  <c:v>6.7015136812385663</c:v>
                </c:pt>
                <c:pt idx="151">
                  <c:v>6.6102693264876677</c:v>
                </c:pt>
                <c:pt idx="152">
                  <c:v>6.5201519820867144</c:v>
                </c:pt>
                <c:pt idx="153">
                  <c:v>6.4311344973709685</c:v>
                </c:pt>
                <c:pt idx="154">
                  <c:v>6.3431906787477113</c:v>
                </c:pt>
                <c:pt idx="155">
                  <c:v>6.2562952462467933</c:v>
                </c:pt>
                <c:pt idx="156">
                  <c:v>6.1704237924581937</c:v>
                </c:pt>
                <c:pt idx="157">
                  <c:v>6.0855527437031887</c:v>
                </c:pt>
                <c:pt idx="158">
                  <c:v>6.0016593232973605</c:v>
                </c:pt>
                <c:pt idx="159">
                  <c:v>5.918721516773692</c:v>
                </c:pt>
                <c:pt idx="160">
                  <c:v>5.8367180389435038</c:v>
                </c:pt>
                <c:pt idx="161">
                  <c:v>5.7556283026817558</c:v>
                </c:pt>
                <c:pt idx="162">
                  <c:v>5.6754323893311822</c:v>
                </c:pt>
                <c:pt idx="163">
                  <c:v>5.5961110206270774</c:v>
                </c:pt>
                <c:pt idx="164">
                  <c:v>5.5176455320513966</c:v>
                </c:pt>
                <c:pt idx="165">
                  <c:v>5.4400178475310899</c:v>
                </c:pt>
                <c:pt idx="166">
                  <c:v>5.3632104554013038</c:v>
                </c:pt>
                <c:pt idx="167">
                  <c:v>5.2872063855595242</c:v>
                </c:pt>
                <c:pt idx="168">
                  <c:v>5.2119891877416213</c:v>
                </c:pt>
                <c:pt idx="169">
                  <c:v>5.1375429108553083</c:v>
                </c:pt>
                <c:pt idx="170">
                  <c:v>5.0638520833108203</c:v>
                </c:pt>
                <c:pt idx="171">
                  <c:v>4.9909016942924653</c:v>
                </c:pt>
                <c:pt idx="172">
                  <c:v>4.9186771759183809</c:v>
                </c:pt>
                <c:pt idx="173">
                  <c:v>4.8471643862391707</c:v>
                </c:pt>
                <c:pt idx="174">
                  <c:v>4.7763495930292423</c:v>
                </c:pt>
                <c:pt idx="175">
                  <c:v>4.7062194583276042</c:v>
                </c:pt>
                <c:pt idx="176">
                  <c:v>4.6367610236874421</c:v>
                </c:pt>
                <c:pt idx="177">
                  <c:v>4.5679616960965097</c:v>
                </c:pt>
                <c:pt idx="178">
                  <c:v>4.4998092345325338</c:v>
                </c:pt>
                <c:pt idx="179">
                  <c:v>4.4322917371201349</c:v>
                </c:pt>
                <c:pt idx="180">
                  <c:v>4.3653976288576288</c:v>
                </c:pt>
                <c:pt idx="181">
                  <c:v>4.2991156498842189</c:v>
                </c:pt>
                <c:pt idx="182">
                  <c:v>4.2334348442595129</c:v>
                </c:pt>
                <c:pt idx="183">
                  <c:v>4.1683445492293369</c:v>
                </c:pt>
                <c:pt idx="184">
                  <c:v>4.1038343849529433</c:v>
                </c:pt>
                <c:pt idx="185">
                  <c:v>4.0398942446685124</c:v>
                </c:pt>
                <c:pt idx="186">
                  <c:v>3.9765142852749276</c:v>
                </c:pt>
                <c:pt idx="187">
                  <c:v>3.91368491830917</c:v>
                </c:pt>
                <c:pt idx="188">
                  <c:v>3.8513968012998543</c:v>
                </c:pt>
                <c:pt idx="189">
                  <c:v>3.7896408294785351</c:v>
                </c:pt>
                <c:pt idx="190">
                  <c:v>3.7284081278313312</c:v>
                </c:pt>
                <c:pt idx="191">
                  <c:v>3.6676900434745301</c:v>
                </c:pt>
                <c:pt idx="192">
                  <c:v>3.6074781383387071</c:v>
                </c:pt>
                <c:pt idx="193">
                  <c:v>3.5477641821465618</c:v>
                </c:pt>
                <c:pt idx="194">
                  <c:v>3.4885401456708296</c:v>
                </c:pt>
                <c:pt idx="195">
                  <c:v>3.4297981942589462</c:v>
                </c:pt>
                <c:pt idx="196">
                  <c:v>3.3715306816122208</c:v>
                </c:pt>
                <c:pt idx="197">
                  <c:v>3.3137301438077134</c:v>
                </c:pt>
                <c:pt idx="198">
                  <c:v>3.256389293551623</c:v>
                </c:pt>
                <c:pt idx="199">
                  <c:v>3.199501014653809</c:v>
                </c:pt>
                <c:pt idx="200">
                  <c:v>3.1430583567132953</c:v>
                </c:pt>
                <c:pt idx="201">
                  <c:v>3.0870545300053367</c:v>
                </c:pt>
                <c:pt idx="202">
                  <c:v>3.0314829005611541</c:v>
                </c:pt>
                <c:pt idx="203">
                  <c:v>2.9763369854316037</c:v>
                </c:pt>
                <c:pt idx="204">
                  <c:v>2.9216104481268914</c:v>
                </c:pt>
                <c:pt idx="205">
                  <c:v>2.8672970942245439</c:v>
                </c:pt>
                <c:pt idx="206">
                  <c:v>2.813390867138315</c:v>
                </c:pt>
                <c:pt idx="207">
                  <c:v>2.75988584404113</c:v>
                </c:pt>
                <c:pt idx="208">
                  <c:v>2.7067762319355042</c:v>
                </c:pt>
                <c:pt idx="209">
                  <c:v>2.654056363865029</c:v>
                </c:pt>
                <c:pt idx="210">
                  <c:v>2.6017206952611311</c:v>
                </c:pt>
                <c:pt idx="211">
                  <c:v>2.549763800419262</c:v>
                </c:pt>
                <c:pt idx="212">
                  <c:v>2.4981803690992659</c:v>
                </c:pt>
                <c:pt idx="213">
                  <c:v>2.4469652032446376</c:v>
                </c:pt>
                <c:pt idx="214">
                  <c:v>2.3961132138158594</c:v>
                </c:pt>
                <c:pt idx="215">
                  <c:v>2.3456194177331486</c:v>
                </c:pt>
                <c:pt idx="216">
                  <c:v>2.2954789349240574</c:v>
                </c:pt>
                <c:pt idx="217">
                  <c:v>2.2456869854718562</c:v>
                </c:pt>
                <c:pt idx="218">
                  <c:v>2.1962388868604603</c:v>
                </c:pt>
                <c:pt idx="219">
                  <c:v>2.14713005131222</c:v>
                </c:pt>
                <c:pt idx="220">
                  <c:v>2.0983559832147605</c:v>
                </c:pt>
                <c:pt idx="221">
                  <c:v>2.0499122766334055</c:v>
                </c:pt>
                <c:pt idx="222">
                  <c:v>2.0017946129058286</c:v>
                </c:pt>
                <c:pt idx="223">
                  <c:v>1.9539987583157252</c:v>
                </c:pt>
                <c:pt idx="224">
                  <c:v>1.9065205618424215</c:v>
                </c:pt>
                <c:pt idx="225">
                  <c:v>1.859355952983567</c:v>
                </c:pt>
                <c:pt idx="226">
                  <c:v>1.4041152192327289</c:v>
                </c:pt>
                <c:pt idx="227">
                  <c:v>0.97628031314613017</c:v>
                </c:pt>
                <c:pt idx="228">
                  <c:v>0.57283359766806896</c:v>
                </c:pt>
                <c:pt idx="229">
                  <c:v>0.19122786208862738</c:v>
                </c:pt>
                <c:pt idx="230">
                  <c:v>-0.17071000207685147</c:v>
                </c:pt>
                <c:pt idx="231">
                  <c:v>-0.51485213544652986</c:v>
                </c:pt>
                <c:pt idx="232">
                  <c:v>-0.84282601856458372</c:v>
                </c:pt>
                <c:pt idx="233">
                  <c:v>-1.1560583769817299</c:v>
                </c:pt>
                <c:pt idx="234">
                  <c:v>-1.4558098120120504</c:v>
                </c:pt>
                <c:pt idx="235">
                  <c:v>-1.7432024040364698</c:v>
                </c:pt>
                <c:pt idx="236">
                  <c:v>-2.0192419251485614</c:v>
                </c:pt>
                <c:pt idx="237">
                  <c:v>-2.2848358691149908</c:v>
                </c:pt>
                <c:pt idx="238">
                  <c:v>-2.5408082008582156</c:v>
                </c:pt>
                <c:pt idx="239">
                  <c:v>-2.7879115067493765</c:v>
                </c:pt>
                <c:pt idx="240">
                  <c:v>-3.0268370654197927</c:v>
                </c:pt>
                <c:pt idx="241">
                  <c:v>-3.2582232392772665</c:v>
                </c:pt>
                <c:pt idx="242">
                  <c:v>-3.4826624975753022</c:v>
                </c:pt>
                <c:pt idx="243">
                  <c:v>-3.7007073144647018</c:v>
                </c:pt>
                <c:pt idx="244">
                  <c:v>-3.9128751341339201</c:v>
                </c:pt>
                <c:pt idx="245">
                  <c:v>-4.119652555771312</c:v>
                </c:pt>
                <c:pt idx="246">
                  <c:v>-4.3214988606687479</c:v>
                </c:pt>
                <c:pt idx="247">
                  <c:v>-4.5188489801623009</c:v>
                </c:pt>
                <c:pt idx="248">
                  <c:v>-4.7121159846742291</c:v>
                </c:pt>
                <c:pt idx="249">
                  <c:v>-4.9016931596999216</c:v>
                </c:pt>
                <c:pt idx="250">
                  <c:v>-5.0879557232874379</c:v>
                </c:pt>
                <c:pt idx="251">
                  <c:v>-5.2712622307168031</c:v>
                </c:pt>
                <c:pt idx="252">
                  <c:v>-5.4519557051888468</c:v>
                </c:pt>
                <c:pt idx="253">
                  <c:v>-5.6303645279825032</c:v>
                </c:pt>
                <c:pt idx="254">
                  <c:v>-5.8068031174225787</c:v>
                </c:pt>
                <c:pt idx="255">
                  <c:v>-5.9815724228678144</c:v>
                </c:pt>
                <c:pt idx="256">
                  <c:v>-6.1549602575763949</c:v>
                </c:pt>
                <c:pt idx="257">
                  <c:v>-6.3272414925643696</c:v>
                </c:pt>
                <c:pt idx="258">
                  <c:v>-6.4986781322945699</c:v>
                </c:pt>
                <c:pt idx="259">
                  <c:v>-6.6695192920959192</c:v>
                </c:pt>
                <c:pt idx="260">
                  <c:v>-6.8400010965033999</c:v>
                </c:pt>
                <c:pt idx="261">
                  <c:v>-7.0103465171301629</c:v>
                </c:pt>
                <c:pt idx="262">
                  <c:v>-7.1807651681491649</c:v>
                </c:pt>
                <c:pt idx="263">
                  <c:v>-7.3514530768967399</c:v>
                </c:pt>
                <c:pt idx="264">
                  <c:v>-7.522592446451716</c:v>
                </c:pt>
                <c:pt idx="265">
                  <c:v>-7.6943514262395309</c:v>
                </c:pt>
                <c:pt idx="266">
                  <c:v>-7.8668839057239959</c:v>
                </c:pt>
                <c:pt idx="267">
                  <c:v>-8.0403293450555982</c:v>
                </c:pt>
                <c:pt idx="268">
                  <c:v>-8.2148126551358818</c:v>
                </c:pt>
                <c:pt idx="269">
                  <c:v>-8.3904441379377044</c:v>
                </c:pt>
                <c:pt idx="270">
                  <c:v>-8.5673194961106844</c:v>
                </c:pt>
                <c:pt idx="271">
                  <c:v>-8.7455199189328319</c:v>
                </c:pt>
                <c:pt idx="272">
                  <c:v>-8.925112249585931</c:v>
                </c:pt>
                <c:pt idx="273">
                  <c:v>-9.1061492365867576</c:v>
                </c:pt>
                <c:pt idx="274">
                  <c:v>-9.2886698700556884</c:v>
                </c:pt>
                <c:pt idx="275">
                  <c:v>-9.4726998014090835</c:v>
                </c:pt>
                <c:pt idx="276">
                  <c:v>-9.6582518430814304</c:v>
                </c:pt>
                <c:pt idx="277">
                  <c:v>-9.8453265430719803</c:v>
                </c:pt>
                <c:pt idx="278">
                  <c:v>-10.033912827517639</c:v>
                </c:pt>
                <c:pt idx="279">
                  <c:v>-10.223988703156849</c:v>
                </c:pt>
                <c:pt idx="280">
                  <c:v>-10.415522010496797</c:v>
                </c:pt>
                <c:pt idx="281">
                  <c:v>-10.608471217744</c:v>
                </c:pt>
                <c:pt idx="282">
                  <c:v>-10.80278624510999</c:v>
                </c:pt>
                <c:pt idx="283">
                  <c:v>-10.998409308951974</c:v>
                </c:pt>
                <c:pt idx="284">
                  <c:v>-11.19527577533429</c:v>
                </c:pt>
                <c:pt idx="285">
                  <c:v>-11.393315012974304</c:v>
                </c:pt>
                <c:pt idx="286">
                  <c:v>-11.592451236131222</c:v>
                </c:pt>
                <c:pt idx="287">
                  <c:v>-11.792604328771109</c:v>
                </c:pt>
                <c:pt idx="288">
                  <c:v>-11.993690642254309</c:v>
                </c:pt>
                <c:pt idx="289">
                  <c:v>-12.19562375980237</c:v>
                </c:pt>
                <c:pt idx="290">
                  <c:v>-12.398315222069629</c:v>
                </c:pt>
                <c:pt idx="291">
                  <c:v>-12.601675209233868</c:v>
                </c:pt>
                <c:pt idx="292">
                  <c:v>-12.805613176097106</c:v>
                </c:pt>
                <c:pt idx="293">
                  <c:v>-13.010038437724383</c:v>
                </c:pt>
                <c:pt idx="294">
                  <c:v>-13.214860704121463</c:v>
                </c:pt>
                <c:pt idx="295">
                  <c:v>-13.419990563345138</c:v>
                </c:pt>
                <c:pt idx="296">
                  <c:v>-13.62533991323922</c:v>
                </c:pt>
                <c:pt idx="297">
                  <c:v>-13.830822342687849</c:v>
                </c:pt>
                <c:pt idx="298">
                  <c:v>-14.036353463872649</c:v>
                </c:pt>
                <c:pt idx="299">
                  <c:v>-14.241851197511028</c:v>
                </c:pt>
                <c:pt idx="300">
                  <c:v>-14.447236013444476</c:v>
                </c:pt>
                <c:pt idx="301">
                  <c:v>-14.652431129241565</c:v>
                </c:pt>
                <c:pt idx="302">
                  <c:v>-14.857362669691131</c:v>
                </c:pt>
                <c:pt idx="303">
                  <c:v>-15.061959790192216</c:v>
                </c:pt>
                <c:pt idx="304">
                  <c:v>-15.266154767110855</c:v>
                </c:pt>
                <c:pt idx="305">
                  <c:v>-15.469883058177594</c:v>
                </c:pt>
                <c:pt idx="306">
                  <c:v>-15.673083335953867</c:v>
                </c:pt>
                <c:pt idx="307">
                  <c:v>-15.875697497308721</c:v>
                </c:pt>
                <c:pt idx="308">
                  <c:v>-16.077670651728809</c:v>
                </c:pt>
                <c:pt idx="309">
                  <c:v>-16.278951091140883</c:v>
                </c:pt>
                <c:pt idx="310">
                  <c:v>-16.479490243765049</c:v>
                </c:pt>
                <c:pt idx="311">
                  <c:v>-16.679242614343995</c:v>
                </c:pt>
                <c:pt idx="312">
                  <c:v>-16.878165712913901</c:v>
                </c:pt>
                <c:pt idx="313">
                  <c:v>-17.076219974101082</c:v>
                </c:pt>
                <c:pt idx="314">
                  <c:v>-17.273368668747725</c:v>
                </c:pt>
                <c:pt idx="315">
                  <c:v>-17.469577809494172</c:v>
                </c:pt>
                <c:pt idx="316">
                  <c:v>-17.664816051775063</c:v>
                </c:pt>
                <c:pt idx="317">
                  <c:v>-17.859054591525084</c:v>
                </c:pt>
                <c:pt idx="318">
                  <c:v>-18.052267060737638</c:v>
                </c:pt>
                <c:pt idx="319">
                  <c:v>-18.244429421877271</c:v>
                </c:pt>
                <c:pt idx="320">
                  <c:v>-18.435519862014985</c:v>
                </c:pt>
                <c:pt idx="321">
                  <c:v>-18.625518687434226</c:v>
                </c:pt>
                <c:pt idx="322">
                  <c:v>-18.814408219344848</c:v>
                </c:pt>
                <c:pt idx="323">
                  <c:v>-19.00217269124191</c:v>
                </c:pt>
                <c:pt idx="324">
                  <c:v>-19.188798148356078</c:v>
                </c:pt>
                <c:pt idx="325">
                  <c:v>-19.374272349561132</c:v>
                </c:pt>
                <c:pt idx="326">
                  <c:v>-19.558584672032588</c:v>
                </c:pt>
                <c:pt idx="327">
                  <c:v>-19.741726018887324</c:v>
                </c:pt>
                <c:pt idx="328">
                  <c:v>-19.923688729978434</c:v>
                </c:pt>
                <c:pt idx="329">
                  <c:v>-20.104466495970506</c:v>
                </c:pt>
                <c:pt idx="330">
                  <c:v>-20.28405427577804</c:v>
                </c:pt>
                <c:pt idx="331">
                  <c:v>-20.462448217413204</c:v>
                </c:pt>
                <c:pt idx="332">
                  <c:v>-20.639645582257764</c:v>
                </c:pt>
                <c:pt idx="333">
                  <c:v>-20.815644672747446</c:v>
                </c:pt>
                <c:pt idx="334">
                  <c:v>-20.990444763434791</c:v>
                </c:pt>
                <c:pt idx="335">
                  <c:v>-21.164046035377723</c:v>
                </c:pt>
                <c:pt idx="336">
                  <c:v>-21.336449513786121</c:v>
                </c:pt>
                <c:pt idx="337">
                  <c:v>-21.507657008846138</c:v>
                </c:pt>
                <c:pt idx="338">
                  <c:v>-21.677671059632424</c:v>
                </c:pt>
                <c:pt idx="339">
                  <c:v>-21.846494881010759</c:v>
                </c:pt>
                <c:pt idx="340">
                  <c:v>-22.014132313428195</c:v>
                </c:pt>
                <c:pt idx="341">
                  <c:v>-22.180587775483623</c:v>
                </c:pt>
                <c:pt idx="342">
                  <c:v>-22.345866219169533</c:v>
                </c:pt>
                <c:pt idx="343">
                  <c:v>-22.509973087674155</c:v>
                </c:pt>
                <c:pt idx="344">
                  <c:v>-22.672914275633197</c:v>
                </c:pt>
                <c:pt idx="345">
                  <c:v>-22.834696091720687</c:v>
                </c:pt>
                <c:pt idx="346">
                  <c:v>-22.995325223470214</c:v>
                </c:pt>
                <c:pt idx="347">
                  <c:v>-23.154808704219189</c:v>
                </c:pt>
                <c:pt idx="348">
                  <c:v>-23.31315388207177</c:v>
                </c:pt>
                <c:pt idx="349">
                  <c:v>-23.47036839077829</c:v>
                </c:pt>
                <c:pt idx="350">
                  <c:v>-23.626460122432505</c:v>
                </c:pt>
                <c:pt idx="351">
                  <c:v>-23.78143720189097</c:v>
                </c:pt>
                <c:pt idx="352">
                  <c:v>-23.935307962822474</c:v>
                </c:pt>
                <c:pt idx="353">
                  <c:v>-24.088080925298868</c:v>
                </c:pt>
                <c:pt idx="354">
                  <c:v>-24.239764774842342</c:v>
                </c:pt>
                <c:pt idx="355">
                  <c:v>-24.390368342847641</c:v>
                </c:pt>
                <c:pt idx="356">
                  <c:v>-24.53990058830156</c:v>
                </c:pt>
                <c:pt idx="357">
                  <c:v>-24.688370580725419</c:v>
                </c:pt>
                <c:pt idx="358">
                  <c:v>-24.835787484269893</c:v>
                </c:pt>
                <c:pt idx="359">
                  <c:v>-24.982160542894842</c:v>
                </c:pt>
                <c:pt idx="360">
                  <c:v>-25.127499066570401</c:v>
                </c:pt>
                <c:pt idx="361">
                  <c:v>-25.271812418438572</c:v>
                </c:pt>
                <c:pt idx="362">
                  <c:v>-25.415110002877878</c:v>
                </c:pt>
                <c:pt idx="363">
                  <c:v>-25.557401254416689</c:v>
                </c:pt>
                <c:pt idx="364">
                  <c:v>-25.698695627443641</c:v>
                </c:pt>
                <c:pt idx="365">
                  <c:v>-25.83900258666651</c:v>
                </c:pt>
                <c:pt idx="366">
                  <c:v>-25.978331598273442</c:v>
                </c:pt>
                <c:pt idx="367">
                  <c:v>-26.116692121753236</c:v>
                </c:pt>
                <c:pt idx="368">
                  <c:v>-26.254093602333555</c:v>
                </c:pt>
                <c:pt idx="369">
                  <c:v>-26.390545463998496</c:v>
                </c:pt>
                <c:pt idx="370">
                  <c:v>-26.526057103049048</c:v>
                </c:pt>
                <c:pt idx="371">
                  <c:v>-26.660637882172185</c:v>
                </c:pt>
                <c:pt idx="372">
                  <c:v>-26.794297124986166</c:v>
                </c:pt>
                <c:pt idx="373">
                  <c:v>-26.927044111031794</c:v>
                </c:pt>
                <c:pt idx="374">
                  <c:v>-27.058888071180878</c:v>
                </c:pt>
                <c:pt idx="375">
                  <c:v>-27.18983818343505</c:v>
                </c:pt>
                <c:pt idx="376">
                  <c:v>-27.319903569089657</c:v>
                </c:pt>
                <c:pt idx="377">
                  <c:v>-27.44909328923891</c:v>
                </c:pt>
                <c:pt idx="378">
                  <c:v>-27.577416341599989</c:v>
                </c:pt>
                <c:pt idx="379">
                  <c:v>-27.704881657635077</c:v>
                </c:pt>
                <c:pt idx="380">
                  <c:v>-27.831498099951677</c:v>
                </c:pt>
                <c:pt idx="381">
                  <c:v>-27.957274459962626</c:v>
                </c:pt>
                <c:pt idx="382">
                  <c:v>-28.082219455788543</c:v>
                </c:pt>
                <c:pt idx="383">
                  <c:v>-28.206341730386303</c:v>
                </c:pt>
                <c:pt idx="384">
                  <c:v>-28.329649849888359</c:v>
                </c:pt>
                <c:pt idx="385">
                  <c:v>-28.452152302138444</c:v>
                </c:pt>
                <c:pt idx="386">
                  <c:v>-28.573857495410376</c:v>
                </c:pt>
                <c:pt idx="387">
                  <c:v>-28.694773757297085</c:v>
                </c:pt>
                <c:pt idx="388">
                  <c:v>-28.814909333758361</c:v>
                </c:pt>
                <c:pt idx="389">
                  <c:v>-28.934272388315968</c:v>
                </c:pt>
                <c:pt idx="390">
                  <c:v>-29.052871001385835</c:v>
                </c:pt>
                <c:pt idx="391">
                  <c:v>-29.170713169737642</c:v>
                </c:pt>
                <c:pt idx="392">
                  <c:v>-29.287806806072567</c:v>
                </c:pt>
                <c:pt idx="393">
                  <c:v>-29.404159738710717</c:v>
                </c:pt>
                <c:pt idx="394">
                  <c:v>-29.519779711380266</c:v>
                </c:pt>
                <c:pt idx="395">
                  <c:v>-29.634674383100648</c:v>
                </c:pt>
                <c:pt idx="396">
                  <c:v>-29.748851328153055</c:v>
                </c:pt>
                <c:pt idx="397">
                  <c:v>-29.862318036131331</c:v>
                </c:pt>
                <c:pt idx="398">
                  <c:v>-29.975081912067473</c:v>
                </c:pt>
                <c:pt idx="399">
                  <c:v>-30.087150276625636</c:v>
                </c:pt>
                <c:pt idx="400">
                  <c:v>-30.198530366359527</c:v>
                </c:pt>
                <c:pt idx="401">
                  <c:v>-30.309229334027993</c:v>
                </c:pt>
                <c:pt idx="402">
                  <c:v>-30.419254248964155</c:v>
                </c:pt>
                <c:pt idx="403">
                  <c:v>-30.5286120974936</c:v>
                </c:pt>
                <c:pt idx="404">
                  <c:v>-30.637309783397697</c:v>
                </c:pt>
                <c:pt idx="405">
                  <c:v>-30.745354128417922</c:v>
                </c:pt>
                <c:pt idx="406">
                  <c:v>-30.852751872797821</c:v>
                </c:pt>
                <c:pt idx="407">
                  <c:v>-30.959509675859088</c:v>
                </c:pt>
                <c:pt idx="408">
                  <c:v>-31.065634116608742</c:v>
                </c:pt>
                <c:pt idx="409">
                  <c:v>-31.171131694374367</c:v>
                </c:pt>
                <c:pt idx="410">
                  <c:v>-31.276008829464725</c:v>
                </c:pt>
                <c:pt idx="411">
                  <c:v>-31.380271863853185</c:v>
                </c:pt>
                <c:pt idx="412">
                  <c:v>-31.483927061881595</c:v>
                </c:pt>
                <c:pt idx="413">
                  <c:v>-31.586980610982287</c:v>
                </c:pt>
                <c:pt idx="414">
                  <c:v>-31.689438622416304</c:v>
                </c:pt>
                <c:pt idx="415">
                  <c:v>-31.791307132025757</c:v>
                </c:pt>
                <c:pt idx="416">
                  <c:v>-31.892592100998577</c:v>
                </c:pt>
                <c:pt idx="417">
                  <c:v>-31.993299416644025</c:v>
                </c:pt>
                <c:pt idx="418">
                  <c:v>-32.09343489317731</c:v>
                </c:pt>
                <c:pt idx="419">
                  <c:v>-32.19300427251197</c:v>
                </c:pt>
                <c:pt idx="420">
                  <c:v>-32.292013225058582</c:v>
                </c:pt>
                <c:pt idx="421">
                  <c:v>-32.39046735052856</c:v>
                </c:pt>
                <c:pt idx="422">
                  <c:v>-32.488372178741969</c:v>
                </c:pt>
                <c:pt idx="423">
                  <c:v>-32.585733170438111</c:v>
                </c:pt>
                <c:pt idx="424">
                  <c:v>-32.682555718088054</c:v>
                </c:pt>
                <c:pt idx="425">
                  <c:v>-32.778845146708036</c:v>
                </c:pt>
                <c:pt idx="426">
                  <c:v>-32.874606714673043</c:v>
                </c:pt>
                <c:pt idx="427">
                  <c:v>-32.969845614529532</c:v>
                </c:pt>
                <c:pt idx="428">
                  <c:v>-33.064566973806869</c:v>
                </c:pt>
                <c:pt idx="429">
                  <c:v>-33.158775855826512</c:v>
                </c:pt>
                <c:pt idx="430">
                  <c:v>-33.252477260508535</c:v>
                </c:pt>
                <c:pt idx="431">
                  <c:v>-33.345676125174805</c:v>
                </c:pt>
                <c:pt idx="432">
                  <c:v>-33.438377325348327</c:v>
                </c:pt>
                <c:pt idx="433">
                  <c:v>-33.530585675548245</c:v>
                </c:pt>
                <c:pt idx="434">
                  <c:v>-33.622305930080067</c:v>
                </c:pt>
                <c:pt idx="435">
                  <c:v>-33.713542783820778</c:v>
                </c:pt>
                <c:pt idx="436">
                  <c:v>-33.80430087299834</c:v>
                </c:pt>
                <c:pt idx="437">
                  <c:v>-33.894584775965342</c:v>
                </c:pt>
                <c:pt idx="438">
                  <c:v>-33.984399013966481</c:v>
                </c:pt>
                <c:pt idx="439">
                  <c:v>-34.07374805189955</c:v>
                </c:pt>
                <c:pt idx="440">
                  <c:v>-34.162636299069781</c:v>
                </c:pt>
                <c:pt idx="441">
                  <c:v>-34.251068109937187</c:v>
                </c:pt>
                <c:pt idx="442">
                  <c:v>-34.339047784856817</c:v>
                </c:pt>
                <c:pt idx="443">
                  <c:v>-34.426579570811697</c:v>
                </c:pt>
                <c:pt idx="444">
                  <c:v>-34.513667662138332</c:v>
                </c:pt>
                <c:pt idx="445">
                  <c:v>-34.600316201244539</c:v>
                </c:pt>
                <c:pt idx="446">
                  <c:v>-34.686529279319643</c:v>
                </c:pt>
                <c:pt idx="447">
                  <c:v>-34.772310937036806</c:v>
                </c:pt>
                <c:pt idx="448">
                  <c:v>-34.857665165247433</c:v>
                </c:pt>
                <c:pt idx="449">
                  <c:v>-34.942595905667616</c:v>
                </c:pt>
                <c:pt idx="450">
                  <c:v>-35.027107051556555</c:v>
                </c:pt>
                <c:pt idx="451">
                  <c:v>-35.111202448386834</c:v>
                </c:pt>
                <c:pt idx="452">
                  <c:v>-35.194885894506626</c:v>
                </c:pt>
                <c:pt idx="453">
                  <c:v>-35.278161141793703</c:v>
                </c:pt>
                <c:pt idx="454">
                  <c:v>-35.361031896301313</c:v>
                </c:pt>
                <c:pt idx="455">
                  <c:v>-35.443501818895854</c:v>
                </c:pt>
                <c:pt idx="456">
                  <c:v>-35.525574525886398</c:v>
                </c:pt>
                <c:pt idx="457">
                  <c:v>-35.607253589646092</c:v>
                </c:pt>
                <c:pt idx="458">
                  <c:v>-35.688542539225331</c:v>
                </c:pt>
                <c:pt idx="459">
                  <c:v>-35.769444860956888</c:v>
                </c:pt>
                <c:pt idx="460">
                  <c:v>-35.849963999052932</c:v>
                </c:pt>
                <c:pt idx="461">
                  <c:v>-35.930103356194024</c:v>
                </c:pt>
                <c:pt idx="462">
                  <c:v>-36.00986629411009</c:v>
                </c:pt>
                <c:pt idx="463">
                  <c:v>-36.089256134153381</c:v>
                </c:pt>
                <c:pt idx="464">
                  <c:v>-36.168276157863644</c:v>
                </c:pt>
                <c:pt idx="465">
                  <c:v>-36.246929607525381</c:v>
                </c:pt>
                <c:pt idx="466">
                  <c:v>-36.32521968671724</c:v>
                </c:pt>
                <c:pt idx="467">
                  <c:v>-36.403149560853812</c:v>
                </c:pt>
                <c:pt idx="468">
                  <c:v>-36.480722357719685</c:v>
                </c:pt>
                <c:pt idx="469">
                  <c:v>-36.557941167995885</c:v>
                </c:pt>
                <c:pt idx="470">
                  <c:v>-36.63480904577888</c:v>
                </c:pt>
                <c:pt idx="471">
                  <c:v>-36.711329009092005</c:v>
                </c:pt>
                <c:pt idx="472">
                  <c:v>-36.787504040389607</c:v>
                </c:pt>
                <c:pt idx="473">
                  <c:v>-36.863337087053857</c:v>
                </c:pt>
                <c:pt idx="474">
                  <c:v>-36.938831061884329</c:v>
                </c:pt>
                <c:pt idx="475">
                  <c:v>-37.013988843580428</c:v>
                </c:pt>
                <c:pt idx="476">
                  <c:v>-37.088813277216786</c:v>
                </c:pt>
                <c:pt idx="477">
                  <c:v>-37.163307174711655</c:v>
                </c:pt>
                <c:pt idx="478">
                  <c:v>-37.237473315288369</c:v>
                </c:pt>
                <c:pt idx="479">
                  <c:v>-37.311314445930066</c:v>
                </c:pt>
                <c:pt idx="480">
                  <c:v>-37.384833281827596</c:v>
                </c:pt>
                <c:pt idx="481">
                  <c:v>-37.458032506820828</c:v>
                </c:pt>
                <c:pt idx="482">
                  <c:v>-37.530914773833359</c:v>
                </c:pt>
                <c:pt idx="483">
                  <c:v>-37.603482705300799</c:v>
                </c:pt>
                <c:pt idx="484">
                  <c:v>-37.67573889359258</c:v>
                </c:pt>
                <c:pt idx="485">
                  <c:v>-37.747685901427531</c:v>
                </c:pt>
                <c:pt idx="486">
                  <c:v>-37.819326262283127</c:v>
                </c:pt>
                <c:pt idx="487">
                  <c:v>-37.890662480798774</c:v>
                </c:pt>
                <c:pt idx="488">
                  <c:v>-37.961697033172804</c:v>
                </c:pt>
                <c:pt idx="489">
                  <c:v>-38.032432367553675</c:v>
                </c:pt>
                <c:pt idx="490">
                  <c:v>-38.102870904425231</c:v>
                </c:pt>
                <c:pt idx="491">
                  <c:v>-38.173015036986101</c:v>
                </c:pt>
                <c:pt idx="492">
                  <c:v>-38.242867131523454</c:v>
                </c:pt>
                <c:pt idx="493">
                  <c:v>-38.312429527781035</c:v>
                </c:pt>
                <c:pt idx="494">
                  <c:v>-38.381704539321746</c:v>
                </c:pt>
                <c:pt idx="495">
                  <c:v>-38.450694453884594</c:v>
                </c:pt>
                <c:pt idx="496">
                  <c:v>-38.519401533736414</c:v>
                </c:pt>
                <c:pt idx="497">
                  <c:v>-38.587828016018129</c:v>
                </c:pt>
                <c:pt idx="498">
                  <c:v>-38.655976113085828</c:v>
                </c:pt>
                <c:pt idx="499">
                  <c:v>-38.72384801284673</c:v>
                </c:pt>
                <c:pt idx="500">
                  <c:v>-38.791445879089949</c:v>
                </c:pt>
                <c:pt idx="501">
                  <c:v>-38.858771851812349</c:v>
                </c:pt>
                <c:pt idx="502">
                  <c:v>-38.925828047539447</c:v>
                </c:pt>
                <c:pt idx="503">
                  <c:v>-38.992616559641412</c:v>
                </c:pt>
                <c:pt idx="504">
                  <c:v>-39.059139458644331</c:v>
                </c:pt>
                <c:pt idx="505">
                  <c:v>-39.125398792536743</c:v>
                </c:pt>
                <c:pt idx="506">
                  <c:v>-39.191396587071566</c:v>
                </c:pt>
                <c:pt idx="507">
                  <c:v>-39.25713484606338</c:v>
                </c:pt>
                <c:pt idx="508">
                  <c:v>-39.322615551681331</c:v>
                </c:pt>
                <c:pt idx="509">
                  <c:v>-39.387840664737503</c:v>
                </c:pt>
                <c:pt idx="510">
                  <c:v>-39.452812124971018</c:v>
                </c:pt>
                <c:pt idx="511">
                  <c:v>-39.517531851327774</c:v>
                </c:pt>
                <c:pt idx="512">
                  <c:v>-39.582001742236031</c:v>
                </c:pt>
                <c:pt idx="513">
                  <c:v>-39.646223675877785</c:v>
                </c:pt>
                <c:pt idx="514">
                  <c:v>-39.710199510456107</c:v>
                </c:pt>
                <c:pt idx="515">
                  <c:v>-39.773931084458397</c:v>
                </c:pt>
                <c:pt idx="516">
                  <c:v>-39.837420216915767</c:v>
                </c:pt>
                <c:pt idx="517">
                  <c:v>-39.900668707658411</c:v>
                </c:pt>
                <c:pt idx="518">
                  <c:v>-39.963678337567224</c:v>
                </c:pt>
                <c:pt idx="519">
                  <c:v>-40.026450868821613</c:v>
                </c:pt>
                <c:pt idx="520">
                  <c:v>-40.088988045143637</c:v>
                </c:pt>
                <c:pt idx="521">
                  <c:v>-40.151291592038412</c:v>
                </c:pt>
                <c:pt idx="522">
                  <c:v>-40.213363217030974</c:v>
                </c:pt>
                <c:pt idx="523">
                  <c:v>-40.275204609899603</c:v>
                </c:pt>
                <c:pt idx="524">
                  <c:v>-40.336817442905627</c:v>
                </c:pt>
                <c:pt idx="525">
                  <c:v>-40.398203371019861</c:v>
                </c:pt>
                <c:pt idx="526">
                  <c:v>-40.459364032145579</c:v>
                </c:pt>
                <c:pt idx="527">
                  <c:v>-40.520301047338279</c:v>
                </c:pt>
                <c:pt idx="528">
                  <c:v>-40.581016021022094</c:v>
                </c:pt>
                <c:pt idx="529">
                  <c:v>-40.641510541203012</c:v>
                </c:pt>
                <c:pt idx="530">
                  <c:v>-40.701786179678983</c:v>
                </c:pt>
                <c:pt idx="531">
                  <c:v>-40.76184449224683</c:v>
                </c:pt>
                <c:pt idx="532">
                  <c:v>-40.821687018906161</c:v>
                </c:pt>
                <c:pt idx="533">
                  <c:v>-40.881315284060307</c:v>
                </c:pt>
                <c:pt idx="534">
                  <c:v>-40.940730796714149</c:v>
                </c:pt>
                <c:pt idx="535">
                  <c:v>-40.99993505066918</c:v>
                </c:pt>
                <c:pt idx="536">
                  <c:v>-41.058929524715623</c:v>
                </c:pt>
                <c:pt idx="537">
                  <c:v>-41.117715682821768</c:v>
                </c:pt>
                <c:pt idx="538">
                  <c:v>-41.176294974320477</c:v>
                </c:pt>
                <c:pt idx="539">
                  <c:v>-41.234668834092993</c:v>
                </c:pt>
                <c:pt idx="540">
                  <c:v>-41.292838682750087</c:v>
                </c:pt>
                <c:pt idx="541">
                  <c:v>-41.350805926810466</c:v>
                </c:pt>
                <c:pt idx="542">
                  <c:v>-41.408571958876664</c:v>
                </c:pt>
                <c:pt idx="543">
                  <c:v>-41.466138157808388</c:v>
                </c:pt>
                <c:pt idx="544">
                  <c:v>-41.523505888893212</c:v>
                </c:pt>
                <c:pt idx="545">
                  <c:v>-41.58067650401496</c:v>
                </c:pt>
                <c:pt idx="546">
                  <c:v>-41.63765134181952</c:v>
                </c:pt>
                <c:pt idx="547">
                  <c:v>-41.69443172787831</c:v>
                </c:pt>
                <c:pt idx="548">
                  <c:v>-41.751018974849394</c:v>
                </c:pt>
                <c:pt idx="549">
                  <c:v>-41.807414382636239</c:v>
                </c:pt>
                <c:pt idx="550">
                  <c:v>-41.863619238544189</c:v>
                </c:pt>
                <c:pt idx="551">
                  <c:v>-41.919634817434698</c:v>
                </c:pt>
                <c:pt idx="552">
                  <c:v>-41.975462381877399</c:v>
                </c:pt>
                <c:pt idx="553">
                  <c:v>-42.031103182299859</c:v>
                </c:pt>
                <c:pt idx="554">
                  <c:v>-42.086558457135339</c:v>
                </c:pt>
                <c:pt idx="555">
                  <c:v>-42.141829432968308</c:v>
                </c:pt>
                <c:pt idx="556">
                  <c:v>-42.196917324678019</c:v>
                </c:pt>
                <c:pt idx="557">
                  <c:v>-42.251823335579921</c:v>
                </c:pt>
                <c:pt idx="558">
                  <c:v>-42.306548657565116</c:v>
                </c:pt>
                <c:pt idx="559">
                  <c:v>-42.361094471237799</c:v>
                </c:pt>
                <c:pt idx="560">
                  <c:v>-42.415461946050847</c:v>
                </c:pt>
                <c:pt idx="561">
                  <c:v>-42.469652240439345</c:v>
                </c:pt>
                <c:pt idx="562">
                  <c:v>-42.523666501952334</c:v>
                </c:pt>
                <c:pt idx="563">
                  <c:v>-42.577505867382648</c:v>
                </c:pt>
                <c:pt idx="564">
                  <c:v>-42.631171462894962</c:v>
                </c:pt>
                <c:pt idx="565">
                  <c:v>-42.684664404152016</c:v>
                </c:pt>
                <c:pt idx="566">
                  <c:v>-42.737985796439048</c:v>
                </c:pt>
                <c:pt idx="567">
                  <c:v>-42.791136734786534</c:v>
                </c:pt>
                <c:pt idx="568">
                  <c:v>-42.844118304091161</c:v>
                </c:pt>
                <c:pt idx="569">
                  <c:v>-42.896931579235172</c:v>
                </c:pt>
                <c:pt idx="570">
                  <c:v>-42.949577625203979</c:v>
                </c:pt>
                <c:pt idx="571">
                  <c:v>-43.002057497202195</c:v>
                </c:pt>
                <c:pt idx="572">
                  <c:v>-43.054372240767989</c:v>
                </c:pt>
                <c:pt idx="573">
                  <c:v>-43.106522891885987</c:v>
                </c:pt>
                <c:pt idx="574">
                  <c:v>-43.15851047709846</c:v>
                </c:pt>
                <c:pt idx="575">
                  <c:v>-43.210336013615049</c:v>
                </c:pt>
                <c:pt idx="576">
                  <c:v>-43.262000509420972</c:v>
                </c:pt>
                <c:pt idx="577">
                  <c:v>-43.313504963383764</c:v>
                </c:pt>
                <c:pt idx="578">
                  <c:v>-43.364850365358535</c:v>
                </c:pt>
                <c:pt idx="579">
                  <c:v>-43.416037696291724</c:v>
                </c:pt>
                <c:pt idx="580">
                  <c:v>-43.467067928323537</c:v>
                </c:pt>
                <c:pt idx="581">
                  <c:v>-43.517942024888931</c:v>
                </c:pt>
                <c:pt idx="582">
                  <c:v>-43.568660940817203</c:v>
                </c:pt>
                <c:pt idx="583">
                  <c:v>-43.619225622430278</c:v>
                </c:pt>
                <c:pt idx="584">
                  <c:v>-43.669637007639615</c:v>
                </c:pt>
                <c:pt idx="585">
                  <c:v>-43.719896026041809</c:v>
                </c:pt>
                <c:pt idx="586">
                  <c:v>-43.770003599012938</c:v>
                </c:pt>
                <c:pt idx="587">
                  <c:v>-43.819960639801536</c:v>
                </c:pt>
                <c:pt idx="588">
                  <c:v>-43.86976805362049</c:v>
                </c:pt>
                <c:pt idx="589">
                  <c:v>-43.919426737737474</c:v>
                </c:pt>
                <c:pt idx="590">
                  <c:v>-43.968937581564369</c:v>
                </c:pt>
                <c:pt idx="591">
                  <c:v>-44.018301466745349</c:v>
                </c:pt>
                <c:pt idx="592">
                  <c:v>-44.067519267243888</c:v>
                </c:pt>
                <c:pt idx="593">
                  <c:v>-44.116591849428481</c:v>
                </c:pt>
                <c:pt idx="594">
                  <c:v>-44.165520072157378</c:v>
                </c:pt>
                <c:pt idx="595">
                  <c:v>-44.214304786862058</c:v>
                </c:pt>
                <c:pt idx="596">
                  <c:v>-44.262946837629677</c:v>
                </c:pt>
                <c:pt idx="597">
                  <c:v>-44.311447061284355</c:v>
                </c:pt>
                <c:pt idx="598">
                  <c:v>-44.35980628746745</c:v>
                </c:pt>
                <c:pt idx="599">
                  <c:v>-44.408025338716747</c:v>
                </c:pt>
                <c:pt idx="600">
                  <c:v>-44.456105030544592</c:v>
                </c:pt>
                <c:pt idx="601">
                  <c:v>-44.504046171515</c:v>
                </c:pt>
                <c:pt idx="602">
                  <c:v>-44.551849563319777</c:v>
                </c:pt>
                <c:pt idx="603">
                  <c:v>-44.599516000853626</c:v>
                </c:pt>
                <c:pt idx="604">
                  <c:v>-44.647046272288236</c:v>
                </c:pt>
                <c:pt idx="605">
                  <c:v>-44.69444115914547</c:v>
                </c:pt>
                <c:pt idx="606">
                  <c:v>-46.9071008945862</c:v>
                </c:pt>
                <c:pt idx="607">
                  <c:v>-48.860486057955974</c:v>
                </c:pt>
                <c:pt idx="608">
                  <c:v>-50.609771127158595</c:v>
                </c:pt>
                <c:pt idx="609">
                  <c:v>-52.194241394291467</c:v>
                </c:pt>
                <c:pt idx="610">
                  <c:v>-53.642819711140739</c:v>
                </c:pt>
                <c:pt idx="611">
                  <c:v>-54.97740337413218</c:v>
                </c:pt>
                <c:pt idx="612">
                  <c:v>-56.214966257411049</c:v>
                </c:pt>
                <c:pt idx="613">
                  <c:v>-57.368932707436343</c:v>
                </c:pt>
                <c:pt idx="614">
                  <c:v>-58.450104639941244</c:v>
                </c:pt>
                <c:pt idx="615">
                  <c:v>-59.467304837776823</c:v>
                </c:pt>
                <c:pt idx="616">
                  <c:v>-60.427834387736077</c:v>
                </c:pt>
                <c:pt idx="617">
                  <c:v>-61.337805057980319</c:v>
                </c:pt>
                <c:pt idx="618">
                  <c:v>-61.688547176851841</c:v>
                </c:pt>
                <c:pt idx="619">
                  <c:v>-62.032124024106345</c:v>
                </c:pt>
                <c:pt idx="620">
                  <c:v>-62.368831596225149</c:v>
                </c:pt>
                <c:pt idx="621">
                  <c:v>-62.698947669751746</c:v>
                </c:pt>
                <c:pt idx="622">
                  <c:v>-63.02273328280841</c:v>
                </c:pt>
                <c:pt idx="623">
                  <c:v>-63.340434068217931</c:v>
                </c:pt>
                <c:pt idx="624">
                  <c:v>-63.652281455739896</c:v>
                </c:pt>
                <c:pt idx="625">
                  <c:v>-63.95849375857086</c:v>
                </c:pt>
                <c:pt idx="626">
                  <c:v>-64.259277157252967</c:v>
                </c:pt>
                <c:pt idx="627">
                  <c:v>-64.55482659242746</c:v>
                </c:pt>
                <c:pt idx="628">
                  <c:v>-64.845326576410059</c:v>
                </c:pt>
                <c:pt idx="629">
                  <c:v>-65.130951932314062</c:v>
                </c:pt>
                <c:pt idx="630">
                  <c:v>-65.41186846837148</c:v>
                </c:pt>
                <c:pt idx="631">
                  <c:v>-65.688233594176381</c:v>
                </c:pt>
                <c:pt idx="632">
                  <c:v>-65.960196884773211</c:v>
                </c:pt>
                <c:pt idx="633">
                  <c:v>-66.22790059781957</c:v>
                </c:pt>
                <c:pt idx="634">
                  <c:v>-66.49148014845035</c:v>
                </c:pt>
                <c:pt idx="635">
                  <c:v>-66.751064545945468</c:v>
                </c:pt>
                <c:pt idx="636">
                  <c:v>-67.006776795846164</c:v>
                </c:pt>
                <c:pt idx="637">
                  <c:v>-67.258734270764194</c:v>
                </c:pt>
                <c:pt idx="638">
                  <c:v>-67.507049052777901</c:v>
                </c:pt>
                <c:pt idx="639">
                  <c:v>-67.751828250000884</c:v>
                </c:pt>
                <c:pt idx="640">
                  <c:v>-67.993174289637665</c:v>
                </c:pt>
                <c:pt idx="641">
                  <c:v>-68.231185189602257</c:v>
                </c:pt>
                <c:pt idx="642">
                  <c:v>-68.465954810563389</c:v>
                </c:pt>
                <c:pt idx="643">
                  <c:v>-68.697573090094281</c:v>
                </c:pt>
                <c:pt idx="644">
                  <c:v>-68.926126260437798</c:v>
                </c:pt>
                <c:pt idx="645">
                  <c:v>-69.151697051251432</c:v>
                </c:pt>
                <c:pt idx="646">
                  <c:v>-69.374364878565075</c:v>
                </c:pt>
                <c:pt idx="647">
                  <c:v>-69.594206021067478</c:v>
                </c:pt>
                <c:pt idx="648">
                  <c:v>-69.811293784733223</c:v>
                </c:pt>
                <c:pt idx="649">
                  <c:v>-70.025698656708627</c:v>
                </c:pt>
                <c:pt idx="650">
                  <c:v>-70.237488449291305</c:v>
                </c:pt>
                <c:pt idx="651">
                  <c:v>-70.446728434762974</c:v>
                </c:pt>
                <c:pt idx="652">
                  <c:v>-70.653481471768259</c:v>
                </c:pt>
                <c:pt idx="653">
                  <c:v>-70.85780812387091</c:v>
                </c:pt>
                <c:pt idx="654">
                  <c:v>-71.059766770864726</c:v>
                </c:pt>
                <c:pt idx="655">
                  <c:v>-71.25941371336701</c:v>
                </c:pt>
                <c:pt idx="656">
                  <c:v>-71.456803271178075</c:v>
                </c:pt>
                <c:pt idx="657">
                  <c:v>-71.651987875849642</c:v>
                </c:pt>
                <c:pt idx="658">
                  <c:v>-71.845018157868964</c:v>
                </c:pt>
                <c:pt idx="659">
                  <c:v>-72.035943028832151</c:v>
                </c:pt>
                <c:pt idx="660">
                  <c:v>-72.224809758950428</c:v>
                </c:pt>
                <c:pt idx="661">
                  <c:v>-72.411664050205275</c:v>
                </c:pt>
                <c:pt idx="662">
                  <c:v>-72.596550105444251</c:v>
                </c:pt>
                <c:pt idx="663">
                  <c:v>-72.779510693686063</c:v>
                </c:pt>
                <c:pt idx="664">
                  <c:v>-72.960587211883279</c:v>
                </c:pt>
                <c:pt idx="665">
                  <c:v>-73.139819743371802</c:v>
                </c:pt>
                <c:pt idx="666">
                  <c:v>-73.317247113219551</c:v>
                </c:pt>
                <c:pt idx="667">
                  <c:v>-73.492906940670494</c:v>
                </c:pt>
              </c:numCache>
            </c:numRef>
          </c:yVal>
          <c:smooth val="1"/>
          <c:extLst>
            <c:ext xmlns:c16="http://schemas.microsoft.com/office/drawing/2014/chart" uri="{C3380CC4-5D6E-409C-BE32-E72D297353CC}">
              <c16:uniqueId val="{00000000-3E39-B749-980E-9C64EFBC9243}"/>
            </c:ext>
          </c:extLst>
        </c:ser>
        <c:ser>
          <c:idx val="5"/>
          <c:order val="2"/>
          <c:tx>
            <c:v>LC Double Pole</c:v>
          </c:tx>
          <c:spPr>
            <a:ln w="28575">
              <a:solidFill>
                <a:schemeClr val="tx1"/>
              </a:solidFill>
            </a:ln>
          </c:spPr>
          <c:marker>
            <c:symbol val="x"/>
            <c:size val="8"/>
            <c:spPr>
              <a:noFill/>
              <a:ln w="22225">
                <a:solidFill>
                  <a:schemeClr val="tx1"/>
                </a:solidFill>
              </a:ln>
            </c:spPr>
          </c:marker>
          <c:dLbls>
            <c:dLbl>
              <c:idx val="0"/>
              <c:layout>
                <c:manualLayout>
                  <c:x val="5.9616632195422774E-3"/>
                  <c:y val="0"/>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3E39-B749-980E-9C64EFBC9243}"/>
                </c:ext>
              </c:extLst>
            </c:dLbl>
            <c:spPr>
              <a:noFill/>
              <a:ln w="25400">
                <a:noFill/>
              </a:ln>
            </c:spPr>
            <c:txPr>
              <a:bodyPr rot="0"/>
              <a:lstStyle/>
              <a:p>
                <a:pPr algn="ctr" rtl="0">
                  <a:defRPr sz="1000" b="1" i="0" u="none" strike="noStrike" baseline="0">
                    <a:solidFill>
                      <a:srgbClr val="000000"/>
                    </a:solidFill>
                    <a:latin typeface="Arial"/>
                    <a:ea typeface="Arial"/>
                    <a:cs typeface="Arial"/>
                  </a:defRPr>
                </a:pPr>
                <a:endParaRPr lang="en-US"/>
              </a:p>
            </c:tx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'Bode Plots Calculations'!$B$683</c:f>
              <c:numCache>
                <c:formatCode>General</c:formatCode>
                <c:ptCount val="1"/>
                <c:pt idx="0">
                  <c:v>21.135813205417225</c:v>
                </c:pt>
              </c:numCache>
            </c:numRef>
          </c:xVal>
          <c:yVal>
            <c:numRef>
              <c:f>'Bode Plots Calculations'!$BF$683</c:f>
              <c:numCache>
                <c:formatCode>General</c:formatCode>
                <c:ptCount val="1"/>
                <c:pt idx="0">
                  <c:v>27.988148618052385</c:v>
                </c:pt>
              </c:numCache>
            </c:numRef>
          </c:yVal>
          <c:smooth val="1"/>
          <c:extLst>
            <c:ext xmlns:c16="http://schemas.microsoft.com/office/drawing/2014/chart" uri="{C3380CC4-5D6E-409C-BE32-E72D297353CC}">
              <c16:uniqueId val="{00000002-3E39-B749-980E-9C64EFBC9243}"/>
            </c:ext>
          </c:extLst>
        </c:ser>
        <c:ser>
          <c:idx val="6"/>
          <c:order val="3"/>
          <c:tx>
            <c:v>Fz1</c:v>
          </c:tx>
          <c:spPr>
            <a:ln w="28575">
              <a:noFill/>
            </a:ln>
          </c:spPr>
          <c:marker>
            <c:symbol val="circle"/>
            <c:size val="8"/>
            <c:spPr>
              <a:noFill/>
              <a:ln w="19050">
                <a:solidFill>
                  <a:srgbClr val="000000"/>
                </a:solidFill>
                <a:prstDash val="solid"/>
              </a:ln>
            </c:spPr>
          </c:marker>
          <c:dLbls>
            <c:dLbl>
              <c:idx val="0"/>
              <c:tx>
                <c:rich>
                  <a:bodyPr/>
                  <a:lstStyle/>
                  <a:p>
                    <a:r>
                      <a:rPr lang="en-US">
                        <a:solidFill>
                          <a:srgbClr val="0000FF"/>
                        </a:solidFill>
                      </a:rPr>
                      <a:t>F</a:t>
                    </a:r>
                    <a:r>
                      <a:rPr lang="en-US" baseline="-25000"/>
                      <a:t>Z1</a:t>
                    </a:r>
                  </a:p>
                </c:rich>
              </c:tx>
              <c:dLblPos val="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3E39-B749-980E-9C64EFBC9243}"/>
                </c:ext>
              </c:extLst>
            </c:dLbl>
            <c:spPr>
              <a:noFill/>
              <a:ln w="25400">
                <a:noFill/>
              </a:ln>
            </c:spPr>
            <c:txPr>
              <a:bodyPr/>
              <a:lstStyle/>
              <a:p>
                <a:pPr>
                  <a:defRPr sz="1000" b="1" i="0" u="none" strike="noStrike" baseline="0">
                    <a:solidFill>
                      <a:srgbClr val="0000FF"/>
                    </a:solidFill>
                    <a:latin typeface="Arial"/>
                    <a:ea typeface="Arial"/>
                    <a:cs typeface="Arial"/>
                  </a:defRPr>
                </a:pPr>
                <a:endParaRPr lang="en-US"/>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'Bode Plots Calculations'!$B$684</c:f>
              <c:numCache>
                <c:formatCode>General</c:formatCode>
                <c:ptCount val="1"/>
                <c:pt idx="0">
                  <c:v>7.7757935935976326</c:v>
                </c:pt>
              </c:numCache>
            </c:numRef>
          </c:xVal>
          <c:yVal>
            <c:numRef>
              <c:f>'Bode Plots Calculations'!$BF$684</c:f>
              <c:numCache>
                <c:formatCode>General</c:formatCode>
                <c:ptCount val="1"/>
                <c:pt idx="0">
                  <c:v>18.548487292384607</c:v>
                </c:pt>
              </c:numCache>
            </c:numRef>
          </c:yVal>
          <c:smooth val="1"/>
          <c:extLst>
            <c:ext xmlns:c16="http://schemas.microsoft.com/office/drawing/2014/chart" uri="{C3380CC4-5D6E-409C-BE32-E72D297353CC}">
              <c16:uniqueId val="{00000004-3E39-B749-980E-9C64EFBC9243}"/>
            </c:ext>
          </c:extLst>
        </c:ser>
        <c:ser>
          <c:idx val="7"/>
          <c:order val="4"/>
          <c:tx>
            <c:v>Fz2</c:v>
          </c:tx>
          <c:spPr>
            <a:ln w="28575">
              <a:noFill/>
            </a:ln>
          </c:spPr>
          <c:marker>
            <c:symbol val="circle"/>
            <c:size val="8"/>
            <c:spPr>
              <a:noFill/>
              <a:ln w="19050" cap="rnd">
                <a:solidFill>
                  <a:srgbClr val="000000"/>
                </a:solidFill>
                <a:prstDash val="solid"/>
                <a:round/>
              </a:ln>
            </c:spPr>
          </c:marker>
          <c:dLbls>
            <c:dLbl>
              <c:idx val="0"/>
              <c:tx>
                <c:rich>
                  <a:bodyPr/>
                  <a:lstStyle/>
                  <a:p>
                    <a:r>
                      <a:rPr lang="en-US">
                        <a:solidFill>
                          <a:srgbClr val="0000FF"/>
                        </a:solidFill>
                      </a:rPr>
                      <a:t>F</a:t>
                    </a:r>
                    <a:r>
                      <a:rPr lang="en-US" baseline="-25000"/>
                      <a:t>Z2</a:t>
                    </a:r>
                  </a:p>
                </c:rich>
              </c:tx>
              <c:dLblPos val="b"/>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3E39-B749-980E-9C64EFBC9243}"/>
                </c:ext>
              </c:extLst>
            </c:dLbl>
            <c:spPr>
              <a:noFill/>
              <a:ln w="25400">
                <a:noFill/>
              </a:ln>
            </c:spPr>
            <c:txPr>
              <a:bodyPr/>
              <a:lstStyle/>
              <a:p>
                <a:pPr>
                  <a:defRPr sz="1000" b="1" i="0" u="none" strike="noStrike" baseline="0">
                    <a:solidFill>
                      <a:srgbClr val="0000FF"/>
                    </a:solidFill>
                    <a:latin typeface="Arial"/>
                    <a:ea typeface="Arial"/>
                    <a:cs typeface="Arial"/>
                  </a:defRPr>
                </a:pPr>
                <a:endParaRPr lang="en-US"/>
              </a:p>
            </c:txPr>
            <c:dLblPos val="b"/>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'Bode Plots Calculations'!$B$685</c:f>
              <c:numCache>
                <c:formatCode>General</c:formatCode>
                <c:ptCount val="1"/>
                <c:pt idx="0">
                  <c:v>19.043937093392728</c:v>
                </c:pt>
              </c:numCache>
            </c:numRef>
          </c:xVal>
          <c:yVal>
            <c:numRef>
              <c:f>'Bode Plots Calculations'!$BF$685</c:f>
              <c:numCache>
                <c:formatCode>General</c:formatCode>
                <c:ptCount val="1"/>
                <c:pt idx="0">
                  <c:v>26.881585813382941</c:v>
                </c:pt>
              </c:numCache>
            </c:numRef>
          </c:yVal>
          <c:smooth val="1"/>
          <c:extLst>
            <c:ext xmlns:c16="http://schemas.microsoft.com/office/drawing/2014/chart" uri="{C3380CC4-5D6E-409C-BE32-E72D297353CC}">
              <c16:uniqueId val="{00000006-3E39-B749-980E-9C64EFBC9243}"/>
            </c:ext>
          </c:extLst>
        </c:ser>
        <c:ser>
          <c:idx val="8"/>
          <c:order val="5"/>
          <c:tx>
            <c:v>Fp1</c:v>
          </c:tx>
          <c:spPr>
            <a:ln w="28575">
              <a:noFill/>
            </a:ln>
          </c:spPr>
          <c:marker>
            <c:symbol val="x"/>
            <c:size val="8"/>
            <c:spPr>
              <a:noFill/>
              <a:ln w="22225">
                <a:solidFill>
                  <a:srgbClr val="000000"/>
                </a:solidFill>
                <a:prstDash val="solid"/>
              </a:ln>
            </c:spPr>
          </c:marker>
          <c:dLbls>
            <c:dLbl>
              <c:idx val="0"/>
              <c:tx>
                <c:rich>
                  <a:bodyPr/>
                  <a:lstStyle/>
                  <a:p>
                    <a:r>
                      <a:rPr lang="en-US">
                        <a:solidFill>
                          <a:srgbClr val="0000FF"/>
                        </a:solidFill>
                      </a:rPr>
                      <a:t>F</a:t>
                    </a:r>
                    <a:r>
                      <a:rPr lang="en-US" baseline="-25000"/>
                      <a:t>P1</a:t>
                    </a:r>
                  </a:p>
                </c:rich>
              </c:tx>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3E39-B749-980E-9C64EFBC9243}"/>
                </c:ext>
              </c:extLst>
            </c:dLbl>
            <c:spPr>
              <a:noFill/>
              <a:ln w="25400">
                <a:noFill/>
              </a:ln>
            </c:spPr>
            <c:txPr>
              <a:bodyPr/>
              <a:lstStyle/>
              <a:p>
                <a:pPr>
                  <a:defRPr sz="1000" b="1" i="0" u="none" strike="noStrike" baseline="0">
                    <a:solidFill>
                      <a:srgbClr val="0000FF"/>
                    </a:solidFill>
                    <a:latin typeface="Arial"/>
                    <a:ea typeface="Arial"/>
                    <a:cs typeface="Arial"/>
                  </a:defRPr>
                </a:pPr>
                <a:endParaRPr lang="en-US"/>
              </a:p>
            </c:tx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'Bode Plots Calculations'!$B$686</c:f>
              <c:numCache>
                <c:formatCode>General</c:formatCode>
                <c:ptCount val="1"/>
                <c:pt idx="0">
                  <c:v>1483.9621750466795</c:v>
                </c:pt>
              </c:numCache>
            </c:numRef>
          </c:xVal>
          <c:yVal>
            <c:numRef>
              <c:f>'Bode Plots Calculations'!$BF$686</c:f>
              <c:numCache>
                <c:formatCode>General</c:formatCode>
                <c:ptCount val="1"/>
                <c:pt idx="0">
                  <c:v>-38.911931612394469</c:v>
                </c:pt>
              </c:numCache>
            </c:numRef>
          </c:yVal>
          <c:smooth val="1"/>
          <c:extLst>
            <c:ext xmlns:c16="http://schemas.microsoft.com/office/drawing/2014/chart" uri="{C3380CC4-5D6E-409C-BE32-E72D297353CC}">
              <c16:uniqueId val="{00000008-3E39-B749-980E-9C64EFBC9243}"/>
            </c:ext>
          </c:extLst>
        </c:ser>
        <c:ser>
          <c:idx val="9"/>
          <c:order val="6"/>
          <c:tx>
            <c:v>Fp2</c:v>
          </c:tx>
          <c:spPr>
            <a:ln w="28575">
              <a:solidFill>
                <a:schemeClr val="tx1"/>
              </a:solidFill>
            </a:ln>
          </c:spPr>
          <c:marker>
            <c:symbol val="x"/>
            <c:size val="8"/>
            <c:spPr>
              <a:noFill/>
              <a:ln w="22225">
                <a:solidFill>
                  <a:schemeClr val="tx1"/>
                </a:solidFill>
              </a:ln>
            </c:spPr>
          </c:marker>
          <c:dLbls>
            <c:dLbl>
              <c:idx val="0"/>
              <c:tx>
                <c:rich>
                  <a:bodyPr/>
                  <a:lstStyle/>
                  <a:p>
                    <a:r>
                      <a:rPr lang="en-US">
                        <a:solidFill>
                          <a:srgbClr val="0000FF"/>
                        </a:solidFill>
                      </a:rPr>
                      <a:t>F</a:t>
                    </a:r>
                    <a:r>
                      <a:rPr lang="en-US" baseline="-25000"/>
                      <a:t>P2</a:t>
                    </a:r>
                  </a:p>
                </c:rich>
              </c:tx>
              <c:dLblPos val="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3E39-B749-980E-9C64EFBC9243}"/>
                </c:ext>
              </c:extLst>
            </c:dLbl>
            <c:spPr>
              <a:noFill/>
              <a:ln w="25400">
                <a:noFill/>
              </a:ln>
            </c:spPr>
            <c:txPr>
              <a:bodyPr/>
              <a:lstStyle/>
              <a:p>
                <a:pPr>
                  <a:defRPr sz="1000" b="1" i="0" u="none" strike="noStrike" baseline="0">
                    <a:solidFill>
                      <a:srgbClr val="0000FF"/>
                    </a:solidFill>
                    <a:latin typeface="Arial"/>
                    <a:ea typeface="Arial"/>
                    <a:cs typeface="Arial"/>
                  </a:defRPr>
                </a:pPr>
                <a:endParaRPr lang="en-US"/>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'Bode Plots Calculations'!$B$687</c:f>
              <c:numCache>
                <c:formatCode>General</c:formatCode>
                <c:ptCount val="1"/>
                <c:pt idx="0">
                  <c:v>951.97930138759614</c:v>
                </c:pt>
              </c:numCache>
            </c:numRef>
          </c:xVal>
          <c:yVal>
            <c:numRef>
              <c:f>'Bode Plots Calculations'!$BF$687</c:f>
              <c:numCache>
                <c:formatCode>General</c:formatCode>
                <c:ptCount val="1"/>
                <c:pt idx="0">
                  <c:v>-29.679957905593501</c:v>
                </c:pt>
              </c:numCache>
            </c:numRef>
          </c:yVal>
          <c:smooth val="1"/>
          <c:extLst>
            <c:ext xmlns:c16="http://schemas.microsoft.com/office/drawing/2014/chart" uri="{C3380CC4-5D6E-409C-BE32-E72D297353CC}">
              <c16:uniqueId val="{0000000A-3E39-B749-980E-9C64EFBC9243}"/>
            </c:ext>
          </c:extLst>
        </c:ser>
        <c:ser>
          <c:idx val="4"/>
          <c:order val="7"/>
          <c:tx>
            <c:v>F_ESR</c:v>
          </c:tx>
          <c:spPr>
            <a:ln w="28575">
              <a:noFill/>
            </a:ln>
          </c:spPr>
          <c:marker>
            <c:symbol val="circle"/>
            <c:size val="8"/>
            <c:spPr>
              <a:noFill/>
              <a:ln w="19050">
                <a:solidFill>
                  <a:srgbClr val="000000"/>
                </a:solidFill>
                <a:prstDash val="solid"/>
              </a:ln>
            </c:spPr>
          </c:marker>
          <c:dLbls>
            <c:dLbl>
              <c:idx val="0"/>
              <c:tx>
                <c:rich>
                  <a:bodyPr/>
                  <a:lstStyle/>
                  <a:p>
                    <a:r>
                      <a:rPr lang="en-US" b="1"/>
                      <a:t>F</a:t>
                    </a:r>
                    <a:r>
                      <a:rPr lang="en-US" baseline="-25000"/>
                      <a:t>ESR</a:t>
                    </a:r>
                  </a:p>
                </c:rich>
              </c:tx>
              <c:dLblPos val="l"/>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B-3E39-B749-980E-9C64EFBC9243}"/>
                </c:ext>
              </c:extLst>
            </c:dLbl>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'Bode Plots Calculations'!$B$682</c:f>
              <c:numCache>
                <c:formatCode>General</c:formatCode>
                <c:ptCount val="1"/>
                <c:pt idx="0">
                  <c:v>855.67173803094829</c:v>
                </c:pt>
              </c:numCache>
            </c:numRef>
          </c:xVal>
          <c:yVal>
            <c:numRef>
              <c:f>'Bode Plots Calculations'!$BF$682</c:f>
              <c:numCache>
                <c:formatCode>General</c:formatCode>
                <c:ptCount val="1"/>
                <c:pt idx="0">
                  <c:v>-27.337310619455579</c:v>
                </c:pt>
              </c:numCache>
            </c:numRef>
          </c:yVal>
          <c:smooth val="1"/>
          <c:extLst>
            <c:ext xmlns:c16="http://schemas.microsoft.com/office/drawing/2014/chart" uri="{C3380CC4-5D6E-409C-BE32-E72D297353CC}">
              <c16:uniqueId val="{0000000C-3E39-B749-980E-9C64EFBC9243}"/>
            </c:ext>
          </c:extLst>
        </c:ser>
        <c:dLbls>
          <c:showLegendKey val="0"/>
          <c:showVal val="0"/>
          <c:showCatName val="0"/>
          <c:showSerName val="0"/>
          <c:showPercent val="0"/>
          <c:showBubbleSize val="0"/>
        </c:dLbls>
        <c:axId val="179294208"/>
        <c:axId val="179296128"/>
      </c:scatterChart>
      <c:scatterChart>
        <c:scatterStyle val="lineMarker"/>
        <c:varyColors val="0"/>
        <c:ser>
          <c:idx val="3"/>
          <c:order val="1"/>
          <c:tx>
            <c:v>Loop Phase</c:v>
          </c:tx>
          <c:spPr>
            <a:ln w="34925">
              <a:solidFill>
                <a:srgbClr val="002060"/>
              </a:solidFill>
              <a:prstDash val="sysDash"/>
            </a:ln>
          </c:spPr>
          <c:marker>
            <c:symbol val="none"/>
          </c:marker>
          <c:xVal>
            <c:numRef>
              <c:f>'Bode Plots Calculations'!$B$9:$B$676</c:f>
              <c:numCache>
                <c:formatCode>General</c:formatCode>
                <c:ptCount val="668"/>
                <c:pt idx="0">
                  <c:v>1E-3</c:v>
                </c:pt>
                <c:pt idx="1">
                  <c:v>2E-3</c:v>
                </c:pt>
                <c:pt idx="2">
                  <c:v>3.0000000000000001E-3</c:v>
                </c:pt>
                <c:pt idx="3">
                  <c:v>4.0000000000000001E-3</c:v>
                </c:pt>
                <c:pt idx="4">
                  <c:v>5.0000000000000001E-3</c:v>
                </c:pt>
                <c:pt idx="5">
                  <c:v>6.0000000000000001E-3</c:v>
                </c:pt>
                <c:pt idx="6">
                  <c:v>7.0000000000000001E-3</c:v>
                </c:pt>
                <c:pt idx="7">
                  <c:v>8.0000000000000002E-3</c:v>
                </c:pt>
                <c:pt idx="8">
                  <c:v>8.9999999999999993E-3</c:v>
                </c:pt>
                <c:pt idx="9">
                  <c:v>0.01</c:v>
                </c:pt>
                <c:pt idx="10">
                  <c:v>0.02</c:v>
                </c:pt>
                <c:pt idx="11">
                  <c:v>0.03</c:v>
                </c:pt>
                <c:pt idx="12">
                  <c:v>0.04</c:v>
                </c:pt>
                <c:pt idx="13">
                  <c:v>0.05</c:v>
                </c:pt>
                <c:pt idx="14">
                  <c:v>0.06</c:v>
                </c:pt>
                <c:pt idx="15">
                  <c:v>7.0000000000000007E-2</c:v>
                </c:pt>
                <c:pt idx="16">
                  <c:v>0.08</c:v>
                </c:pt>
                <c:pt idx="17">
                  <c:v>0.09</c:v>
                </c:pt>
                <c:pt idx="18">
                  <c:v>0.1</c:v>
                </c:pt>
                <c:pt idx="19">
                  <c:v>0.2</c:v>
                </c:pt>
                <c:pt idx="20">
                  <c:v>0.3</c:v>
                </c:pt>
                <c:pt idx="21">
                  <c:v>0.4</c:v>
                </c:pt>
                <c:pt idx="22">
                  <c:v>0.5</c:v>
                </c:pt>
                <c:pt idx="23">
                  <c:v>0.6</c:v>
                </c:pt>
                <c:pt idx="24">
                  <c:v>0.7</c:v>
                </c:pt>
                <c:pt idx="25">
                  <c:v>0.8</c:v>
                </c:pt>
                <c:pt idx="26">
                  <c:v>0.9</c:v>
                </c:pt>
                <c:pt idx="27">
                  <c:v>1</c:v>
                </c:pt>
                <c:pt idx="28">
                  <c:v>1.5</c:v>
                </c:pt>
                <c:pt idx="29">
                  <c:v>2</c:v>
                </c:pt>
                <c:pt idx="30">
                  <c:v>2.5</c:v>
                </c:pt>
                <c:pt idx="31">
                  <c:v>3</c:v>
                </c:pt>
                <c:pt idx="32">
                  <c:v>3.5</c:v>
                </c:pt>
                <c:pt idx="33">
                  <c:v>4</c:v>
                </c:pt>
                <c:pt idx="34">
                  <c:v>4.5</c:v>
                </c:pt>
                <c:pt idx="35">
                  <c:v>5</c:v>
                </c:pt>
                <c:pt idx="36">
                  <c:v>5.5</c:v>
                </c:pt>
                <c:pt idx="37">
                  <c:v>6</c:v>
                </c:pt>
                <c:pt idx="38">
                  <c:v>6.5</c:v>
                </c:pt>
                <c:pt idx="39">
                  <c:v>7</c:v>
                </c:pt>
                <c:pt idx="40">
                  <c:v>7.5</c:v>
                </c:pt>
                <c:pt idx="41">
                  <c:v>8</c:v>
                </c:pt>
                <c:pt idx="42">
                  <c:v>8.5</c:v>
                </c:pt>
                <c:pt idx="43">
                  <c:v>9</c:v>
                </c:pt>
                <c:pt idx="44">
                  <c:v>9.5</c:v>
                </c:pt>
                <c:pt idx="45">
                  <c:v>10</c:v>
                </c:pt>
                <c:pt idx="46">
                  <c:v>10.5</c:v>
                </c:pt>
                <c:pt idx="47">
                  <c:v>11</c:v>
                </c:pt>
                <c:pt idx="48">
                  <c:v>11.5</c:v>
                </c:pt>
                <c:pt idx="49">
                  <c:v>12</c:v>
                </c:pt>
                <c:pt idx="50">
                  <c:v>12.5</c:v>
                </c:pt>
                <c:pt idx="51">
                  <c:v>13</c:v>
                </c:pt>
                <c:pt idx="52">
                  <c:v>13.5</c:v>
                </c:pt>
                <c:pt idx="53">
                  <c:v>14</c:v>
                </c:pt>
                <c:pt idx="54">
                  <c:v>14.5</c:v>
                </c:pt>
                <c:pt idx="55">
                  <c:v>15</c:v>
                </c:pt>
                <c:pt idx="56">
                  <c:v>15.5</c:v>
                </c:pt>
                <c:pt idx="57">
                  <c:v>16</c:v>
                </c:pt>
                <c:pt idx="58">
                  <c:v>16.5</c:v>
                </c:pt>
                <c:pt idx="59">
                  <c:v>17</c:v>
                </c:pt>
                <c:pt idx="60">
                  <c:v>17.5</c:v>
                </c:pt>
                <c:pt idx="61">
                  <c:v>18</c:v>
                </c:pt>
                <c:pt idx="62">
                  <c:v>18.5</c:v>
                </c:pt>
                <c:pt idx="63">
                  <c:v>19</c:v>
                </c:pt>
                <c:pt idx="64">
                  <c:v>19.5</c:v>
                </c:pt>
                <c:pt idx="65">
                  <c:v>20</c:v>
                </c:pt>
                <c:pt idx="66">
                  <c:v>20.5</c:v>
                </c:pt>
                <c:pt idx="67">
                  <c:v>21</c:v>
                </c:pt>
                <c:pt idx="68">
                  <c:v>21.5</c:v>
                </c:pt>
                <c:pt idx="69">
                  <c:v>22</c:v>
                </c:pt>
                <c:pt idx="70">
                  <c:v>22.5</c:v>
                </c:pt>
                <c:pt idx="71">
                  <c:v>23</c:v>
                </c:pt>
                <c:pt idx="72">
                  <c:v>23.5</c:v>
                </c:pt>
                <c:pt idx="73">
                  <c:v>24</c:v>
                </c:pt>
                <c:pt idx="74">
                  <c:v>24.5</c:v>
                </c:pt>
                <c:pt idx="75">
                  <c:v>25</c:v>
                </c:pt>
                <c:pt idx="76">
                  <c:v>25.5</c:v>
                </c:pt>
                <c:pt idx="77">
                  <c:v>26</c:v>
                </c:pt>
                <c:pt idx="78">
                  <c:v>26.5</c:v>
                </c:pt>
                <c:pt idx="79">
                  <c:v>27</c:v>
                </c:pt>
                <c:pt idx="80">
                  <c:v>27.5</c:v>
                </c:pt>
                <c:pt idx="81">
                  <c:v>28</c:v>
                </c:pt>
                <c:pt idx="82">
                  <c:v>28.5</c:v>
                </c:pt>
                <c:pt idx="83">
                  <c:v>29</c:v>
                </c:pt>
                <c:pt idx="84">
                  <c:v>29.5</c:v>
                </c:pt>
                <c:pt idx="85">
                  <c:v>30</c:v>
                </c:pt>
                <c:pt idx="86">
                  <c:v>30.5</c:v>
                </c:pt>
                <c:pt idx="87">
                  <c:v>31</c:v>
                </c:pt>
                <c:pt idx="88">
                  <c:v>31.5</c:v>
                </c:pt>
                <c:pt idx="89">
                  <c:v>32</c:v>
                </c:pt>
                <c:pt idx="90">
                  <c:v>32.5</c:v>
                </c:pt>
                <c:pt idx="91">
                  <c:v>33</c:v>
                </c:pt>
                <c:pt idx="92">
                  <c:v>33.5</c:v>
                </c:pt>
                <c:pt idx="93">
                  <c:v>34</c:v>
                </c:pt>
                <c:pt idx="94">
                  <c:v>34.5</c:v>
                </c:pt>
                <c:pt idx="95">
                  <c:v>35</c:v>
                </c:pt>
                <c:pt idx="96">
                  <c:v>35.5</c:v>
                </c:pt>
                <c:pt idx="97">
                  <c:v>36</c:v>
                </c:pt>
                <c:pt idx="98">
                  <c:v>36.5</c:v>
                </c:pt>
                <c:pt idx="99">
                  <c:v>37</c:v>
                </c:pt>
                <c:pt idx="100">
                  <c:v>37.5</c:v>
                </c:pt>
                <c:pt idx="101">
                  <c:v>38</c:v>
                </c:pt>
                <c:pt idx="102">
                  <c:v>38.5</c:v>
                </c:pt>
                <c:pt idx="103">
                  <c:v>39</c:v>
                </c:pt>
                <c:pt idx="104">
                  <c:v>39.5</c:v>
                </c:pt>
                <c:pt idx="105">
                  <c:v>40</c:v>
                </c:pt>
                <c:pt idx="106">
                  <c:v>40.5</c:v>
                </c:pt>
                <c:pt idx="107">
                  <c:v>41</c:v>
                </c:pt>
                <c:pt idx="108">
                  <c:v>41.5</c:v>
                </c:pt>
                <c:pt idx="109">
                  <c:v>42</c:v>
                </c:pt>
                <c:pt idx="110">
                  <c:v>42.5</c:v>
                </c:pt>
                <c:pt idx="111">
                  <c:v>43</c:v>
                </c:pt>
                <c:pt idx="112">
                  <c:v>43.5</c:v>
                </c:pt>
                <c:pt idx="113">
                  <c:v>44</c:v>
                </c:pt>
                <c:pt idx="114">
                  <c:v>44.5</c:v>
                </c:pt>
                <c:pt idx="115">
                  <c:v>45</c:v>
                </c:pt>
                <c:pt idx="116">
                  <c:v>45.5</c:v>
                </c:pt>
                <c:pt idx="117">
                  <c:v>46</c:v>
                </c:pt>
                <c:pt idx="118">
                  <c:v>46.5</c:v>
                </c:pt>
                <c:pt idx="119">
                  <c:v>47</c:v>
                </c:pt>
                <c:pt idx="120">
                  <c:v>47.5</c:v>
                </c:pt>
                <c:pt idx="121">
                  <c:v>48</c:v>
                </c:pt>
                <c:pt idx="122">
                  <c:v>48.5</c:v>
                </c:pt>
                <c:pt idx="123">
                  <c:v>49</c:v>
                </c:pt>
                <c:pt idx="124">
                  <c:v>49.5</c:v>
                </c:pt>
                <c:pt idx="125">
                  <c:v>50</c:v>
                </c:pt>
                <c:pt idx="126">
                  <c:v>50.5</c:v>
                </c:pt>
                <c:pt idx="127">
                  <c:v>51</c:v>
                </c:pt>
                <c:pt idx="128">
                  <c:v>51.5</c:v>
                </c:pt>
                <c:pt idx="129">
                  <c:v>52</c:v>
                </c:pt>
                <c:pt idx="130">
                  <c:v>52.5</c:v>
                </c:pt>
                <c:pt idx="131">
                  <c:v>53</c:v>
                </c:pt>
                <c:pt idx="132">
                  <c:v>53.5</c:v>
                </c:pt>
                <c:pt idx="133">
                  <c:v>54</c:v>
                </c:pt>
                <c:pt idx="134">
                  <c:v>54.5</c:v>
                </c:pt>
                <c:pt idx="135">
                  <c:v>55</c:v>
                </c:pt>
                <c:pt idx="136">
                  <c:v>55.5</c:v>
                </c:pt>
                <c:pt idx="137">
                  <c:v>56</c:v>
                </c:pt>
                <c:pt idx="138">
                  <c:v>56.5</c:v>
                </c:pt>
                <c:pt idx="139">
                  <c:v>57</c:v>
                </c:pt>
                <c:pt idx="140">
                  <c:v>57.5</c:v>
                </c:pt>
                <c:pt idx="141">
                  <c:v>58</c:v>
                </c:pt>
                <c:pt idx="142">
                  <c:v>58.5</c:v>
                </c:pt>
                <c:pt idx="143">
                  <c:v>59</c:v>
                </c:pt>
                <c:pt idx="144">
                  <c:v>59.5</c:v>
                </c:pt>
                <c:pt idx="145">
                  <c:v>60</c:v>
                </c:pt>
                <c:pt idx="146">
                  <c:v>60.5</c:v>
                </c:pt>
                <c:pt idx="147">
                  <c:v>61</c:v>
                </c:pt>
                <c:pt idx="148">
                  <c:v>61.5</c:v>
                </c:pt>
                <c:pt idx="149">
                  <c:v>62</c:v>
                </c:pt>
                <c:pt idx="150">
                  <c:v>62.5</c:v>
                </c:pt>
                <c:pt idx="151">
                  <c:v>63</c:v>
                </c:pt>
                <c:pt idx="152">
                  <c:v>63.5</c:v>
                </c:pt>
                <c:pt idx="153">
                  <c:v>64</c:v>
                </c:pt>
                <c:pt idx="154">
                  <c:v>64.5</c:v>
                </c:pt>
                <c:pt idx="155">
                  <c:v>65</c:v>
                </c:pt>
                <c:pt idx="156">
                  <c:v>65.5</c:v>
                </c:pt>
                <c:pt idx="157">
                  <c:v>66</c:v>
                </c:pt>
                <c:pt idx="158">
                  <c:v>66.5</c:v>
                </c:pt>
                <c:pt idx="159">
                  <c:v>67</c:v>
                </c:pt>
                <c:pt idx="160">
                  <c:v>67.5</c:v>
                </c:pt>
                <c:pt idx="161">
                  <c:v>68</c:v>
                </c:pt>
                <c:pt idx="162">
                  <c:v>68.5</c:v>
                </c:pt>
                <c:pt idx="163">
                  <c:v>69</c:v>
                </c:pt>
                <c:pt idx="164">
                  <c:v>69.5</c:v>
                </c:pt>
                <c:pt idx="165">
                  <c:v>70</c:v>
                </c:pt>
                <c:pt idx="166">
                  <c:v>70.5</c:v>
                </c:pt>
                <c:pt idx="167">
                  <c:v>71</c:v>
                </c:pt>
                <c:pt idx="168">
                  <c:v>71.5</c:v>
                </c:pt>
                <c:pt idx="169">
                  <c:v>72</c:v>
                </c:pt>
                <c:pt idx="170">
                  <c:v>72.5</c:v>
                </c:pt>
                <c:pt idx="171">
                  <c:v>73</c:v>
                </c:pt>
                <c:pt idx="172">
                  <c:v>73.5</c:v>
                </c:pt>
                <c:pt idx="173">
                  <c:v>74</c:v>
                </c:pt>
                <c:pt idx="174">
                  <c:v>74.5</c:v>
                </c:pt>
                <c:pt idx="175">
                  <c:v>75</c:v>
                </c:pt>
                <c:pt idx="176">
                  <c:v>75.5</c:v>
                </c:pt>
                <c:pt idx="177">
                  <c:v>76</c:v>
                </c:pt>
                <c:pt idx="178">
                  <c:v>76.5</c:v>
                </c:pt>
                <c:pt idx="179">
                  <c:v>77</c:v>
                </c:pt>
                <c:pt idx="180">
                  <c:v>77.5</c:v>
                </c:pt>
                <c:pt idx="181">
                  <c:v>78</c:v>
                </c:pt>
                <c:pt idx="182">
                  <c:v>78.5</c:v>
                </c:pt>
                <c:pt idx="183">
                  <c:v>79</c:v>
                </c:pt>
                <c:pt idx="184">
                  <c:v>79.5</c:v>
                </c:pt>
                <c:pt idx="185">
                  <c:v>80</c:v>
                </c:pt>
                <c:pt idx="186">
                  <c:v>80.5</c:v>
                </c:pt>
                <c:pt idx="187">
                  <c:v>81</c:v>
                </c:pt>
                <c:pt idx="188">
                  <c:v>81.5</c:v>
                </c:pt>
                <c:pt idx="189">
                  <c:v>82</c:v>
                </c:pt>
                <c:pt idx="190">
                  <c:v>82.5</c:v>
                </c:pt>
                <c:pt idx="191">
                  <c:v>83</c:v>
                </c:pt>
                <c:pt idx="192">
                  <c:v>83.5</c:v>
                </c:pt>
                <c:pt idx="193">
                  <c:v>84</c:v>
                </c:pt>
                <c:pt idx="194">
                  <c:v>84.5</c:v>
                </c:pt>
                <c:pt idx="195">
                  <c:v>85</c:v>
                </c:pt>
                <c:pt idx="196">
                  <c:v>85.5</c:v>
                </c:pt>
                <c:pt idx="197">
                  <c:v>86</c:v>
                </c:pt>
                <c:pt idx="198">
                  <c:v>86.5</c:v>
                </c:pt>
                <c:pt idx="199">
                  <c:v>87</c:v>
                </c:pt>
                <c:pt idx="200">
                  <c:v>87.5</c:v>
                </c:pt>
                <c:pt idx="201">
                  <c:v>88</c:v>
                </c:pt>
                <c:pt idx="202">
                  <c:v>88.5</c:v>
                </c:pt>
                <c:pt idx="203">
                  <c:v>89</c:v>
                </c:pt>
                <c:pt idx="204">
                  <c:v>89.5</c:v>
                </c:pt>
                <c:pt idx="205">
                  <c:v>90</c:v>
                </c:pt>
                <c:pt idx="206">
                  <c:v>90.5</c:v>
                </c:pt>
                <c:pt idx="207">
                  <c:v>91</c:v>
                </c:pt>
                <c:pt idx="208">
                  <c:v>91.5</c:v>
                </c:pt>
                <c:pt idx="209">
                  <c:v>92</c:v>
                </c:pt>
                <c:pt idx="210">
                  <c:v>92.5</c:v>
                </c:pt>
                <c:pt idx="211">
                  <c:v>93</c:v>
                </c:pt>
                <c:pt idx="212">
                  <c:v>93.5</c:v>
                </c:pt>
                <c:pt idx="213">
                  <c:v>94</c:v>
                </c:pt>
                <c:pt idx="214">
                  <c:v>94.5</c:v>
                </c:pt>
                <c:pt idx="215">
                  <c:v>95</c:v>
                </c:pt>
                <c:pt idx="216">
                  <c:v>95.5</c:v>
                </c:pt>
                <c:pt idx="217">
                  <c:v>96</c:v>
                </c:pt>
                <c:pt idx="218">
                  <c:v>96.5</c:v>
                </c:pt>
                <c:pt idx="219">
                  <c:v>97</c:v>
                </c:pt>
                <c:pt idx="220">
                  <c:v>97.5</c:v>
                </c:pt>
                <c:pt idx="221">
                  <c:v>98</c:v>
                </c:pt>
                <c:pt idx="222">
                  <c:v>98.5</c:v>
                </c:pt>
                <c:pt idx="223">
                  <c:v>99</c:v>
                </c:pt>
                <c:pt idx="224">
                  <c:v>99.5</c:v>
                </c:pt>
                <c:pt idx="225">
                  <c:v>100</c:v>
                </c:pt>
                <c:pt idx="226">
                  <c:v>105</c:v>
                </c:pt>
                <c:pt idx="227">
                  <c:v>110</c:v>
                </c:pt>
                <c:pt idx="228">
                  <c:v>115</c:v>
                </c:pt>
                <c:pt idx="229">
                  <c:v>120</c:v>
                </c:pt>
                <c:pt idx="230">
                  <c:v>125</c:v>
                </c:pt>
                <c:pt idx="231">
                  <c:v>130</c:v>
                </c:pt>
                <c:pt idx="232">
                  <c:v>135</c:v>
                </c:pt>
                <c:pt idx="233">
                  <c:v>140</c:v>
                </c:pt>
                <c:pt idx="234">
                  <c:v>145</c:v>
                </c:pt>
                <c:pt idx="235">
                  <c:v>150</c:v>
                </c:pt>
                <c:pt idx="236">
                  <c:v>155</c:v>
                </c:pt>
                <c:pt idx="237">
                  <c:v>160</c:v>
                </c:pt>
                <c:pt idx="238">
                  <c:v>165</c:v>
                </c:pt>
                <c:pt idx="239">
                  <c:v>170</c:v>
                </c:pt>
                <c:pt idx="240">
                  <c:v>175</c:v>
                </c:pt>
                <c:pt idx="241">
                  <c:v>180</c:v>
                </c:pt>
                <c:pt idx="242">
                  <c:v>185</c:v>
                </c:pt>
                <c:pt idx="243">
                  <c:v>190</c:v>
                </c:pt>
                <c:pt idx="244">
                  <c:v>195</c:v>
                </c:pt>
                <c:pt idx="245">
                  <c:v>200</c:v>
                </c:pt>
                <c:pt idx="246">
                  <c:v>205</c:v>
                </c:pt>
                <c:pt idx="247">
                  <c:v>210</c:v>
                </c:pt>
                <c:pt idx="248">
                  <c:v>215</c:v>
                </c:pt>
                <c:pt idx="249">
                  <c:v>220</c:v>
                </c:pt>
                <c:pt idx="250">
                  <c:v>225</c:v>
                </c:pt>
                <c:pt idx="251">
                  <c:v>230</c:v>
                </c:pt>
                <c:pt idx="252">
                  <c:v>235</c:v>
                </c:pt>
                <c:pt idx="253">
                  <c:v>240</c:v>
                </c:pt>
                <c:pt idx="254">
                  <c:v>245</c:v>
                </c:pt>
                <c:pt idx="255">
                  <c:v>250</c:v>
                </c:pt>
                <c:pt idx="256">
                  <c:v>255</c:v>
                </c:pt>
                <c:pt idx="257">
                  <c:v>260</c:v>
                </c:pt>
                <c:pt idx="258">
                  <c:v>265</c:v>
                </c:pt>
                <c:pt idx="259">
                  <c:v>270</c:v>
                </c:pt>
                <c:pt idx="260">
                  <c:v>275</c:v>
                </c:pt>
                <c:pt idx="261">
                  <c:v>280</c:v>
                </c:pt>
                <c:pt idx="262">
                  <c:v>285</c:v>
                </c:pt>
                <c:pt idx="263">
                  <c:v>290</c:v>
                </c:pt>
                <c:pt idx="264">
                  <c:v>295</c:v>
                </c:pt>
                <c:pt idx="265">
                  <c:v>300</c:v>
                </c:pt>
                <c:pt idx="266">
                  <c:v>305</c:v>
                </c:pt>
                <c:pt idx="267">
                  <c:v>310</c:v>
                </c:pt>
                <c:pt idx="268">
                  <c:v>315</c:v>
                </c:pt>
                <c:pt idx="269">
                  <c:v>320</c:v>
                </c:pt>
                <c:pt idx="270">
                  <c:v>325</c:v>
                </c:pt>
                <c:pt idx="271">
                  <c:v>330</c:v>
                </c:pt>
                <c:pt idx="272">
                  <c:v>335</c:v>
                </c:pt>
                <c:pt idx="273">
                  <c:v>340</c:v>
                </c:pt>
                <c:pt idx="274">
                  <c:v>345</c:v>
                </c:pt>
                <c:pt idx="275">
                  <c:v>350</c:v>
                </c:pt>
                <c:pt idx="276">
                  <c:v>355</c:v>
                </c:pt>
                <c:pt idx="277">
                  <c:v>360</c:v>
                </c:pt>
                <c:pt idx="278">
                  <c:v>365</c:v>
                </c:pt>
                <c:pt idx="279">
                  <c:v>370</c:v>
                </c:pt>
                <c:pt idx="280">
                  <c:v>375</c:v>
                </c:pt>
                <c:pt idx="281">
                  <c:v>380</c:v>
                </c:pt>
                <c:pt idx="282">
                  <c:v>385</c:v>
                </c:pt>
                <c:pt idx="283">
                  <c:v>390</c:v>
                </c:pt>
                <c:pt idx="284">
                  <c:v>395</c:v>
                </c:pt>
                <c:pt idx="285">
                  <c:v>400</c:v>
                </c:pt>
                <c:pt idx="286">
                  <c:v>405</c:v>
                </c:pt>
                <c:pt idx="287">
                  <c:v>410</c:v>
                </c:pt>
                <c:pt idx="288">
                  <c:v>415</c:v>
                </c:pt>
                <c:pt idx="289">
                  <c:v>420</c:v>
                </c:pt>
                <c:pt idx="290">
                  <c:v>425</c:v>
                </c:pt>
                <c:pt idx="291">
                  <c:v>430</c:v>
                </c:pt>
                <c:pt idx="292">
                  <c:v>435</c:v>
                </c:pt>
                <c:pt idx="293">
                  <c:v>440</c:v>
                </c:pt>
                <c:pt idx="294">
                  <c:v>445</c:v>
                </c:pt>
                <c:pt idx="295">
                  <c:v>450</c:v>
                </c:pt>
                <c:pt idx="296">
                  <c:v>455</c:v>
                </c:pt>
                <c:pt idx="297">
                  <c:v>460</c:v>
                </c:pt>
                <c:pt idx="298">
                  <c:v>465</c:v>
                </c:pt>
                <c:pt idx="299">
                  <c:v>470</c:v>
                </c:pt>
                <c:pt idx="300">
                  <c:v>475</c:v>
                </c:pt>
                <c:pt idx="301">
                  <c:v>480</c:v>
                </c:pt>
                <c:pt idx="302">
                  <c:v>485</c:v>
                </c:pt>
                <c:pt idx="303">
                  <c:v>490</c:v>
                </c:pt>
                <c:pt idx="304">
                  <c:v>495</c:v>
                </c:pt>
                <c:pt idx="305">
                  <c:v>500</c:v>
                </c:pt>
                <c:pt idx="306">
                  <c:v>505</c:v>
                </c:pt>
                <c:pt idx="307">
                  <c:v>510</c:v>
                </c:pt>
                <c:pt idx="308">
                  <c:v>515</c:v>
                </c:pt>
                <c:pt idx="309">
                  <c:v>520</c:v>
                </c:pt>
                <c:pt idx="310">
                  <c:v>525</c:v>
                </c:pt>
                <c:pt idx="311">
                  <c:v>530</c:v>
                </c:pt>
                <c:pt idx="312">
                  <c:v>535</c:v>
                </c:pt>
                <c:pt idx="313">
                  <c:v>540</c:v>
                </c:pt>
                <c:pt idx="314">
                  <c:v>545</c:v>
                </c:pt>
                <c:pt idx="315">
                  <c:v>550</c:v>
                </c:pt>
                <c:pt idx="316">
                  <c:v>555</c:v>
                </c:pt>
                <c:pt idx="317">
                  <c:v>560</c:v>
                </c:pt>
                <c:pt idx="318">
                  <c:v>565</c:v>
                </c:pt>
                <c:pt idx="319">
                  <c:v>570</c:v>
                </c:pt>
                <c:pt idx="320">
                  <c:v>575</c:v>
                </c:pt>
                <c:pt idx="321">
                  <c:v>580</c:v>
                </c:pt>
                <c:pt idx="322">
                  <c:v>585</c:v>
                </c:pt>
                <c:pt idx="323">
                  <c:v>590</c:v>
                </c:pt>
                <c:pt idx="324">
                  <c:v>595</c:v>
                </c:pt>
                <c:pt idx="325">
                  <c:v>600</c:v>
                </c:pt>
                <c:pt idx="326">
                  <c:v>605</c:v>
                </c:pt>
                <c:pt idx="327">
                  <c:v>610</c:v>
                </c:pt>
                <c:pt idx="328">
                  <c:v>615</c:v>
                </c:pt>
                <c:pt idx="329">
                  <c:v>620</c:v>
                </c:pt>
                <c:pt idx="330">
                  <c:v>625</c:v>
                </c:pt>
                <c:pt idx="331">
                  <c:v>630</c:v>
                </c:pt>
                <c:pt idx="332">
                  <c:v>635</c:v>
                </c:pt>
                <c:pt idx="333">
                  <c:v>640</c:v>
                </c:pt>
                <c:pt idx="334">
                  <c:v>645</c:v>
                </c:pt>
                <c:pt idx="335">
                  <c:v>650</c:v>
                </c:pt>
                <c:pt idx="336">
                  <c:v>655</c:v>
                </c:pt>
                <c:pt idx="337">
                  <c:v>660</c:v>
                </c:pt>
                <c:pt idx="338">
                  <c:v>665</c:v>
                </c:pt>
                <c:pt idx="339">
                  <c:v>670</c:v>
                </c:pt>
                <c:pt idx="340">
                  <c:v>675</c:v>
                </c:pt>
                <c:pt idx="341">
                  <c:v>680</c:v>
                </c:pt>
                <c:pt idx="342">
                  <c:v>685</c:v>
                </c:pt>
                <c:pt idx="343">
                  <c:v>690</c:v>
                </c:pt>
                <c:pt idx="344">
                  <c:v>695</c:v>
                </c:pt>
                <c:pt idx="345">
                  <c:v>700</c:v>
                </c:pt>
                <c:pt idx="346">
                  <c:v>705</c:v>
                </c:pt>
                <c:pt idx="347">
                  <c:v>710</c:v>
                </c:pt>
                <c:pt idx="348">
                  <c:v>715</c:v>
                </c:pt>
                <c:pt idx="349">
                  <c:v>720</c:v>
                </c:pt>
                <c:pt idx="350">
                  <c:v>725</c:v>
                </c:pt>
                <c:pt idx="351">
                  <c:v>730</c:v>
                </c:pt>
                <c:pt idx="352">
                  <c:v>735</c:v>
                </c:pt>
                <c:pt idx="353">
                  <c:v>740</c:v>
                </c:pt>
                <c:pt idx="354">
                  <c:v>745</c:v>
                </c:pt>
                <c:pt idx="355">
                  <c:v>750</c:v>
                </c:pt>
                <c:pt idx="356">
                  <c:v>755</c:v>
                </c:pt>
                <c:pt idx="357">
                  <c:v>760</c:v>
                </c:pt>
                <c:pt idx="358">
                  <c:v>765</c:v>
                </c:pt>
                <c:pt idx="359">
                  <c:v>770</c:v>
                </c:pt>
                <c:pt idx="360">
                  <c:v>775</c:v>
                </c:pt>
                <c:pt idx="361">
                  <c:v>780</c:v>
                </c:pt>
                <c:pt idx="362">
                  <c:v>785</c:v>
                </c:pt>
                <c:pt idx="363">
                  <c:v>790</c:v>
                </c:pt>
                <c:pt idx="364">
                  <c:v>795</c:v>
                </c:pt>
                <c:pt idx="365">
                  <c:v>800</c:v>
                </c:pt>
                <c:pt idx="366">
                  <c:v>805</c:v>
                </c:pt>
                <c:pt idx="367">
                  <c:v>810</c:v>
                </c:pt>
                <c:pt idx="368">
                  <c:v>815</c:v>
                </c:pt>
                <c:pt idx="369">
                  <c:v>820</c:v>
                </c:pt>
                <c:pt idx="370">
                  <c:v>825</c:v>
                </c:pt>
                <c:pt idx="371">
                  <c:v>830</c:v>
                </c:pt>
                <c:pt idx="372">
                  <c:v>835</c:v>
                </c:pt>
                <c:pt idx="373">
                  <c:v>840</c:v>
                </c:pt>
                <c:pt idx="374">
                  <c:v>845</c:v>
                </c:pt>
                <c:pt idx="375">
                  <c:v>850</c:v>
                </c:pt>
                <c:pt idx="376">
                  <c:v>855</c:v>
                </c:pt>
                <c:pt idx="377">
                  <c:v>860</c:v>
                </c:pt>
                <c:pt idx="378">
                  <c:v>865</c:v>
                </c:pt>
                <c:pt idx="379">
                  <c:v>870</c:v>
                </c:pt>
                <c:pt idx="380">
                  <c:v>875</c:v>
                </c:pt>
                <c:pt idx="381">
                  <c:v>880</c:v>
                </c:pt>
                <c:pt idx="382">
                  <c:v>885</c:v>
                </c:pt>
                <c:pt idx="383">
                  <c:v>890</c:v>
                </c:pt>
                <c:pt idx="384">
                  <c:v>895</c:v>
                </c:pt>
                <c:pt idx="385">
                  <c:v>900</c:v>
                </c:pt>
                <c:pt idx="386">
                  <c:v>905</c:v>
                </c:pt>
                <c:pt idx="387">
                  <c:v>910</c:v>
                </c:pt>
                <c:pt idx="388">
                  <c:v>915</c:v>
                </c:pt>
                <c:pt idx="389">
                  <c:v>920</c:v>
                </c:pt>
                <c:pt idx="390">
                  <c:v>925</c:v>
                </c:pt>
                <c:pt idx="391">
                  <c:v>930</c:v>
                </c:pt>
                <c:pt idx="392">
                  <c:v>935</c:v>
                </c:pt>
                <c:pt idx="393">
                  <c:v>940</c:v>
                </c:pt>
                <c:pt idx="394">
                  <c:v>945</c:v>
                </c:pt>
                <c:pt idx="395">
                  <c:v>950</c:v>
                </c:pt>
                <c:pt idx="396">
                  <c:v>955</c:v>
                </c:pt>
                <c:pt idx="397">
                  <c:v>960</c:v>
                </c:pt>
                <c:pt idx="398">
                  <c:v>965</c:v>
                </c:pt>
                <c:pt idx="399">
                  <c:v>970</c:v>
                </c:pt>
                <c:pt idx="400">
                  <c:v>975</c:v>
                </c:pt>
                <c:pt idx="401">
                  <c:v>980</c:v>
                </c:pt>
                <c:pt idx="402">
                  <c:v>985</c:v>
                </c:pt>
                <c:pt idx="403">
                  <c:v>990</c:v>
                </c:pt>
                <c:pt idx="404">
                  <c:v>995</c:v>
                </c:pt>
                <c:pt idx="405">
                  <c:v>1000</c:v>
                </c:pt>
                <c:pt idx="406">
                  <c:v>1005</c:v>
                </c:pt>
                <c:pt idx="407">
                  <c:v>1010</c:v>
                </c:pt>
                <c:pt idx="408">
                  <c:v>1015</c:v>
                </c:pt>
                <c:pt idx="409">
                  <c:v>1020</c:v>
                </c:pt>
                <c:pt idx="410">
                  <c:v>1025</c:v>
                </c:pt>
                <c:pt idx="411">
                  <c:v>1030</c:v>
                </c:pt>
                <c:pt idx="412">
                  <c:v>1035</c:v>
                </c:pt>
                <c:pt idx="413">
                  <c:v>1040</c:v>
                </c:pt>
                <c:pt idx="414">
                  <c:v>1045</c:v>
                </c:pt>
                <c:pt idx="415">
                  <c:v>1050</c:v>
                </c:pt>
                <c:pt idx="416">
                  <c:v>1055</c:v>
                </c:pt>
                <c:pt idx="417">
                  <c:v>1060</c:v>
                </c:pt>
                <c:pt idx="418">
                  <c:v>1065</c:v>
                </c:pt>
                <c:pt idx="419">
                  <c:v>1070</c:v>
                </c:pt>
                <c:pt idx="420">
                  <c:v>1075</c:v>
                </c:pt>
                <c:pt idx="421">
                  <c:v>1080</c:v>
                </c:pt>
                <c:pt idx="422">
                  <c:v>1085</c:v>
                </c:pt>
                <c:pt idx="423">
                  <c:v>1090</c:v>
                </c:pt>
                <c:pt idx="424">
                  <c:v>1095</c:v>
                </c:pt>
                <c:pt idx="425">
                  <c:v>1100</c:v>
                </c:pt>
                <c:pt idx="426">
                  <c:v>1105</c:v>
                </c:pt>
                <c:pt idx="427">
                  <c:v>1110</c:v>
                </c:pt>
                <c:pt idx="428">
                  <c:v>1115</c:v>
                </c:pt>
                <c:pt idx="429">
                  <c:v>1120</c:v>
                </c:pt>
                <c:pt idx="430">
                  <c:v>1125</c:v>
                </c:pt>
                <c:pt idx="431">
                  <c:v>1130</c:v>
                </c:pt>
                <c:pt idx="432">
                  <c:v>1135</c:v>
                </c:pt>
                <c:pt idx="433">
                  <c:v>1140</c:v>
                </c:pt>
                <c:pt idx="434">
                  <c:v>1145</c:v>
                </c:pt>
                <c:pt idx="435">
                  <c:v>1150</c:v>
                </c:pt>
                <c:pt idx="436">
                  <c:v>1155</c:v>
                </c:pt>
                <c:pt idx="437">
                  <c:v>1160</c:v>
                </c:pt>
                <c:pt idx="438">
                  <c:v>1165</c:v>
                </c:pt>
                <c:pt idx="439">
                  <c:v>1170</c:v>
                </c:pt>
                <c:pt idx="440">
                  <c:v>1175</c:v>
                </c:pt>
                <c:pt idx="441">
                  <c:v>1180</c:v>
                </c:pt>
                <c:pt idx="442">
                  <c:v>1185</c:v>
                </c:pt>
                <c:pt idx="443">
                  <c:v>1190</c:v>
                </c:pt>
                <c:pt idx="444">
                  <c:v>1195</c:v>
                </c:pt>
                <c:pt idx="445">
                  <c:v>1200</c:v>
                </c:pt>
                <c:pt idx="446">
                  <c:v>1205</c:v>
                </c:pt>
                <c:pt idx="447">
                  <c:v>1210</c:v>
                </c:pt>
                <c:pt idx="448">
                  <c:v>1215</c:v>
                </c:pt>
                <c:pt idx="449">
                  <c:v>1220</c:v>
                </c:pt>
                <c:pt idx="450">
                  <c:v>1225</c:v>
                </c:pt>
                <c:pt idx="451">
                  <c:v>1230</c:v>
                </c:pt>
                <c:pt idx="452">
                  <c:v>1235</c:v>
                </c:pt>
                <c:pt idx="453">
                  <c:v>1240</c:v>
                </c:pt>
                <c:pt idx="454">
                  <c:v>1245</c:v>
                </c:pt>
                <c:pt idx="455">
                  <c:v>1250</c:v>
                </c:pt>
                <c:pt idx="456">
                  <c:v>1255</c:v>
                </c:pt>
                <c:pt idx="457">
                  <c:v>1260</c:v>
                </c:pt>
                <c:pt idx="458">
                  <c:v>1265</c:v>
                </c:pt>
                <c:pt idx="459">
                  <c:v>1270</c:v>
                </c:pt>
                <c:pt idx="460">
                  <c:v>1275</c:v>
                </c:pt>
                <c:pt idx="461">
                  <c:v>1280</c:v>
                </c:pt>
                <c:pt idx="462">
                  <c:v>1285</c:v>
                </c:pt>
                <c:pt idx="463">
                  <c:v>1290</c:v>
                </c:pt>
                <c:pt idx="464">
                  <c:v>1295</c:v>
                </c:pt>
                <c:pt idx="465">
                  <c:v>1300</c:v>
                </c:pt>
                <c:pt idx="466">
                  <c:v>1305</c:v>
                </c:pt>
                <c:pt idx="467">
                  <c:v>1310</c:v>
                </c:pt>
                <c:pt idx="468">
                  <c:v>1315</c:v>
                </c:pt>
                <c:pt idx="469">
                  <c:v>1320</c:v>
                </c:pt>
                <c:pt idx="470">
                  <c:v>1325</c:v>
                </c:pt>
                <c:pt idx="471">
                  <c:v>1330</c:v>
                </c:pt>
                <c:pt idx="472">
                  <c:v>1335</c:v>
                </c:pt>
                <c:pt idx="473">
                  <c:v>1340</c:v>
                </c:pt>
                <c:pt idx="474">
                  <c:v>1345</c:v>
                </c:pt>
                <c:pt idx="475">
                  <c:v>1350</c:v>
                </c:pt>
                <c:pt idx="476">
                  <c:v>1355</c:v>
                </c:pt>
                <c:pt idx="477">
                  <c:v>1360</c:v>
                </c:pt>
                <c:pt idx="478">
                  <c:v>1365</c:v>
                </c:pt>
                <c:pt idx="479">
                  <c:v>1370</c:v>
                </c:pt>
                <c:pt idx="480">
                  <c:v>1375</c:v>
                </c:pt>
                <c:pt idx="481">
                  <c:v>1380</c:v>
                </c:pt>
                <c:pt idx="482">
                  <c:v>1385</c:v>
                </c:pt>
                <c:pt idx="483">
                  <c:v>1390</c:v>
                </c:pt>
                <c:pt idx="484">
                  <c:v>1395</c:v>
                </c:pt>
                <c:pt idx="485">
                  <c:v>1400</c:v>
                </c:pt>
                <c:pt idx="486">
                  <c:v>1405</c:v>
                </c:pt>
                <c:pt idx="487">
                  <c:v>1410</c:v>
                </c:pt>
                <c:pt idx="488">
                  <c:v>1415</c:v>
                </c:pt>
                <c:pt idx="489">
                  <c:v>1420</c:v>
                </c:pt>
                <c:pt idx="490">
                  <c:v>1425</c:v>
                </c:pt>
                <c:pt idx="491">
                  <c:v>1430</c:v>
                </c:pt>
                <c:pt idx="492">
                  <c:v>1435</c:v>
                </c:pt>
                <c:pt idx="493">
                  <c:v>1440</c:v>
                </c:pt>
                <c:pt idx="494">
                  <c:v>1445</c:v>
                </c:pt>
                <c:pt idx="495">
                  <c:v>1450</c:v>
                </c:pt>
                <c:pt idx="496">
                  <c:v>1455</c:v>
                </c:pt>
                <c:pt idx="497">
                  <c:v>1460</c:v>
                </c:pt>
                <c:pt idx="498">
                  <c:v>1465</c:v>
                </c:pt>
                <c:pt idx="499">
                  <c:v>1470</c:v>
                </c:pt>
                <c:pt idx="500">
                  <c:v>1475</c:v>
                </c:pt>
                <c:pt idx="501">
                  <c:v>1480</c:v>
                </c:pt>
                <c:pt idx="502">
                  <c:v>1485</c:v>
                </c:pt>
                <c:pt idx="503">
                  <c:v>1490</c:v>
                </c:pt>
                <c:pt idx="504">
                  <c:v>1495</c:v>
                </c:pt>
                <c:pt idx="505">
                  <c:v>1500</c:v>
                </c:pt>
                <c:pt idx="506">
                  <c:v>1505</c:v>
                </c:pt>
                <c:pt idx="507">
                  <c:v>1510</c:v>
                </c:pt>
                <c:pt idx="508">
                  <c:v>1515</c:v>
                </c:pt>
                <c:pt idx="509">
                  <c:v>1520</c:v>
                </c:pt>
                <c:pt idx="510">
                  <c:v>1525</c:v>
                </c:pt>
                <c:pt idx="511">
                  <c:v>1530</c:v>
                </c:pt>
                <c:pt idx="512">
                  <c:v>1535</c:v>
                </c:pt>
                <c:pt idx="513">
                  <c:v>1540</c:v>
                </c:pt>
                <c:pt idx="514">
                  <c:v>1545</c:v>
                </c:pt>
                <c:pt idx="515">
                  <c:v>1550</c:v>
                </c:pt>
                <c:pt idx="516">
                  <c:v>1555</c:v>
                </c:pt>
                <c:pt idx="517">
                  <c:v>1560</c:v>
                </c:pt>
                <c:pt idx="518">
                  <c:v>1565</c:v>
                </c:pt>
                <c:pt idx="519">
                  <c:v>1570</c:v>
                </c:pt>
                <c:pt idx="520">
                  <c:v>1575</c:v>
                </c:pt>
                <c:pt idx="521">
                  <c:v>1580</c:v>
                </c:pt>
                <c:pt idx="522">
                  <c:v>1585</c:v>
                </c:pt>
                <c:pt idx="523">
                  <c:v>1590</c:v>
                </c:pt>
                <c:pt idx="524">
                  <c:v>1595</c:v>
                </c:pt>
                <c:pt idx="525">
                  <c:v>1600</c:v>
                </c:pt>
                <c:pt idx="526">
                  <c:v>1605</c:v>
                </c:pt>
                <c:pt idx="527">
                  <c:v>1610</c:v>
                </c:pt>
                <c:pt idx="528">
                  <c:v>1615</c:v>
                </c:pt>
                <c:pt idx="529">
                  <c:v>1620</c:v>
                </c:pt>
                <c:pt idx="530">
                  <c:v>1625</c:v>
                </c:pt>
                <c:pt idx="531">
                  <c:v>1630</c:v>
                </c:pt>
                <c:pt idx="532">
                  <c:v>1635</c:v>
                </c:pt>
                <c:pt idx="533">
                  <c:v>1640</c:v>
                </c:pt>
                <c:pt idx="534">
                  <c:v>1645</c:v>
                </c:pt>
                <c:pt idx="535">
                  <c:v>1650</c:v>
                </c:pt>
                <c:pt idx="536">
                  <c:v>1655</c:v>
                </c:pt>
                <c:pt idx="537">
                  <c:v>1660</c:v>
                </c:pt>
                <c:pt idx="538">
                  <c:v>1665</c:v>
                </c:pt>
                <c:pt idx="539">
                  <c:v>1670</c:v>
                </c:pt>
                <c:pt idx="540">
                  <c:v>1675</c:v>
                </c:pt>
                <c:pt idx="541">
                  <c:v>1680</c:v>
                </c:pt>
                <c:pt idx="542">
                  <c:v>1685</c:v>
                </c:pt>
                <c:pt idx="543">
                  <c:v>1690</c:v>
                </c:pt>
                <c:pt idx="544">
                  <c:v>1695</c:v>
                </c:pt>
                <c:pt idx="545">
                  <c:v>1700</c:v>
                </c:pt>
                <c:pt idx="546">
                  <c:v>1705</c:v>
                </c:pt>
                <c:pt idx="547">
                  <c:v>1710</c:v>
                </c:pt>
                <c:pt idx="548">
                  <c:v>1715</c:v>
                </c:pt>
                <c:pt idx="549">
                  <c:v>1720</c:v>
                </c:pt>
                <c:pt idx="550">
                  <c:v>1725</c:v>
                </c:pt>
                <c:pt idx="551">
                  <c:v>1730</c:v>
                </c:pt>
                <c:pt idx="552">
                  <c:v>1735</c:v>
                </c:pt>
                <c:pt idx="553">
                  <c:v>1740</c:v>
                </c:pt>
                <c:pt idx="554">
                  <c:v>1745</c:v>
                </c:pt>
                <c:pt idx="555">
                  <c:v>1750</c:v>
                </c:pt>
                <c:pt idx="556">
                  <c:v>1755</c:v>
                </c:pt>
                <c:pt idx="557">
                  <c:v>1760</c:v>
                </c:pt>
                <c:pt idx="558">
                  <c:v>1765</c:v>
                </c:pt>
                <c:pt idx="559">
                  <c:v>1770</c:v>
                </c:pt>
                <c:pt idx="560">
                  <c:v>1775</c:v>
                </c:pt>
                <c:pt idx="561">
                  <c:v>1780</c:v>
                </c:pt>
                <c:pt idx="562">
                  <c:v>1785</c:v>
                </c:pt>
                <c:pt idx="563">
                  <c:v>1790</c:v>
                </c:pt>
                <c:pt idx="564">
                  <c:v>1795</c:v>
                </c:pt>
                <c:pt idx="565">
                  <c:v>1800</c:v>
                </c:pt>
                <c:pt idx="566">
                  <c:v>1805</c:v>
                </c:pt>
                <c:pt idx="567">
                  <c:v>1810</c:v>
                </c:pt>
                <c:pt idx="568">
                  <c:v>1815</c:v>
                </c:pt>
                <c:pt idx="569">
                  <c:v>1820</c:v>
                </c:pt>
                <c:pt idx="570">
                  <c:v>1825</c:v>
                </c:pt>
                <c:pt idx="571">
                  <c:v>1830</c:v>
                </c:pt>
                <c:pt idx="572">
                  <c:v>1835</c:v>
                </c:pt>
                <c:pt idx="573">
                  <c:v>1840</c:v>
                </c:pt>
                <c:pt idx="574">
                  <c:v>1845</c:v>
                </c:pt>
                <c:pt idx="575">
                  <c:v>1850</c:v>
                </c:pt>
                <c:pt idx="576">
                  <c:v>1855</c:v>
                </c:pt>
                <c:pt idx="577">
                  <c:v>1860</c:v>
                </c:pt>
                <c:pt idx="578">
                  <c:v>1865</c:v>
                </c:pt>
                <c:pt idx="579">
                  <c:v>1870</c:v>
                </c:pt>
                <c:pt idx="580">
                  <c:v>1875</c:v>
                </c:pt>
                <c:pt idx="581">
                  <c:v>1880</c:v>
                </c:pt>
                <c:pt idx="582">
                  <c:v>1885</c:v>
                </c:pt>
                <c:pt idx="583">
                  <c:v>1890</c:v>
                </c:pt>
                <c:pt idx="584">
                  <c:v>1895</c:v>
                </c:pt>
                <c:pt idx="585">
                  <c:v>1900</c:v>
                </c:pt>
                <c:pt idx="586">
                  <c:v>1905</c:v>
                </c:pt>
                <c:pt idx="587">
                  <c:v>1910</c:v>
                </c:pt>
                <c:pt idx="588">
                  <c:v>1915</c:v>
                </c:pt>
                <c:pt idx="589">
                  <c:v>1920</c:v>
                </c:pt>
                <c:pt idx="590">
                  <c:v>1925</c:v>
                </c:pt>
                <c:pt idx="591">
                  <c:v>1930</c:v>
                </c:pt>
                <c:pt idx="592">
                  <c:v>1935</c:v>
                </c:pt>
                <c:pt idx="593">
                  <c:v>1940</c:v>
                </c:pt>
                <c:pt idx="594">
                  <c:v>1945</c:v>
                </c:pt>
                <c:pt idx="595">
                  <c:v>1950</c:v>
                </c:pt>
                <c:pt idx="596">
                  <c:v>1955</c:v>
                </c:pt>
                <c:pt idx="597">
                  <c:v>1960</c:v>
                </c:pt>
                <c:pt idx="598">
                  <c:v>1965</c:v>
                </c:pt>
                <c:pt idx="599">
                  <c:v>1970</c:v>
                </c:pt>
                <c:pt idx="600">
                  <c:v>1975</c:v>
                </c:pt>
                <c:pt idx="601">
                  <c:v>1980</c:v>
                </c:pt>
                <c:pt idx="602">
                  <c:v>1985</c:v>
                </c:pt>
                <c:pt idx="603">
                  <c:v>1990</c:v>
                </c:pt>
                <c:pt idx="604">
                  <c:v>1995</c:v>
                </c:pt>
                <c:pt idx="605">
                  <c:v>2000</c:v>
                </c:pt>
                <c:pt idx="606">
                  <c:v>2250</c:v>
                </c:pt>
                <c:pt idx="607">
                  <c:v>2500</c:v>
                </c:pt>
                <c:pt idx="608">
                  <c:v>2750</c:v>
                </c:pt>
                <c:pt idx="609">
                  <c:v>3000</c:v>
                </c:pt>
                <c:pt idx="610">
                  <c:v>3250</c:v>
                </c:pt>
                <c:pt idx="611">
                  <c:v>3500</c:v>
                </c:pt>
                <c:pt idx="612">
                  <c:v>3750</c:v>
                </c:pt>
                <c:pt idx="613">
                  <c:v>4000</c:v>
                </c:pt>
                <c:pt idx="614">
                  <c:v>4250</c:v>
                </c:pt>
                <c:pt idx="615">
                  <c:v>4500</c:v>
                </c:pt>
                <c:pt idx="616">
                  <c:v>4750</c:v>
                </c:pt>
                <c:pt idx="617">
                  <c:v>5000</c:v>
                </c:pt>
                <c:pt idx="618">
                  <c:v>5100</c:v>
                </c:pt>
                <c:pt idx="619">
                  <c:v>5200</c:v>
                </c:pt>
                <c:pt idx="620">
                  <c:v>5300</c:v>
                </c:pt>
                <c:pt idx="621">
                  <c:v>5400</c:v>
                </c:pt>
                <c:pt idx="622">
                  <c:v>5500</c:v>
                </c:pt>
                <c:pt idx="623">
                  <c:v>5600</c:v>
                </c:pt>
                <c:pt idx="624">
                  <c:v>5700</c:v>
                </c:pt>
                <c:pt idx="625">
                  <c:v>5800</c:v>
                </c:pt>
                <c:pt idx="626">
                  <c:v>5900</c:v>
                </c:pt>
                <c:pt idx="627">
                  <c:v>6000</c:v>
                </c:pt>
                <c:pt idx="628">
                  <c:v>6100</c:v>
                </c:pt>
                <c:pt idx="629">
                  <c:v>6200</c:v>
                </c:pt>
                <c:pt idx="630">
                  <c:v>6300</c:v>
                </c:pt>
                <c:pt idx="631">
                  <c:v>6400</c:v>
                </c:pt>
                <c:pt idx="632">
                  <c:v>6500</c:v>
                </c:pt>
                <c:pt idx="633">
                  <c:v>6600</c:v>
                </c:pt>
                <c:pt idx="634">
                  <c:v>6700</c:v>
                </c:pt>
                <c:pt idx="635">
                  <c:v>6800</c:v>
                </c:pt>
                <c:pt idx="636">
                  <c:v>6900</c:v>
                </c:pt>
                <c:pt idx="637">
                  <c:v>7000</c:v>
                </c:pt>
                <c:pt idx="638">
                  <c:v>7100</c:v>
                </c:pt>
                <c:pt idx="639">
                  <c:v>7200</c:v>
                </c:pt>
                <c:pt idx="640">
                  <c:v>7300</c:v>
                </c:pt>
                <c:pt idx="641">
                  <c:v>7400</c:v>
                </c:pt>
                <c:pt idx="642">
                  <c:v>7500</c:v>
                </c:pt>
                <c:pt idx="643">
                  <c:v>7600</c:v>
                </c:pt>
                <c:pt idx="644">
                  <c:v>7700</c:v>
                </c:pt>
                <c:pt idx="645">
                  <c:v>7800</c:v>
                </c:pt>
                <c:pt idx="646">
                  <c:v>7900</c:v>
                </c:pt>
                <c:pt idx="647">
                  <c:v>8000</c:v>
                </c:pt>
                <c:pt idx="648">
                  <c:v>8100</c:v>
                </c:pt>
                <c:pt idx="649">
                  <c:v>8200</c:v>
                </c:pt>
                <c:pt idx="650">
                  <c:v>8300</c:v>
                </c:pt>
                <c:pt idx="651">
                  <c:v>8400</c:v>
                </c:pt>
                <c:pt idx="652">
                  <c:v>8500</c:v>
                </c:pt>
                <c:pt idx="653">
                  <c:v>8600</c:v>
                </c:pt>
                <c:pt idx="654">
                  <c:v>8700</c:v>
                </c:pt>
                <c:pt idx="655">
                  <c:v>8800</c:v>
                </c:pt>
                <c:pt idx="656">
                  <c:v>8900</c:v>
                </c:pt>
                <c:pt idx="657">
                  <c:v>9000</c:v>
                </c:pt>
                <c:pt idx="658">
                  <c:v>9100</c:v>
                </c:pt>
                <c:pt idx="659">
                  <c:v>9200</c:v>
                </c:pt>
                <c:pt idx="660">
                  <c:v>9300</c:v>
                </c:pt>
                <c:pt idx="661">
                  <c:v>9400</c:v>
                </c:pt>
                <c:pt idx="662">
                  <c:v>9500</c:v>
                </c:pt>
                <c:pt idx="663">
                  <c:v>9600</c:v>
                </c:pt>
                <c:pt idx="664">
                  <c:v>9700</c:v>
                </c:pt>
                <c:pt idx="665">
                  <c:v>9800</c:v>
                </c:pt>
                <c:pt idx="666">
                  <c:v>9900</c:v>
                </c:pt>
                <c:pt idx="667">
                  <c:v>10000</c:v>
                </c:pt>
              </c:numCache>
            </c:numRef>
          </c:xVal>
          <c:yVal>
            <c:numRef>
              <c:f>'Bode Plots Calculations'!$BG$9:$BG$676</c:f>
              <c:numCache>
                <c:formatCode>General</c:formatCode>
                <c:ptCount val="668"/>
                <c:pt idx="0">
                  <c:v>-3.8391081155016944</c:v>
                </c:pt>
                <c:pt idx="1">
                  <c:v>-7.6437985161891522</c:v>
                </c:pt>
                <c:pt idx="2">
                  <c:v>-11.381465239940441</c:v>
                </c:pt>
                <c:pt idx="3">
                  <c:v>-15.022893832675596</c:v>
                </c:pt>
                <c:pt idx="4">
                  <c:v>-18.543430663725612</c:v>
                </c:pt>
                <c:pt idx="5">
                  <c:v>-21.923651408572542</c:v>
                </c:pt>
                <c:pt idx="6">
                  <c:v>-25.149532220157777</c:v>
                </c:pt>
                <c:pt idx="7">
                  <c:v>-28.212201480147428</c:v>
                </c:pt>
                <c:pt idx="8">
                  <c:v>-31.107391425870194</c:v>
                </c:pt>
                <c:pt idx="9">
                  <c:v>-33.834717311777418</c:v>
                </c:pt>
                <c:pt idx="10">
                  <c:v>-53.189127250683242</c:v>
                </c:pt>
                <c:pt idx="11">
                  <c:v>-63.357914697758581</c:v>
                </c:pt>
                <c:pt idx="12">
                  <c:v>-69.235623821607206</c:v>
                </c:pt>
                <c:pt idx="13">
                  <c:v>-72.970339124325463</c:v>
                </c:pt>
                <c:pt idx="14">
                  <c:v>-75.51829963710253</c:v>
                </c:pt>
                <c:pt idx="15">
                  <c:v>-77.349666690491318</c:v>
                </c:pt>
                <c:pt idx="16">
                  <c:v>-78.718094180172301</c:v>
                </c:pt>
                <c:pt idx="17">
                  <c:v>-79.771218860700614</c:v>
                </c:pt>
                <c:pt idx="18">
                  <c:v>-80.600377817696042</c:v>
                </c:pt>
                <c:pt idx="19">
                  <c:v>-83.860725387164223</c:v>
                </c:pt>
                <c:pt idx="20">
                  <c:v>-84.331171294607003</c:v>
                </c:pt>
                <c:pt idx="21">
                  <c:v>-84.096821583997837</c:v>
                </c:pt>
                <c:pt idx="22">
                  <c:v>-83.580509238006783</c:v>
                </c:pt>
                <c:pt idx="23">
                  <c:v>-82.923856541120102</c:v>
                </c:pt>
                <c:pt idx="24">
                  <c:v>-82.187801364321587</c:v>
                </c:pt>
                <c:pt idx="25">
                  <c:v>-81.402966449103275</c:v>
                </c:pt>
                <c:pt idx="26">
                  <c:v>-80.586485422279722</c:v>
                </c:pt>
                <c:pt idx="27">
                  <c:v>-79.748741106271595</c:v>
                </c:pt>
                <c:pt idx="28">
                  <c:v>-75.415143979384979</c:v>
                </c:pt>
                <c:pt idx="29">
                  <c:v>-71.034543013630383</c:v>
                </c:pt>
                <c:pt idx="30">
                  <c:v>-66.717699411812305</c:v>
                </c:pt>
                <c:pt idx="31">
                  <c:v>-62.514306337035322</c:v>
                </c:pt>
                <c:pt idx="32">
                  <c:v>-58.453321297047388</c:v>
                </c:pt>
                <c:pt idx="33">
                  <c:v>-54.553236487367464</c:v>
                </c:pt>
                <c:pt idx="34">
                  <c:v>-50.825850305819671</c:v>
                </c:pt>
                <c:pt idx="35">
                  <c:v>-47.278176854359295</c:v>
                </c:pt>
                <c:pt idx="36">
                  <c:v>-43.913697260628126</c:v>
                </c:pt>
                <c:pt idx="37">
                  <c:v>-40.733314365366503</c:v>
                </c:pt>
                <c:pt idx="38">
                  <c:v>-37.736129224907558</c:v>
                </c:pt>
                <c:pt idx="39">
                  <c:v>-34.92008364352467</c:v>
                </c:pt>
                <c:pt idx="40">
                  <c:v>-32.282491504247901</c:v>
                </c:pt>
                <c:pt idx="41">
                  <c:v>-29.820476819060669</c:v>
                </c:pt>
                <c:pt idx="42">
                  <c:v>-27.531336095965347</c:v>
                </c:pt>
                <c:pt idx="43">
                  <c:v>-25.412842928435854</c:v>
                </c:pt>
                <c:pt idx="44">
                  <c:v>-23.463512679977931</c:v>
                </c:pt>
                <c:pt idx="45">
                  <c:v>-21.682844795465154</c:v>
                </c:pt>
                <c:pt idx="46">
                  <c:v>-20.071559936689351</c:v>
                </c:pt>
                <c:pt idx="47">
                  <c:v>-18.631849151149492</c:v>
                </c:pt>
                <c:pt idx="48">
                  <c:v>-17.367652928196538</c:v>
                </c:pt>
                <c:pt idx="49">
                  <c:v>-16.284989500639298</c:v>
                </c:pt>
                <c:pt idx="50">
                  <c:v>-15.392354271763518</c:v>
                </c:pt>
                <c:pt idx="51">
                  <c:v>-14.701215844426319</c:v>
                </c:pt>
                <c:pt idx="52">
                  <c:v>-14.226638643063254</c:v>
                </c:pt>
                <c:pt idx="53">
                  <c:v>-13.988066909777359</c:v>
                </c:pt>
                <c:pt idx="54">
                  <c:v>-14.010308214013017</c:v>
                </c:pt>
                <c:pt idx="55">
                  <c:v>-14.32475256675003</c:v>
                </c:pt>
                <c:pt idx="56">
                  <c:v>-14.970847152836036</c:v>
                </c:pt>
                <c:pt idx="57">
                  <c:v>-15.997798803446329</c:v>
                </c:pt>
                <c:pt idx="58">
                  <c:v>-17.466361707076572</c:v>
                </c:pt>
                <c:pt idx="59">
                  <c:v>-19.450322338686682</c:v>
                </c:pt>
                <c:pt idx="60">
                  <c:v>-22.036811889403953</c:v>
                </c:pt>
                <c:pt idx="61">
                  <c:v>-25.323724433454021</c:v>
                </c:pt>
                <c:pt idx="62">
                  <c:v>-29.411247879670363</c:v>
                </c:pt>
                <c:pt idx="63">
                  <c:v>-34.383252162389667</c:v>
                </c:pt>
                <c:pt idx="64">
                  <c:v>-40.27476253947583</c:v>
                </c:pt>
                <c:pt idx="65">
                  <c:v>-47.027666701805508</c:v>
                </c:pt>
                <c:pt idx="66">
                  <c:v>-54.451155259906528</c:v>
                </c:pt>
                <c:pt idx="67">
                  <c:v>-62.218816849445076</c:v>
                </c:pt>
                <c:pt idx="68">
                  <c:v>-69.927080803064825</c:v>
                </c:pt>
                <c:pt idx="69">
                  <c:v>-77.197006597398442</c:v>
                </c:pt>
                <c:pt idx="70">
                  <c:v>-83.761707065452569</c:v>
                </c:pt>
                <c:pt idx="71">
                  <c:v>-89.495496446926211</c:v>
                </c:pt>
                <c:pt idx="72">
                  <c:v>-94.389712002733177</c:v>
                </c:pt>
                <c:pt idx="73">
                  <c:v>-98.507749805236315</c:v>
                </c:pt>
                <c:pt idx="74">
                  <c:v>-101.94521512195669</c:v>
                </c:pt>
                <c:pt idx="75">
                  <c:v>-104.80409289937303</c:v>
                </c:pt>
                <c:pt idx="76">
                  <c:v>-107.17939503586248</c:v>
                </c:pt>
                <c:pt idx="77">
                  <c:v>-109.15387964426625</c:v>
                </c:pt>
                <c:pt idx="78">
                  <c:v>-110.79710042083711</c:v>
                </c:pt>
                <c:pt idx="79">
                  <c:v>-112.16642307689457</c:v>
                </c:pt>
                <c:pt idx="80">
                  <c:v>-113.30873385900883</c:v>
                </c:pt>
                <c:pt idx="81">
                  <c:v>-114.26223028970932</c:v>
                </c:pt>
                <c:pt idx="82">
                  <c:v>-115.0580410943838</c:v>
                </c:pt>
                <c:pt idx="83">
                  <c:v>-115.72159689216937</c:v>
                </c:pt>
                <c:pt idx="84">
                  <c:v>-116.27375101863643</c:v>
                </c:pt>
                <c:pt idx="85">
                  <c:v>-116.73167975865499</c:v>
                </c:pt>
                <c:pt idx="86">
                  <c:v>-117.10959903219593</c:v>
                </c:pt>
                <c:pt idx="87">
                  <c:v>-117.41933297950347</c:v>
                </c:pt>
                <c:pt idx="88">
                  <c:v>-117.67076498083506</c:v>
                </c:pt>
                <c:pt idx="89">
                  <c:v>-117.87219611075051</c:v>
                </c:pt>
                <c:pt idx="90">
                  <c:v>-118.0306309501172</c:v>
                </c:pt>
                <c:pt idx="91">
                  <c:v>-118.15200640397607</c:v>
                </c:pt>
                <c:pt idx="92">
                  <c:v>-118.24137572533036</c:v>
                </c:pt>
                <c:pt idx="93">
                  <c:v>-118.30305722809852</c:v>
                </c:pt>
                <c:pt idx="94">
                  <c:v>-118.3407550590258</c:v>
                </c:pt>
                <c:pt idx="95">
                  <c:v>-118.35765776499842</c:v>
                </c:pt>
                <c:pt idx="96">
                  <c:v>-118.35651913325641</c:v>
                </c:pt>
                <c:pt idx="97">
                  <c:v>-118.33972481178529</c:v>
                </c:pt>
                <c:pt idx="98">
                  <c:v>-118.30934746833989</c:v>
                </c:pt>
                <c:pt idx="99">
                  <c:v>-118.26719266709719</c:v>
                </c:pt>
                <c:pt idx="100">
                  <c:v>-118.21483719202998</c:v>
                </c:pt>
                <c:pt idx="101">
                  <c:v>-118.15366119543923</c:v>
                </c:pt>
                <c:pt idx="102">
                  <c:v>-118.08487527564868</c:v>
                </c:pt>
                <c:pt idx="103">
                  <c:v>-118.00954337214698</c:v>
                </c:pt>
                <c:pt idx="104">
                  <c:v>-117.92860219614812</c:v>
                </c:pt>
                <c:pt idx="105">
                  <c:v>-117.84287777947067</c:v>
                </c:pt>
                <c:pt idx="106">
                  <c:v>-117.75309961703591</c:v>
                </c:pt>
                <c:pt idx="107">
                  <c:v>-117.65991279219169</c:v>
                </c:pt>
                <c:pt idx="108">
                  <c:v>-117.56388840488142</c:v>
                </c:pt>
                <c:pt idx="109">
                  <c:v>-117.46553256684088</c:v>
                </c:pt>
                <c:pt idx="110">
                  <c:v>-117.36529418275263</c:v>
                </c:pt>
                <c:pt idx="111">
                  <c:v>-117.26357169946543</c:v>
                </c:pt>
                <c:pt idx="112">
                  <c:v>-117.16071897530361</c:v>
                </c:pt>
                <c:pt idx="113">
                  <c:v>-117.05705039682226</c:v>
                </c:pt>
                <c:pt idx="114">
                  <c:v>-116.95284535005557</c:v>
                </c:pt>
                <c:pt idx="115">
                  <c:v>-116.84835213652919</c:v>
                </c:pt>
                <c:pt idx="116">
                  <c:v>-116.74379141039995</c:v>
                </c:pt>
                <c:pt idx="117">
                  <c:v>-116.63935920151471</c:v>
                </c:pt>
                <c:pt idx="118">
                  <c:v>-116.53522957952434</c:v>
                </c:pt>
                <c:pt idx="119">
                  <c:v>-116.43155700610494</c:v>
                </c:pt>
                <c:pt idx="120">
                  <c:v>-116.32847841554552</c:v>
                </c:pt>
                <c:pt idx="121">
                  <c:v>-116.22611505824467</c:v>
                </c:pt>
                <c:pt idx="122">
                  <c:v>-116.12457413682407</c:v>
                </c:pt>
                <c:pt idx="123">
                  <c:v>-116.02395026047452</c:v>
                </c:pt>
                <c:pt idx="124">
                  <c:v>-115.92432673967213</c:v>
                </c:pt>
                <c:pt idx="125">
                  <c:v>-115.82577674044045</c:v>
                </c:pt>
                <c:pt idx="126">
                  <c:v>-115.7283643148065</c:v>
                </c:pt>
                <c:pt idx="127">
                  <c:v>-115.6321453219325</c:v>
                </c:pt>
                <c:pt idx="128">
                  <c:v>-115.53716825254865</c:v>
                </c:pt>
                <c:pt idx="129">
                  <c:v>-115.44347496771563</c:v>
                </c:pt>
                <c:pt idx="130">
                  <c:v>-115.35110136156769</c:v>
                </c:pt>
                <c:pt idx="131">
                  <c:v>-115.26007795649848</c:v>
                </c:pt>
                <c:pt idx="132">
                  <c:v>-115.17043043822365</c:v>
                </c:pt>
                <c:pt idx="133">
                  <c:v>-115.08218013725882</c:v>
                </c:pt>
                <c:pt idx="134">
                  <c:v>-114.9953444625793</c:v>
                </c:pt>
                <c:pt idx="135">
                  <c:v>-114.90993729254835</c:v>
                </c:pt>
                <c:pt idx="136">
                  <c:v>-114.82596932761518</c:v>
                </c:pt>
                <c:pt idx="137">
                  <c:v>-114.74344840876638</c:v>
                </c:pt>
                <c:pt idx="138">
                  <c:v>-114.66237980526427</c:v>
                </c:pt>
                <c:pt idx="139">
                  <c:v>-114.58276647481071</c:v>
                </c:pt>
                <c:pt idx="140">
                  <c:v>-114.50460929892742</c:v>
                </c:pt>
                <c:pt idx="141">
                  <c:v>-114.42790729603813</c:v>
                </c:pt>
                <c:pt idx="142">
                  <c:v>-114.35265781446839</c:v>
                </c:pt>
                <c:pt idx="143">
                  <c:v>-114.2788567073422</c:v>
                </c:pt>
                <c:pt idx="144">
                  <c:v>-114.20649849114385</c:v>
                </c:pt>
                <c:pt idx="145">
                  <c:v>-114.13557648952786</c:v>
                </c:pt>
                <c:pt idx="146">
                  <c:v>-114.06608296379501</c:v>
                </c:pt>
                <c:pt idx="147">
                  <c:v>-113.99800923130699</c:v>
                </c:pt>
                <c:pt idx="148">
                  <c:v>-113.93134577298116</c:v>
                </c:pt>
                <c:pt idx="149">
                  <c:v>-113.86608233089235</c:v>
                </c:pt>
                <c:pt idx="150">
                  <c:v>-113.80220799690584</c:v>
                </c:pt>
                <c:pt idx="151">
                  <c:v>-113.73971129317243</c:v>
                </c:pt>
                <c:pt idx="152">
                  <c:v>-113.67858024523659</c:v>
                </c:pt>
                <c:pt idx="153">
                  <c:v>-113.61880244843358</c:v>
                </c:pt>
                <c:pt idx="154">
                  <c:v>-113.56036512818717</c:v>
                </c:pt>
                <c:pt idx="155">
                  <c:v>-113.50325519475983</c:v>
                </c:pt>
                <c:pt idx="156">
                  <c:v>-113.44745929295564</c:v>
                </c:pt>
                <c:pt idx="157">
                  <c:v>-113.39296384722772</c:v>
                </c:pt>
                <c:pt idx="158">
                  <c:v>-113.33975510260034</c:v>
                </c:pt>
                <c:pt idx="159">
                  <c:v>-113.28781916177751</c:v>
                </c:pt>
                <c:pt idx="160">
                  <c:v>-113.2371420187749</c:v>
                </c:pt>
                <c:pt idx="161">
                  <c:v>-113.18770958938138</c:v>
                </c:pt>
                <c:pt idx="162">
                  <c:v>-113.13950773872901</c:v>
                </c:pt>
                <c:pt idx="163">
                  <c:v>-113.0925223062233</c:v>
                </c:pt>
                <c:pt idx="164">
                  <c:v>-113.04673912806541</c:v>
                </c:pt>
                <c:pt idx="165">
                  <c:v>-113.00214405757399</c:v>
                </c:pt>
                <c:pt idx="166">
                  <c:v>-112.9587229834995</c:v>
                </c:pt>
                <c:pt idx="167">
                  <c:v>-112.91646184650358</c:v>
                </c:pt>
                <c:pt idx="168">
                  <c:v>-112.87534665396228</c:v>
                </c:pt>
                <c:pt idx="169">
                  <c:v>-112.83536349323884</c:v>
                </c:pt>
                <c:pt idx="170">
                  <c:v>-112.79649854355669</c:v>
                </c:pt>
                <c:pt idx="171">
                  <c:v>-112.75873808659469</c:v>
                </c:pt>
                <c:pt idx="172">
                  <c:v>-112.72206851591392</c:v>
                </c:pt>
                <c:pt idx="173">
                  <c:v>-112.68647634531723</c:v>
                </c:pt>
                <c:pt idx="174">
                  <c:v>-112.65194821623373</c:v>
                </c:pt>
                <c:pt idx="175">
                  <c:v>-112.61847090421233</c:v>
                </c:pt>
                <c:pt idx="176">
                  <c:v>-112.58603132460159</c:v>
                </c:pt>
                <c:pt idx="177">
                  <c:v>-112.55461653748661</c:v>
                </c:pt>
                <c:pt idx="178">
                  <c:v>-112.52421375194758</c:v>
                </c:pt>
                <c:pt idx="179">
                  <c:v>-112.49481032969902</c:v>
                </c:pt>
                <c:pt idx="180">
                  <c:v>-112.46639378816475</c:v>
                </c:pt>
                <c:pt idx="181">
                  <c:v>-112.43895180303733</c:v>
                </c:pt>
                <c:pt idx="182">
                  <c:v>-112.41247221036839</c:v>
                </c:pt>
                <c:pt idx="183">
                  <c:v>-112.38694300823174</c:v>
                </c:pt>
                <c:pt idx="184">
                  <c:v>-112.36235235799695</c:v>
                </c:pt>
                <c:pt idx="185">
                  <c:v>-112.33868858524937</c:v>
                </c:pt>
                <c:pt idx="186">
                  <c:v>-112.31594018038832</c:v>
                </c:pt>
                <c:pt idx="187">
                  <c:v>-112.29409579893374</c:v>
                </c:pt>
                <c:pt idx="188">
                  <c:v>-112.27314426156782</c:v>
                </c:pt>
                <c:pt idx="189">
                  <c:v>-112.25307455393722</c:v>
                </c:pt>
                <c:pt idx="190">
                  <c:v>-112.23387582623815</c:v>
                </c:pt>
                <c:pt idx="191">
                  <c:v>-112.21553739260611</c:v>
                </c:pt>
                <c:pt idx="192">
                  <c:v>-112.19804873032899</c:v>
                </c:pt>
                <c:pt idx="193">
                  <c:v>-112.18139947890158</c:v>
                </c:pt>
                <c:pt idx="194">
                  <c:v>-112.16557943893751</c:v>
                </c:pt>
                <c:pt idx="195">
                  <c:v>-112.15057857095393</c:v>
                </c:pt>
                <c:pt idx="196">
                  <c:v>-112.13638699404234</c:v>
                </c:pt>
                <c:pt idx="197">
                  <c:v>-112.12299498443822</c:v>
                </c:pt>
                <c:pt idx="198">
                  <c:v>-112.11039297400094</c:v>
                </c:pt>
                <c:pt idx="199">
                  <c:v>-112.09857154861469</c:v>
                </c:pt>
                <c:pt idx="200">
                  <c:v>-112.08752144651994</c:v>
                </c:pt>
                <c:pt idx="201">
                  <c:v>-112.07723355658447</c:v>
                </c:pt>
                <c:pt idx="202">
                  <c:v>-112.06769891652185</c:v>
                </c:pt>
                <c:pt idx="203">
                  <c:v>-112.05890871106534</c:v>
                </c:pt>
                <c:pt idx="204">
                  <c:v>-112.0508542701034</c:v>
                </c:pt>
                <c:pt idx="205">
                  <c:v>-112.04352706678347</c:v>
                </c:pt>
                <c:pt idx="206">
                  <c:v>-112.03691871558959</c:v>
                </c:pt>
                <c:pt idx="207">
                  <c:v>-112.03102097039907</c:v>
                </c:pt>
                <c:pt idx="208">
                  <c:v>-112.02582572252319</c:v>
                </c:pt>
                <c:pt idx="209">
                  <c:v>-112.02132499873564</c:v>
                </c:pt>
                <c:pt idx="210">
                  <c:v>-112.01751095929345</c:v>
                </c:pt>
                <c:pt idx="211">
                  <c:v>-112.01437589595362</c:v>
                </c:pt>
                <c:pt idx="212">
                  <c:v>-112.01191222998854</c:v>
                </c:pt>
                <c:pt idx="213">
                  <c:v>-112.01011251020337</c:v>
                </c:pt>
                <c:pt idx="214">
                  <c:v>-112.00896941095846</c:v>
                </c:pt>
                <c:pt idx="215">
                  <c:v>-112.00847573019828</c:v>
                </c:pt>
                <c:pt idx="216">
                  <c:v>-112.00862438749023</c:v>
                </c:pt>
                <c:pt idx="217">
                  <c:v>-112.00940842207416</c:v>
                </c:pt>
                <c:pt idx="218">
                  <c:v>-112.01082099092538</c:v>
                </c:pt>
                <c:pt idx="219">
                  <c:v>-112.0128553668323</c:v>
                </c:pt>
                <c:pt idx="220">
                  <c:v>-112.01550493648985</c:v>
                </c:pt>
                <c:pt idx="221">
                  <c:v>-112.01876319861056</c:v>
                </c:pt>
                <c:pt idx="222">
                  <c:v>-112.02262376205421</c:v>
                </c:pt>
                <c:pt idx="223">
                  <c:v>-112.02708034397664</c:v>
                </c:pt>
                <c:pt idx="224">
                  <c:v>-112.03212676799927</c:v>
                </c:pt>
                <c:pt idx="225">
                  <c:v>-112.03775696239974</c:v>
                </c:pt>
                <c:pt idx="226">
                  <c:v>-112.12490181743487</c:v>
                </c:pt>
                <c:pt idx="227">
                  <c:v>-112.26445606328417</c:v>
                </c:pt>
                <c:pt idx="228">
                  <c:v>-112.45181702681441</c:v>
                </c:pt>
                <c:pt idx="229">
                  <c:v>-112.6830939757215</c:v>
                </c:pt>
                <c:pt idx="230">
                  <c:v>-112.95499074419961</c:v>
                </c:pt>
                <c:pt idx="231">
                  <c:v>-113.26470787966328</c:v>
                </c:pt>
                <c:pt idx="232">
                  <c:v>-113.60986130842629</c:v>
                </c:pt>
                <c:pt idx="233">
                  <c:v>-113.98841471351959</c:v>
                </c:pt>
                <c:pt idx="234">
                  <c:v>-114.39862317874976</c:v>
                </c:pt>
                <c:pt idx="235">
                  <c:v>-114.83898604219583</c:v>
                </c:pt>
                <c:pt idx="236">
                  <c:v>-115.30820726273856</c:v>
                </c:pt>
                <c:pt idx="237">
                  <c:v>-115.80516191548672</c:v>
                </c:pt>
                <c:pt idx="238">
                  <c:v>-116.32886769342318</c:v>
                </c:pt>
                <c:pt idx="239">
                  <c:v>-116.878460507521</c:v>
                </c:pt>
                <c:pt idx="240">
                  <c:v>-117.45317345254239</c:v>
                </c:pt>
                <c:pt idx="241">
                  <c:v>-118.05231854753566</c:v>
                </c:pt>
                <c:pt idx="242">
                  <c:v>-118.67527077486227</c:v>
                </c:pt>
                <c:pt idx="243">
                  <c:v>-119.32145403468017</c:v>
                </c:pt>
                <c:pt idx="244">
                  <c:v>-119.99032870751215</c:v>
                </c:pt>
                <c:pt idx="245">
                  <c:v>-120.68138057934299</c:v>
                </c:pt>
                <c:pt idx="246">
                  <c:v>-121.39411093439453</c:v>
                </c:pt>
                <c:pt idx="247">
                  <c:v>-122.12802766251261</c:v>
                </c:pt>
                <c:pt idx="248">
                  <c:v>-122.8826372626781</c:v>
                </c:pt>
                <c:pt idx="249">
                  <c:v>-123.65743765284101</c:v>
                </c:pt>
                <c:pt idx="250">
                  <c:v>-124.45191172008897</c:v>
                </c:pt>
                <c:pt idx="251">
                  <c:v>-125.26552156486032</c:v>
                </c:pt>
                <c:pt idx="252">
                  <c:v>-126.09770340907457</c:v>
                </c:pt>
                <c:pt idx="253">
                  <c:v>-126.94786315109505</c:v>
                </c:pt>
                <c:pt idx="254">
                  <c:v>-127.81537256066925</c:v>
                </c:pt>
                <c:pt idx="255">
                  <c:v>-128.69956611463019</c:v>
                </c:pt>
                <c:pt idx="256">
                  <c:v>-129.59973847935476</c:v>
                </c:pt>
                <c:pt idx="257">
                  <c:v>-130.51514264888158</c:v>
                </c:pt>
                <c:pt idx="258">
                  <c:v>-131.44498874831729</c:v>
                </c:pt>
                <c:pt idx="259">
                  <c:v>-132.38844351081121</c:v>
                </c:pt>
                <c:pt idx="260">
                  <c:v>-133.34463043309688</c:v>
                </c:pt>
                <c:pt idx="261">
                  <c:v>-134.31263060954743</c:v>
                </c:pt>
                <c:pt idx="262">
                  <c:v>-135.29148423807845</c:v>
                </c:pt>
                <c:pt idx="263">
                  <c:v>-136.28019278330092</c:v>
                </c:pt>
                <c:pt idx="264">
                  <c:v>-137.27772177337883</c:v>
                </c:pt>
                <c:pt idx="265">
                  <c:v>-138.28300419741714</c:v>
                </c:pt>
                <c:pt idx="266">
                  <c:v>-139.29494446026484</c:v>
                </c:pt>
                <c:pt idx="267">
                  <c:v>-140.31242284176591</c:v>
                </c:pt>
                <c:pt idx="268">
                  <c:v>-141.33430039812751</c:v>
                </c:pt>
                <c:pt idx="269">
                  <c:v>-142.35942423459952</c:v>
                </c:pt>
                <c:pt idx="270">
                  <c:v>-143.38663307143884</c:v>
                </c:pt>
                <c:pt idx="271">
                  <c:v>-144.4147630194924</c:v>
                </c:pt>
                <c:pt idx="272">
                  <c:v>-145.44265347793365</c:v>
                </c:pt>
                <c:pt idx="273">
                  <c:v>-146.46915306491982</c:v>
                </c:pt>
                <c:pt idx="274">
                  <c:v>-147.49312549229552</c:v>
                </c:pt>
                <c:pt idx="275">
                  <c:v>-148.51345529797163</c:v>
                </c:pt>
                <c:pt idx="276">
                  <c:v>-149.52905335416358</c:v>
                </c:pt>
                <c:pt idx="277">
                  <c:v>-150.53886207612899</c:v>
                </c:pt>
                <c:pt idx="278">
                  <c:v>-151.54186026414422</c:v>
                </c:pt>
                <c:pt idx="279">
                  <c:v>-152.53706752091537</c:v>
                </c:pt>
                <c:pt idx="280">
                  <c:v>-153.52354819707571</c:v>
                </c:pt>
                <c:pt idx="281">
                  <c:v>-154.50041482851449</c:v>
                </c:pt>
                <c:pt idx="282">
                  <c:v>-155.46683104063669</c:v>
                </c:pt>
                <c:pt idx="283">
                  <c:v>-156.42201390590375</c:v>
                </c:pt>
                <c:pt idx="284">
                  <c:v>-157.36523575182608</c:v>
                </c:pt>
                <c:pt idx="285">
                  <c:v>-158.29582542667231</c:v>
                </c:pt>
                <c:pt idx="286">
                  <c:v>-159.21316903929298</c:v>
                </c:pt>
                <c:pt idx="287">
                  <c:v>-160.116710197445</c:v>
                </c:pt>
                <c:pt idx="288">
                  <c:v>-161.00594977572808</c:v>
                </c:pt>
                <c:pt idx="289">
                  <c:v>-161.88044524963814</c:v>
                </c:pt>
                <c:pt idx="290">
                  <c:v>-162.73980963629731</c:v>
                </c:pt>
                <c:pt idx="291">
                  <c:v>-163.58371008517599</c:v>
                </c:pt>
                <c:pt idx="292">
                  <c:v>-164.41186616365033</c:v>
                </c:pt>
                <c:pt idx="293">
                  <c:v>-165.2240478826522</c:v>
                </c:pt>
                <c:pt idx="294">
                  <c:v>-166.02007350709695</c:v>
                </c:pt>
                <c:pt idx="295">
                  <c:v>-166.79980719435579</c:v>
                </c:pt>
                <c:pt idx="296">
                  <c:v>-167.56315650193559</c:v>
                </c:pt>
                <c:pt idx="297">
                  <c:v>-168.31006980287242</c:v>
                </c:pt>
                <c:pt idx="298">
                  <c:v>-169.0405336442962</c:v>
                </c:pt>
                <c:pt idx="299">
                  <c:v>-169.75457008129797</c:v>
                </c:pt>
                <c:pt idx="300">
                  <c:v>-170.45223401476071</c:v>
                </c:pt>
                <c:pt idx="301">
                  <c:v>-171.13361055829705</c:v>
                </c:pt>
                <c:pt idx="302">
                  <c:v>-171.79881245595712</c:v>
                </c:pt>
                <c:pt idx="303">
                  <c:v>-172.44797756900715</c:v>
                </c:pt>
                <c:pt idx="304">
                  <c:v>-173.08126644688221</c:v>
                </c:pt>
                <c:pt idx="305">
                  <c:v>-173.69885999443065</c:v>
                </c:pt>
                <c:pt idx="306">
                  <c:v>-174.30095724482084</c:v>
                </c:pt>
                <c:pt idx="307">
                  <c:v>-174.88777324499068</c:v>
                </c:pt>
                <c:pt idx="308">
                  <c:v>-175.4595370582924</c:v>
                </c:pt>
                <c:pt idx="309">
                  <c:v>-176.01648988702385</c:v>
                </c:pt>
                <c:pt idx="310">
                  <c:v>-176.55888331583211</c:v>
                </c:pt>
                <c:pt idx="311">
                  <c:v>-177.08697767551379</c:v>
                </c:pt>
                <c:pt idx="312">
                  <c:v>-177.60104052551122</c:v>
                </c:pt>
                <c:pt idx="313">
                  <c:v>-178.10134525238573</c:v>
                </c:pt>
                <c:pt idx="314">
                  <c:v>-178.58816978073082</c:v>
                </c:pt>
                <c:pt idx="315">
                  <c:v>-179.06179539234253</c:v>
                </c:pt>
                <c:pt idx="316">
                  <c:v>-179.52250564897528</c:v>
                </c:pt>
                <c:pt idx="317">
                  <c:v>-179.97058541365902</c:v>
                </c:pt>
                <c:pt idx="318">
                  <c:v>-180.40631996531945</c:v>
                </c:pt>
                <c:pt idx="319">
                  <c:v>-180.82999420131191</c:v>
                </c:pt>
                <c:pt idx="320">
                  <c:v>-181.24189192243148</c:v>
                </c:pt>
                <c:pt idx="321">
                  <c:v>-181.64229519499</c:v>
                </c:pt>
                <c:pt idx="322">
                  <c:v>-182.03148378463086</c:v>
                </c:pt>
                <c:pt idx="323">
                  <c:v>-182.40973465668782</c:v>
                </c:pt>
                <c:pt idx="324">
                  <c:v>-182.77732153805829</c:v>
                </c:pt>
                <c:pt idx="325">
                  <c:v>-183.13451453576124</c:v>
                </c:pt>
                <c:pt idx="326">
                  <c:v>-183.48157980756451</c:v>
                </c:pt>
                <c:pt idx="327">
                  <c:v>-183.81877928029877</c:v>
                </c:pt>
                <c:pt idx="328">
                  <c:v>-184.14637041171409</c:v>
                </c:pt>
                <c:pt idx="329">
                  <c:v>-184.46460599198076</c:v>
                </c:pt>
                <c:pt idx="330">
                  <c:v>-184.7737339811766</c:v>
                </c:pt>
                <c:pt idx="331">
                  <c:v>-185.07399737934847</c:v>
                </c:pt>
                <c:pt idx="332">
                  <c:v>-185.36563412596814</c:v>
                </c:pt>
                <c:pt idx="333">
                  <c:v>-185.64887702583377</c:v>
                </c:pt>
                <c:pt idx="334">
                  <c:v>-185.92395369868814</c:v>
                </c:pt>
                <c:pt idx="335">
                  <c:v>-186.19108655003427</c:v>
                </c:pt>
                <c:pt idx="336">
                  <c:v>-186.45049276083293</c:v>
                </c:pt>
                <c:pt idx="337">
                  <c:v>-186.70238429395144</c:v>
                </c:pt>
                <c:pt idx="338">
                  <c:v>-186.94696791541651</c:v>
                </c:pt>
                <c:pt idx="339">
                  <c:v>-187.18444522868907</c:v>
                </c:pt>
                <c:pt idx="340">
                  <c:v>-187.41501272033642</c:v>
                </c:pt>
                <c:pt idx="341">
                  <c:v>-187.63886181562364</c:v>
                </c:pt>
                <c:pt idx="342">
                  <c:v>-187.85617894268213</c:v>
                </c:pt>
                <c:pt idx="343">
                  <c:v>-188.06714560403873</c:v>
                </c:pt>
                <c:pt idx="344">
                  <c:v>-188.27193845440536</c:v>
                </c:pt>
                <c:pt idx="345">
                  <c:v>-188.47072938373725</c:v>
                </c:pt>
                <c:pt idx="346">
                  <c:v>-188.66368560466515</c:v>
                </c:pt>
                <c:pt idx="347">
                  <c:v>-188.85096974350026</c:v>
                </c:pt>
                <c:pt idx="348">
                  <c:v>-189.03273993409044</c:v>
                </c:pt>
                <c:pt idx="349">
                  <c:v>-189.20914991388585</c:v>
                </c:pt>
                <c:pt idx="350">
                  <c:v>-189.3803491216392</c:v>
                </c:pt>
                <c:pt idx="351">
                  <c:v>-189.54648279623049</c:v>
                </c:pt>
                <c:pt idx="352">
                  <c:v>-189.70769207616371</c:v>
                </c:pt>
                <c:pt idx="353">
                  <c:v>-189.8641140993349</c:v>
                </c:pt>
                <c:pt idx="354">
                  <c:v>-190.01588210271962</c:v>
                </c:pt>
                <c:pt idx="355">
                  <c:v>-190.16312552166968</c:v>
                </c:pt>
                <c:pt idx="356">
                  <c:v>-190.30597008854977</c:v>
                </c:pt>
                <c:pt idx="357">
                  <c:v>-190.44453793047788</c:v>
                </c:pt>
                <c:pt idx="358">
                  <c:v>-190.57894766596755</c:v>
                </c:pt>
                <c:pt idx="359">
                  <c:v>-190.70931450029619</c:v>
                </c:pt>
                <c:pt idx="360">
                  <c:v>-190.83575031945156</c:v>
                </c:pt>
                <c:pt idx="361">
                  <c:v>-190.95836378253068</c:v>
                </c:pt>
                <c:pt idx="362">
                  <c:v>-191.07726041248605</c:v>
                </c:pt>
                <c:pt idx="363">
                  <c:v>-191.19254268513274</c:v>
                </c:pt>
                <c:pt idx="364">
                  <c:v>-191.30431011634749</c:v>
                </c:pt>
                <c:pt idx="365">
                  <c:v>-191.41265934740343</c:v>
                </c:pt>
                <c:pt idx="366">
                  <c:v>-191.51768422839962</c:v>
                </c:pt>
                <c:pt idx="367">
                  <c:v>-191.61947589975489</c:v>
                </c:pt>
                <c:pt idx="368">
                  <c:v>-191.71812287174555</c:v>
                </c:pt>
                <c:pt idx="369">
                  <c:v>-191.8137111020767</c:v>
                </c:pt>
                <c:pt idx="370">
                  <c:v>-191.90632407148354</c:v>
                </c:pt>
                <c:pt idx="371">
                  <c:v>-191.99604285736794</c:v>
                </c:pt>
                <c:pt idx="372">
                  <c:v>-192.08294620547838</c:v>
                </c:pt>
                <c:pt idx="373">
                  <c:v>-192.16711059965115</c:v>
                </c:pt>
                <c:pt idx="374">
                  <c:v>-192.24861032963099</c:v>
                </c:pt>
                <c:pt idx="375">
                  <c:v>-192.32751755699601</c:v>
                </c:pt>
                <c:pt idx="376">
                  <c:v>-192.403902379214</c:v>
                </c:pt>
                <c:pt idx="377">
                  <c:v>-192.47783289186023</c:v>
                </c:pt>
                <c:pt idx="378">
                  <c:v>-192.54937524902979</c:v>
                </c:pt>
                <c:pt idx="379">
                  <c:v>-192.61859372197782</c:v>
                </c:pt>
                <c:pt idx="380">
                  <c:v>-192.68555075602504</c:v>
                </c:pt>
                <c:pt idx="381">
                  <c:v>-192.75030702576487</c:v>
                </c:pt>
                <c:pt idx="382">
                  <c:v>-192.81292148861141</c:v>
                </c:pt>
                <c:pt idx="383">
                  <c:v>-192.87345143672616</c:v>
                </c:pt>
                <c:pt idx="384">
                  <c:v>-192.93195254736418</c:v>
                </c:pt>
                <c:pt idx="385">
                  <c:v>-192.9884789316788</c:v>
                </c:pt>
                <c:pt idx="386">
                  <c:v>-193.04308318202482</c:v>
                </c:pt>
                <c:pt idx="387">
                  <c:v>-193.09581641780045</c:v>
                </c:pt>
                <c:pt idx="388">
                  <c:v>-193.14672832986733</c:v>
                </c:pt>
                <c:pt idx="389">
                  <c:v>-193.19586722358844</c:v>
                </c:pt>
                <c:pt idx="390">
                  <c:v>-193.24328006052261</c:v>
                </c:pt>
                <c:pt idx="391">
                  <c:v>-193.28901249881386</c:v>
                </c:pt>
                <c:pt idx="392">
                  <c:v>-193.33310893231493</c:v>
                </c:pt>
                <c:pt idx="393">
                  <c:v>-193.37561252848056</c:v>
                </c:pt>
                <c:pt idx="394">
                  <c:v>-193.41656526506875</c:v>
                </c:pt>
                <c:pt idx="395">
                  <c:v>-193.4560079656849</c:v>
                </c:pt>
                <c:pt idx="396">
                  <c:v>-193.49398033420542</c:v>
                </c:pt>
                <c:pt idx="397">
                  <c:v>-193.53052098811347</c:v>
                </c:pt>
                <c:pt idx="398">
                  <c:v>-193.56566749078289</c:v>
                </c:pt>
                <c:pt idx="399">
                  <c:v>-193.59945638274073</c:v>
                </c:pt>
                <c:pt idx="400">
                  <c:v>-193.63192321194268</c:v>
                </c:pt>
                <c:pt idx="401">
                  <c:v>-193.6631025630912</c:v>
                </c:pt>
                <c:pt idx="402">
                  <c:v>-193.69302808602737</c:v>
                </c:pt>
                <c:pt idx="403">
                  <c:v>-193.72173252322614</c:v>
                </c:pt>
                <c:pt idx="404">
                  <c:v>-193.74924773642365</c:v>
                </c:pt>
                <c:pt idx="405">
                  <c:v>-193.77560473240447</c:v>
                </c:pt>
                <c:pt idx="406">
                  <c:v>-193.80083368797605</c:v>
                </c:pt>
                <c:pt idx="407">
                  <c:v>-193.82496397415716</c:v>
                </c:pt>
                <c:pt idx="408">
                  <c:v>-193.84802417960466</c:v>
                </c:pt>
                <c:pt idx="409">
                  <c:v>-193.87004213330542</c:v>
                </c:pt>
                <c:pt idx="410">
                  <c:v>-193.89104492655491</c:v>
                </c:pt>
                <c:pt idx="411">
                  <c:v>-193.91105893424836</c:v>
                </c:pt>
                <c:pt idx="412">
                  <c:v>-193.93010983550516</c:v>
                </c:pt>
                <c:pt idx="413">
                  <c:v>-193.94822263364881</c:v>
                </c:pt>
                <c:pt idx="414">
                  <c:v>-193.9654216755645</c:v>
                </c:pt>
                <c:pt idx="415">
                  <c:v>-193.98173067045354</c:v>
                </c:pt>
                <c:pt idx="416">
                  <c:v>-193.99717270800497</c:v>
                </c:pt>
                <c:pt idx="417">
                  <c:v>-194.01177027600383</c:v>
                </c:pt>
                <c:pt idx="418">
                  <c:v>-194.0255452773942</c:v>
                </c:pt>
                <c:pt idx="419">
                  <c:v>-194.03851904681488</c:v>
                </c:pt>
                <c:pt idx="420">
                  <c:v>-194.0507123666259</c:v>
                </c:pt>
                <c:pt idx="421">
                  <c:v>-194.06214548244085</c:v>
                </c:pt>
                <c:pt idx="422">
                  <c:v>-194.07283811818343</c:v>
                </c:pt>
                <c:pt idx="423">
                  <c:v>-194.08280949068228</c:v>
                </c:pt>
                <c:pt idx="424">
                  <c:v>-194.09207832381961</c:v>
                </c:pt>
                <c:pt idx="425">
                  <c:v>-194.10066286224884</c:v>
                </c:pt>
                <c:pt idx="426">
                  <c:v>-194.10858088469419</c:v>
                </c:pt>
                <c:pt idx="427">
                  <c:v>-194.11584971684752</c:v>
                </c:pt>
                <c:pt idx="428">
                  <c:v>-194.12248624387377</c:v>
                </c:pt>
                <c:pt idx="429">
                  <c:v>-194.12850692253909</c:v>
                </c:pt>
                <c:pt idx="430">
                  <c:v>-194.13392779297379</c:v>
                </c:pt>
                <c:pt idx="431">
                  <c:v>-194.13876449008103</c:v>
                </c:pt>
                <c:pt idx="432">
                  <c:v>-194.14303225460398</c:v>
                </c:pt>
                <c:pt idx="433">
                  <c:v>-194.14674594386173</c:v>
                </c:pt>
                <c:pt idx="434">
                  <c:v>-194.14992004216532</c:v>
                </c:pt>
                <c:pt idx="435">
                  <c:v>-194.15256867092313</c:v>
                </c:pt>
                <c:pt idx="436">
                  <c:v>-194.15470559844709</c:v>
                </c:pt>
                <c:pt idx="437">
                  <c:v>-194.15634424946822</c:v>
                </c:pt>
                <c:pt idx="438">
                  <c:v>-194.15749771437117</c:v>
                </c:pt>
                <c:pt idx="439">
                  <c:v>-194.15817875815733</c:v>
                </c:pt>
                <c:pt idx="440">
                  <c:v>-194.15839982914383</c:v>
                </c:pt>
                <c:pt idx="441">
                  <c:v>-194.15817306740874</c:v>
                </c:pt>
                <c:pt idx="442">
                  <c:v>-194.15751031298879</c:v>
                </c:pt>
                <c:pt idx="443">
                  <c:v>-194.15642311383851</c:v>
                </c:pt>
                <c:pt idx="444">
                  <c:v>-194.1549227335581</c:v>
                </c:pt>
                <c:pt idx="445">
                  <c:v>-194.15302015889753</c:v>
                </c:pt>
                <c:pt idx="446">
                  <c:v>-194.15072610704323</c:v>
                </c:pt>
                <c:pt idx="447">
                  <c:v>-194.14805103269521</c:v>
                </c:pt>
                <c:pt idx="448">
                  <c:v>-194.14500513494062</c:v>
                </c:pt>
                <c:pt idx="449">
                  <c:v>-194.14159836393009</c:v>
                </c:pt>
                <c:pt idx="450">
                  <c:v>-194.13784042736341</c:v>
                </c:pt>
                <c:pt idx="451">
                  <c:v>-194.13374079678985</c:v>
                </c:pt>
                <c:pt idx="452">
                  <c:v>-194.1293087137301</c:v>
                </c:pt>
                <c:pt idx="453">
                  <c:v>-194.12455319562338</c:v>
                </c:pt>
                <c:pt idx="454">
                  <c:v>-194.11948304160768</c:v>
                </c:pt>
                <c:pt idx="455">
                  <c:v>-194.11410683813583</c:v>
                </c:pt>
                <c:pt idx="456">
                  <c:v>-194.10843296443409</c:v>
                </c:pt>
                <c:pt idx="457">
                  <c:v>-194.10246959780781</c:v>
                </c:pt>
                <c:pt idx="458">
                  <c:v>-194.09622471879794</c:v>
                </c:pt>
                <c:pt idx="459">
                  <c:v>-194.08970611619418</c:v>
                </c:pt>
                <c:pt idx="460">
                  <c:v>-194.08292139190849</c:v>
                </c:pt>
                <c:pt idx="461">
                  <c:v>-194.07587796571323</c:v>
                </c:pt>
                <c:pt idx="462">
                  <c:v>-194.0685830798482</c:v>
                </c:pt>
                <c:pt idx="463">
                  <c:v>-194.06104380350041</c:v>
                </c:pt>
                <c:pt idx="464">
                  <c:v>-194.05326703716054</c:v>
                </c:pt>
                <c:pt idx="465">
                  <c:v>-194.04525951685997</c:v>
                </c:pt>
                <c:pt idx="466">
                  <c:v>-194.03702781829122</c:v>
                </c:pt>
                <c:pt idx="467">
                  <c:v>-194.02857836081651</c:v>
                </c:pt>
                <c:pt idx="468">
                  <c:v>-194.01991741136635</c:v>
                </c:pt>
                <c:pt idx="469">
                  <c:v>-194.01105108823305</c:v>
                </c:pt>
                <c:pt idx="470">
                  <c:v>-194.00198536476074</c:v>
                </c:pt>
                <c:pt idx="471">
                  <c:v>-193.9927260729358</c:v>
                </c:pt>
                <c:pt idx="472">
                  <c:v>-193.98327890688074</c:v>
                </c:pt>
                <c:pt idx="473">
                  <c:v>-193.9736494262539</c:v>
                </c:pt>
                <c:pt idx="474">
                  <c:v>-193.96384305955783</c:v>
                </c:pt>
                <c:pt idx="475">
                  <c:v>-193.95386510735966</c:v>
                </c:pt>
                <c:pt idx="476">
                  <c:v>-193.94372074542511</c:v>
                </c:pt>
                <c:pt idx="477">
                  <c:v>-193.93341502776909</c:v>
                </c:pt>
                <c:pt idx="478">
                  <c:v>-193.92295288962572</c:v>
                </c:pt>
                <c:pt idx="479">
                  <c:v>-193.91233915033905</c:v>
                </c:pt>
                <c:pt idx="480">
                  <c:v>-193.90157851617838</c:v>
                </c:pt>
                <c:pt idx="481">
                  <c:v>-193.89067558307815</c:v>
                </c:pt>
                <c:pt idx="482">
                  <c:v>-193.87963483930722</c:v>
                </c:pt>
                <c:pt idx="483">
                  <c:v>-193.86846066806717</c:v>
                </c:pt>
                <c:pt idx="484">
                  <c:v>-193.85715735002287</c:v>
                </c:pt>
                <c:pt idx="485">
                  <c:v>-193.84572906576753</c:v>
                </c:pt>
                <c:pt idx="486">
                  <c:v>-193.83417989822294</c:v>
                </c:pt>
                <c:pt idx="487">
                  <c:v>-193.82251383497797</c:v>
                </c:pt>
                <c:pt idx="488">
                  <c:v>-193.81073477056617</c:v>
                </c:pt>
                <c:pt idx="489">
                  <c:v>-193.7988465086849</c:v>
                </c:pt>
                <c:pt idx="490">
                  <c:v>-193.78685276435669</c:v>
                </c:pt>
                <c:pt idx="491">
                  <c:v>-193.77475716603601</c:v>
                </c:pt>
                <c:pt idx="492">
                  <c:v>-193.76256325766087</c:v>
                </c:pt>
                <c:pt idx="493">
                  <c:v>-193.75027450065303</c:v>
                </c:pt>
                <c:pt idx="494">
                  <c:v>-193.73789427586638</c:v>
                </c:pt>
                <c:pt idx="495">
                  <c:v>-193.72542588548635</c:v>
                </c:pt>
                <c:pt idx="496">
                  <c:v>-193.71287255488036</c:v>
                </c:pt>
                <c:pt idx="497">
                  <c:v>-193.7002374344024</c:v>
                </c:pt>
                <c:pt idx="498">
                  <c:v>-193.68752360115076</c:v>
                </c:pt>
                <c:pt idx="499">
                  <c:v>-193.67473406068268</c:v>
                </c:pt>
                <c:pt idx="500">
                  <c:v>-193.66187174868497</c:v>
                </c:pt>
                <c:pt idx="501">
                  <c:v>-193.64893953260321</c:v>
                </c:pt>
                <c:pt idx="502">
                  <c:v>-193.6359402132297</c:v>
                </c:pt>
                <c:pt idx="503">
                  <c:v>-193.62287652625244</c:v>
                </c:pt>
                <c:pt idx="504">
                  <c:v>-193.60975114376467</c:v>
                </c:pt>
                <c:pt idx="505">
                  <c:v>-193.59656667573762</c:v>
                </c:pt>
                <c:pt idx="506">
                  <c:v>-193.58332567145604</c:v>
                </c:pt>
                <c:pt idx="507">
                  <c:v>-193.57003062091886</c:v>
                </c:pt>
                <c:pt idx="508">
                  <c:v>-193.55668395620484</c:v>
                </c:pt>
                <c:pt idx="509">
                  <c:v>-193.54328805280448</c:v>
                </c:pt>
                <c:pt idx="510">
                  <c:v>-193.52984523091962</c:v>
                </c:pt>
                <c:pt idx="511">
                  <c:v>-193.5163577567306</c:v>
                </c:pt>
                <c:pt idx="512">
                  <c:v>-193.50282784363304</c:v>
                </c:pt>
                <c:pt idx="513">
                  <c:v>-193.48925765344376</c:v>
                </c:pt>
                <c:pt idx="514">
                  <c:v>-193.47564929757775</c:v>
                </c:pt>
                <c:pt idx="515">
                  <c:v>-193.46200483819624</c:v>
                </c:pt>
                <c:pt idx="516">
                  <c:v>-193.44832628932721</c:v>
                </c:pt>
                <c:pt idx="517">
                  <c:v>-193.43461561795837</c:v>
                </c:pt>
                <c:pt idx="518">
                  <c:v>-193.42087474510407</c:v>
                </c:pt>
                <c:pt idx="519">
                  <c:v>-193.4071055468464</c:v>
                </c:pt>
                <c:pt idx="520">
                  <c:v>-193.39330985535105</c:v>
                </c:pt>
                <c:pt idx="521">
                  <c:v>-193.37948945985892</c:v>
                </c:pt>
                <c:pt idx="522">
                  <c:v>-193.36564610765404</c:v>
                </c:pt>
                <c:pt idx="523">
                  <c:v>-193.35178150500812</c:v>
                </c:pt>
                <c:pt idx="524">
                  <c:v>-193.33789731810305</c:v>
                </c:pt>
                <c:pt idx="525">
                  <c:v>-193.32399517393034</c:v>
                </c:pt>
                <c:pt idx="526">
                  <c:v>-193.31007666117071</c:v>
                </c:pt>
                <c:pt idx="527">
                  <c:v>-193.29614333105164</c:v>
                </c:pt>
                <c:pt idx="528">
                  <c:v>-193.28219669818483</c:v>
                </c:pt>
                <c:pt idx="529">
                  <c:v>-193.26823824138435</c:v>
                </c:pt>
                <c:pt idx="530">
                  <c:v>-193.25426940446505</c:v>
                </c:pt>
                <c:pt idx="531">
                  <c:v>-193.24029159702232</c:v>
                </c:pt>
                <c:pt idx="532">
                  <c:v>-193.22630619519347</c:v>
                </c:pt>
                <c:pt idx="533">
                  <c:v>-193.21231454240137</c:v>
                </c:pt>
                <c:pt idx="534">
                  <c:v>-193.19831795008068</c:v>
                </c:pt>
                <c:pt idx="535">
                  <c:v>-193.18431769838716</c:v>
                </c:pt>
                <c:pt idx="536">
                  <c:v>-193.17031503688997</c:v>
                </c:pt>
                <c:pt idx="537">
                  <c:v>-193.156311185249</c:v>
                </c:pt>
                <c:pt idx="538">
                  <c:v>-193.14230733387484</c:v>
                </c:pt>
                <c:pt idx="539">
                  <c:v>-193.12830464457514</c:v>
                </c:pt>
                <c:pt idx="540">
                  <c:v>-193.11430425118479</c:v>
                </c:pt>
                <c:pt idx="541">
                  <c:v>-193.10030726018215</c:v>
                </c:pt>
                <c:pt idx="542">
                  <c:v>-193.08631475129087</c:v>
                </c:pt>
                <c:pt idx="543">
                  <c:v>-193.07232777806809</c:v>
                </c:pt>
                <c:pt idx="544">
                  <c:v>-193.05834736847848</c:v>
                </c:pt>
                <c:pt idx="545">
                  <c:v>-193.04437452545636</c:v>
                </c:pt>
                <c:pt idx="546">
                  <c:v>-193.03041022745353</c:v>
                </c:pt>
                <c:pt idx="547">
                  <c:v>-193.0164554289756</c:v>
                </c:pt>
                <c:pt idx="548">
                  <c:v>-193.00251106110576</c:v>
                </c:pt>
                <c:pt idx="549">
                  <c:v>-192.98857803201639</c:v>
                </c:pt>
                <c:pt idx="550">
                  <c:v>-192.97465722746961</c:v>
                </c:pt>
                <c:pt idx="551">
                  <c:v>-192.96074951130589</c:v>
                </c:pt>
                <c:pt idx="552">
                  <c:v>-192.94685572592209</c:v>
                </c:pt>
                <c:pt idx="553">
                  <c:v>-192.93297669273815</c:v>
                </c:pt>
                <c:pt idx="554">
                  <c:v>-192.91911321265391</c:v>
                </c:pt>
                <c:pt idx="555">
                  <c:v>-192.90526606649513</c:v>
                </c:pt>
                <c:pt idx="556">
                  <c:v>-192.89143601544956</c:v>
                </c:pt>
                <c:pt idx="557">
                  <c:v>-192.87762380149357</c:v>
                </c:pt>
                <c:pt idx="558">
                  <c:v>-192.8638301478087</c:v>
                </c:pt>
                <c:pt idx="559">
                  <c:v>-192.85005575918933</c:v>
                </c:pt>
                <c:pt idx="560">
                  <c:v>-192.8363013224409</c:v>
                </c:pt>
                <c:pt idx="561">
                  <c:v>-192.82256750676962</c:v>
                </c:pt>
                <c:pt idx="562">
                  <c:v>-192.80885496416303</c:v>
                </c:pt>
                <c:pt idx="563">
                  <c:v>-192.79516432976263</c:v>
                </c:pt>
                <c:pt idx="564">
                  <c:v>-192.78149622222782</c:v>
                </c:pt>
                <c:pt idx="565">
                  <c:v>-192.76785124409193</c:v>
                </c:pt>
                <c:pt idx="566">
                  <c:v>-192.75422998211047</c:v>
                </c:pt>
                <c:pt idx="567">
                  <c:v>-192.74063300760142</c:v>
                </c:pt>
                <c:pt idx="568">
                  <c:v>-192.72706087677841</c:v>
                </c:pt>
                <c:pt idx="569">
                  <c:v>-192.7135141310761</c:v>
                </c:pt>
                <c:pt idx="570">
                  <c:v>-192.69999329746875</c:v>
                </c:pt>
                <c:pt idx="571">
                  <c:v>-192.68649888878184</c:v>
                </c:pt>
                <c:pt idx="572">
                  <c:v>-192.67303140399633</c:v>
                </c:pt>
                <c:pt idx="573">
                  <c:v>-192.65959132854701</c:v>
                </c:pt>
                <c:pt idx="574">
                  <c:v>-192.64617913461373</c:v>
                </c:pt>
                <c:pt idx="575">
                  <c:v>-192.63279528140649</c:v>
                </c:pt>
                <c:pt idx="576">
                  <c:v>-192.61944021544451</c:v>
                </c:pt>
                <c:pt idx="577">
                  <c:v>-192.60611437082881</c:v>
                </c:pt>
                <c:pt idx="578">
                  <c:v>-192.5928181695092</c:v>
                </c:pt>
                <c:pt idx="579">
                  <c:v>-192.5795520215454</c:v>
                </c:pt>
                <c:pt idx="580">
                  <c:v>-192.56631632536232</c:v>
                </c:pt>
                <c:pt idx="581">
                  <c:v>-192.55311146800022</c:v>
                </c:pt>
                <c:pt idx="582">
                  <c:v>-192.53993782535883</c:v>
                </c:pt>
                <c:pt idx="583">
                  <c:v>-192.52679576243693</c:v>
                </c:pt>
                <c:pt idx="584">
                  <c:v>-192.5136856335663</c:v>
                </c:pt>
                <c:pt idx="585">
                  <c:v>-192.50060778264051</c:v>
                </c:pt>
                <c:pt idx="586">
                  <c:v>-192.48756254333955</c:v>
                </c:pt>
                <c:pt idx="587">
                  <c:v>-192.4745502393485</c:v>
                </c:pt>
                <c:pt idx="588">
                  <c:v>-192.46157118457259</c:v>
                </c:pt>
                <c:pt idx="589">
                  <c:v>-192.44862568334693</c:v>
                </c:pt>
                <c:pt idx="590">
                  <c:v>-192.43571403064212</c:v>
                </c:pt>
                <c:pt idx="591">
                  <c:v>-192.42283651226538</c:v>
                </c:pt>
                <c:pt idx="592">
                  <c:v>-192.40999340505735</c:v>
                </c:pt>
                <c:pt idx="593">
                  <c:v>-192.39718497708461</c:v>
                </c:pt>
                <c:pt idx="594">
                  <c:v>-192.38441148782832</c:v>
                </c:pt>
                <c:pt idx="595">
                  <c:v>-192.37167318836879</c:v>
                </c:pt>
                <c:pt idx="596">
                  <c:v>-192.35897032156601</c:v>
                </c:pt>
                <c:pt idx="597">
                  <c:v>-192.34630312223635</c:v>
                </c:pt>
                <c:pt idx="598">
                  <c:v>-192.33367181732578</c:v>
                </c:pt>
                <c:pt idx="599">
                  <c:v>-192.32107662607908</c:v>
                </c:pt>
                <c:pt idx="600">
                  <c:v>-192.30851776020558</c:v>
                </c:pt>
                <c:pt idx="601">
                  <c:v>-192.29599542404179</c:v>
                </c:pt>
                <c:pt idx="602">
                  <c:v>-192.28350981470984</c:v>
                </c:pt>
                <c:pt idx="603">
                  <c:v>-192.27106112227318</c:v>
                </c:pt>
                <c:pt idx="604">
                  <c:v>-192.25864952988897</c:v>
                </c:pt>
                <c:pt idx="605">
                  <c:v>-192.24627521395709</c:v>
                </c:pt>
                <c:pt idx="606">
                  <c:v>-191.67739952624407</c:v>
                </c:pt>
                <c:pt idx="607">
                  <c:v>-191.20738700887259</c:v>
                </c:pt>
                <c:pt idx="608">
                  <c:v>-190.82905838461281</c:v>
                </c:pt>
                <c:pt idx="609">
                  <c:v>-190.53097605349731</c:v>
                </c:pt>
                <c:pt idx="610">
                  <c:v>-190.30156825326495</c:v>
                </c:pt>
                <c:pt idx="611">
                  <c:v>-190.13047178334077</c:v>
                </c:pt>
                <c:pt idx="612">
                  <c:v>-190.00883503107372</c:v>
                </c:pt>
                <c:pt idx="613">
                  <c:v>-189.92924618143365</c:v>
                </c:pt>
                <c:pt idx="614">
                  <c:v>-189.88554527748488</c:v>
                </c:pt>
                <c:pt idx="615">
                  <c:v>-189.87261939978831</c:v>
                </c:pt>
                <c:pt idx="616">
                  <c:v>-189.88621632776577</c:v>
                </c:pt>
                <c:pt idx="617">
                  <c:v>-189.92278646074178</c:v>
                </c:pt>
                <c:pt idx="618">
                  <c:v>-189.99659455348055</c:v>
                </c:pt>
                <c:pt idx="619">
                  <c:v>-190.07144178687076</c:v>
                </c:pt>
                <c:pt idx="620">
                  <c:v>-190.14727821487148</c:v>
                </c:pt>
                <c:pt idx="621">
                  <c:v>-190.22405709319932</c:v>
                </c:pt>
                <c:pt idx="622">
                  <c:v>-190.30173461088845</c:v>
                </c:pt>
                <c:pt idx="623">
                  <c:v>-190.38026965010914</c:v>
                </c:pt>
                <c:pt idx="624">
                  <c:v>-190.45962357060199</c:v>
                </c:pt>
                <c:pt idx="625">
                  <c:v>-190.5397600156449</c:v>
                </c:pt>
                <c:pt idx="626">
                  <c:v>-190.62064473692638</c:v>
                </c:pt>
                <c:pt idx="627">
                  <c:v>-190.70224543608106</c:v>
                </c:pt>
                <c:pt idx="628">
                  <c:v>-190.78453162096025</c:v>
                </c:pt>
                <c:pt idx="629">
                  <c:v>-190.8674744749739</c:v>
                </c:pt>
                <c:pt idx="630">
                  <c:v>-190.95104673806551</c:v>
                </c:pt>
                <c:pt idx="631">
                  <c:v>-191.0352225980684</c:v>
                </c:pt>
                <c:pt idx="632">
                  <c:v>-191.11997759135113</c:v>
                </c:pt>
                <c:pt idx="633">
                  <c:v>-191.20528851179751</c:v>
                </c:pt>
                <c:pt idx="634">
                  <c:v>-191.29113332728193</c:v>
                </c:pt>
                <c:pt idx="635">
                  <c:v>-191.3774911029</c:v>
                </c:pt>
                <c:pt idx="636">
                  <c:v>-191.46434193030228</c:v>
                </c:pt>
                <c:pt idx="637">
                  <c:v>-191.5516668625516</c:v>
                </c:pt>
                <c:pt idx="638">
                  <c:v>-191.63944785399093</c:v>
                </c:pt>
                <c:pt idx="639">
                  <c:v>-191.72766770466228</c:v>
                </c:pt>
                <c:pt idx="640">
                  <c:v>-191.81631000886972</c:v>
                </c:pt>
                <c:pt idx="641">
                  <c:v>-191.90535910751922</c:v>
                </c:pt>
                <c:pt idx="642">
                  <c:v>-191.99480004390801</c:v>
                </c:pt>
                <c:pt idx="643">
                  <c:v>-192.08461852266896</c:v>
                </c:pt>
                <c:pt idx="644">
                  <c:v>-192.17480087160365</c:v>
                </c:pt>
                <c:pt idx="645">
                  <c:v>-192.26533400616597</c:v>
                </c:pt>
                <c:pt idx="646">
                  <c:v>-192.3562053963787</c:v>
                </c:pt>
                <c:pt idx="647">
                  <c:v>-192.44740303598854</c:v>
                </c:pt>
                <c:pt idx="648">
                  <c:v>-192.53891541368048</c:v>
                </c:pt>
                <c:pt idx="649">
                  <c:v>-192.63073148619213</c:v>
                </c:pt>
                <c:pt idx="650">
                  <c:v>-192.72284065317933</c:v>
                </c:pt>
                <c:pt idx="651">
                  <c:v>-192.81523273370138</c:v>
                </c:pt>
                <c:pt idx="652">
                  <c:v>-192.90789794420286</c:v>
                </c:pt>
                <c:pt idx="653">
                  <c:v>-193.00082687788094</c:v>
                </c:pt>
                <c:pt idx="654">
                  <c:v>-193.09401048533726</c:v>
                </c:pt>
                <c:pt idx="655">
                  <c:v>-193.18744005642014</c:v>
                </c:pt>
                <c:pt idx="656">
                  <c:v>-193.28110720317224</c:v>
                </c:pt>
                <c:pt idx="657">
                  <c:v>-193.37500384380596</c:v>
                </c:pt>
                <c:pt idx="658">
                  <c:v>-193.46912218763342</c:v>
                </c:pt>
                <c:pt idx="659">
                  <c:v>-193.56345472088537</c:v>
                </c:pt>
                <c:pt idx="660">
                  <c:v>-193.6579941933588</c:v>
                </c:pt>
                <c:pt idx="661">
                  <c:v>-193.75273360583589</c:v>
                </c:pt>
                <c:pt idx="662">
                  <c:v>-193.84766619822318</c:v>
                </c:pt>
                <c:pt idx="663">
                  <c:v>-193.9427854383631</c:v>
                </c:pt>
                <c:pt idx="664">
                  <c:v>-194.03808501147384</c:v>
                </c:pt>
                <c:pt idx="665">
                  <c:v>-194.13355881017594</c:v>
                </c:pt>
                <c:pt idx="666">
                  <c:v>-194.22920092506857</c:v>
                </c:pt>
                <c:pt idx="667">
                  <c:v>-194.3250056358205</c:v>
                </c:pt>
              </c:numCache>
            </c:numRef>
          </c:yVal>
          <c:smooth val="0"/>
          <c:extLst>
            <c:ext xmlns:c16="http://schemas.microsoft.com/office/drawing/2014/chart" uri="{C3380CC4-5D6E-409C-BE32-E72D297353CC}">
              <c16:uniqueId val="{0000000D-3E39-B749-980E-9C64EFBC9243}"/>
            </c:ext>
          </c:extLst>
        </c:ser>
        <c:ser>
          <c:idx val="1"/>
          <c:order val="8"/>
          <c:tx>
            <c:v>Fc1</c:v>
          </c:tx>
          <c:spPr>
            <a:ln w="25400">
              <a:solidFill>
                <a:schemeClr val="tx1">
                  <a:lumMod val="50000"/>
                  <a:lumOff val="50000"/>
                </a:schemeClr>
              </a:solidFill>
              <a:prstDash val="sysDash"/>
            </a:ln>
          </c:spPr>
          <c:marker>
            <c:symbol val="plus"/>
            <c:size val="10"/>
            <c:spPr>
              <a:noFill/>
              <a:ln w="28575">
                <a:solidFill>
                  <a:schemeClr val="tx1"/>
                </a:solidFill>
              </a:ln>
            </c:spPr>
          </c:marker>
          <c:dPt>
            <c:idx val="2"/>
            <c:marker>
              <c:symbol val="none"/>
            </c:marker>
            <c:bubble3D val="0"/>
            <c:extLst>
              <c:ext xmlns:c16="http://schemas.microsoft.com/office/drawing/2014/chart" uri="{C3380CC4-5D6E-409C-BE32-E72D297353CC}">
                <c16:uniqueId val="{0000000E-3E39-B749-980E-9C64EFBC9243}"/>
              </c:ext>
            </c:extLst>
          </c:dPt>
          <c:xVal>
            <c:numRef>
              <c:f>'Bode Plots Calculations'!$B$690:$B$691</c:f>
              <c:numCache>
                <c:formatCode>General</c:formatCode>
                <c:ptCount val="2"/>
                <c:pt idx="0">
                  <c:v>120</c:v>
                </c:pt>
                <c:pt idx="1">
                  <c:v>120</c:v>
                </c:pt>
              </c:numCache>
            </c:numRef>
          </c:xVal>
          <c:yVal>
            <c:numRef>
              <c:f>'Bode Plots Calculations'!$BG$690:$BG$691</c:f>
              <c:numCache>
                <c:formatCode>General</c:formatCode>
                <c:ptCount val="2"/>
                <c:pt idx="0">
                  <c:v>-112.6830939757215</c:v>
                </c:pt>
                <c:pt idx="1">
                  <c:v>-90</c:v>
                </c:pt>
              </c:numCache>
            </c:numRef>
          </c:yVal>
          <c:smooth val="0"/>
          <c:extLst>
            <c:ext xmlns:c16="http://schemas.microsoft.com/office/drawing/2014/chart" uri="{C3380CC4-5D6E-409C-BE32-E72D297353CC}">
              <c16:uniqueId val="{0000000F-3E39-B749-980E-9C64EFBC9243}"/>
            </c:ext>
          </c:extLst>
        </c:ser>
        <c:ser>
          <c:idx val="0"/>
          <c:order val="9"/>
          <c:tx>
            <c:v>Fc2</c:v>
          </c:tx>
          <c:spPr>
            <a:ln w="25400">
              <a:solidFill>
                <a:schemeClr val="tx1">
                  <a:lumMod val="50000"/>
                  <a:lumOff val="50000"/>
                </a:schemeClr>
              </a:solidFill>
              <a:prstDash val="sysDash"/>
            </a:ln>
          </c:spPr>
          <c:marker>
            <c:symbol val="none"/>
          </c:marker>
          <c:xVal>
            <c:numRef>
              <c:f>'Bode Plots Calculations'!$B$688:$B$689</c:f>
              <c:numCache>
                <c:formatCode>General</c:formatCode>
                <c:ptCount val="2"/>
                <c:pt idx="0">
                  <c:v>120</c:v>
                </c:pt>
                <c:pt idx="1">
                  <c:v>1000</c:v>
                </c:pt>
              </c:numCache>
            </c:numRef>
          </c:xVal>
          <c:yVal>
            <c:numRef>
              <c:f>'Bode Plots Calculations'!$BG$688:$BG$689</c:f>
              <c:numCache>
                <c:formatCode>General</c:formatCode>
                <c:ptCount val="2"/>
                <c:pt idx="0">
                  <c:v>-112.6830939757215</c:v>
                </c:pt>
                <c:pt idx="1">
                  <c:v>-112.6830939757215</c:v>
                </c:pt>
              </c:numCache>
            </c:numRef>
          </c:yVal>
          <c:smooth val="0"/>
          <c:extLst>
            <c:ext xmlns:c16="http://schemas.microsoft.com/office/drawing/2014/chart" uri="{C3380CC4-5D6E-409C-BE32-E72D297353CC}">
              <c16:uniqueId val="{00000010-3E39-B749-980E-9C64EFBC9243}"/>
            </c:ext>
          </c:extLst>
        </c:ser>
        <c:dLbls>
          <c:showLegendKey val="0"/>
          <c:showVal val="0"/>
          <c:showCatName val="0"/>
          <c:showSerName val="0"/>
          <c:showPercent val="0"/>
          <c:showBubbleSize val="0"/>
        </c:dLbls>
        <c:axId val="179298304"/>
        <c:axId val="179299840"/>
      </c:scatterChart>
      <c:valAx>
        <c:axId val="179294208"/>
        <c:scaling>
          <c:logBase val="10"/>
          <c:orientation val="minMax"/>
          <c:max val="1000"/>
          <c:min val="1"/>
        </c:scaling>
        <c:delete val="0"/>
        <c:axPos val="b"/>
        <c:majorGridlines>
          <c:spPr>
            <a:ln w="3175">
              <a:solidFill>
                <a:srgbClr val="969696"/>
              </a:solidFill>
              <a:prstDash val="solid"/>
            </a:ln>
          </c:spPr>
        </c:majorGridlines>
        <c:minorGridlines>
          <c:spPr>
            <a:ln w="3175">
              <a:solidFill>
                <a:srgbClr val="969696"/>
              </a:solidFill>
              <a:prstDash val="solid"/>
            </a:ln>
          </c:spPr>
        </c:minorGridlines>
        <c:title>
          <c:tx>
            <c:rich>
              <a:bodyPr/>
              <a:lstStyle/>
              <a:p>
                <a:pPr>
                  <a:defRPr sz="1200" b="1" i="0" u="none" strike="noStrike" baseline="0">
                    <a:solidFill>
                      <a:srgbClr val="000000"/>
                    </a:solidFill>
                    <a:latin typeface="Arial" pitchFamily="34" charset="0"/>
                    <a:ea typeface="Calibri"/>
                    <a:cs typeface="Arial" pitchFamily="34" charset="0"/>
                  </a:defRPr>
                </a:pPr>
                <a:r>
                  <a:rPr lang="en-US" sz="1200">
                    <a:latin typeface="Arial" pitchFamily="34" charset="0"/>
                    <a:cs typeface="Arial" pitchFamily="34" charset="0"/>
                  </a:rPr>
                  <a:t>Frequency (kHz)</a:t>
                </a:r>
              </a:p>
            </c:rich>
          </c:tx>
          <c:layout>
            <c:manualLayout>
              <c:xMode val="edge"/>
              <c:yMode val="edge"/>
              <c:x val="0.43129335085799175"/>
              <c:y val="0.92232197841820085"/>
            </c:manualLayout>
          </c:layout>
          <c:overlay val="0"/>
          <c:spPr>
            <a:noFill/>
            <a:ln w="25400">
              <a:noFill/>
            </a:ln>
          </c:spPr>
        </c:title>
        <c:numFmt formatCode="General" sourceLinked="0"/>
        <c:majorTickMark val="in"/>
        <c:minorTickMark val="in"/>
        <c:tickLblPos val="nextTo"/>
        <c:spPr>
          <a:ln w="3175">
            <a:solidFill>
              <a:srgbClr val="000000"/>
            </a:solidFill>
            <a:prstDash val="solid"/>
          </a:ln>
        </c:spPr>
        <c:txPr>
          <a:bodyPr rot="0" vert="horz"/>
          <a:lstStyle/>
          <a:p>
            <a:pPr>
              <a:defRPr sz="1100" b="1" i="0" u="none" strike="noStrike" baseline="0">
                <a:solidFill>
                  <a:srgbClr val="000000"/>
                </a:solidFill>
                <a:latin typeface="Arial" pitchFamily="34" charset="0"/>
                <a:ea typeface="Calibri"/>
                <a:cs typeface="Arial" pitchFamily="34" charset="0"/>
              </a:defRPr>
            </a:pPr>
            <a:endParaRPr lang="en-US"/>
          </a:p>
        </c:txPr>
        <c:crossAx val="179296128"/>
        <c:crossesAt val="-80"/>
        <c:crossBetween val="midCat"/>
      </c:valAx>
      <c:valAx>
        <c:axId val="179296128"/>
        <c:scaling>
          <c:orientation val="minMax"/>
          <c:max val="40"/>
          <c:min val="-40"/>
        </c:scaling>
        <c:delete val="0"/>
        <c:axPos val="l"/>
        <c:majorGridlines>
          <c:spPr>
            <a:ln w="3175">
              <a:solidFill>
                <a:srgbClr val="969696"/>
              </a:solidFill>
              <a:prstDash val="solid"/>
            </a:ln>
          </c:spPr>
        </c:majorGridlines>
        <c:title>
          <c:tx>
            <c:rich>
              <a:bodyPr/>
              <a:lstStyle/>
              <a:p>
                <a:pPr>
                  <a:defRPr sz="1200" b="1" i="0" u="none" strike="noStrike" baseline="0">
                    <a:solidFill>
                      <a:srgbClr val="FF0000"/>
                    </a:solidFill>
                    <a:latin typeface="Arial" pitchFamily="34" charset="0"/>
                    <a:ea typeface="Calibri"/>
                    <a:cs typeface="Arial" pitchFamily="34" charset="0"/>
                  </a:defRPr>
                </a:pPr>
                <a:r>
                  <a:rPr lang="en-US" sz="1200" u="none">
                    <a:solidFill>
                      <a:srgbClr val="FF0000"/>
                    </a:solidFill>
                    <a:latin typeface="Arial" pitchFamily="34" charset="0"/>
                    <a:cs typeface="Arial" pitchFamily="34" charset="0"/>
                  </a:rPr>
                  <a:t>Gain (dB)</a:t>
                </a:r>
              </a:p>
            </c:rich>
          </c:tx>
          <c:layout>
            <c:manualLayout>
              <c:xMode val="edge"/>
              <c:yMode val="edge"/>
              <c:x val="2.0807805833455456E-2"/>
              <c:y val="0.395426867511771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1" i="0" u="none" strike="noStrike" baseline="0">
                <a:solidFill>
                  <a:srgbClr val="FF0000"/>
                </a:solidFill>
                <a:latin typeface="Arial" pitchFamily="34" charset="0"/>
                <a:ea typeface="Calibri"/>
                <a:cs typeface="Arial" pitchFamily="34" charset="0"/>
              </a:defRPr>
            </a:pPr>
            <a:endParaRPr lang="en-US"/>
          </a:p>
        </c:txPr>
        <c:crossAx val="179294208"/>
        <c:crossesAt val="1"/>
        <c:crossBetween val="midCat"/>
        <c:majorUnit val="10"/>
      </c:valAx>
      <c:valAx>
        <c:axId val="179298304"/>
        <c:scaling>
          <c:logBase val="10"/>
          <c:orientation val="minMax"/>
        </c:scaling>
        <c:delete val="1"/>
        <c:axPos val="b"/>
        <c:numFmt formatCode="General" sourceLinked="1"/>
        <c:majorTickMark val="out"/>
        <c:minorTickMark val="none"/>
        <c:tickLblPos val="none"/>
        <c:crossAx val="179299840"/>
        <c:crosses val="autoZero"/>
        <c:crossBetween val="midCat"/>
      </c:valAx>
      <c:valAx>
        <c:axId val="179299840"/>
        <c:scaling>
          <c:orientation val="minMax"/>
          <c:max val="0"/>
          <c:min val="-180"/>
        </c:scaling>
        <c:delete val="0"/>
        <c:axPos val="r"/>
        <c:title>
          <c:tx>
            <c:rich>
              <a:bodyPr/>
              <a:lstStyle/>
              <a:p>
                <a:pPr>
                  <a:defRPr sz="1200" b="1" i="0" u="none" strike="noStrike" baseline="0">
                    <a:solidFill>
                      <a:srgbClr val="002060"/>
                    </a:solidFill>
                    <a:latin typeface="Arial" pitchFamily="34" charset="0"/>
                    <a:ea typeface="Calibri"/>
                    <a:cs typeface="Arial" pitchFamily="34" charset="0"/>
                  </a:defRPr>
                </a:pPr>
                <a:r>
                  <a:rPr lang="en-US" sz="1200" b="1">
                    <a:solidFill>
                      <a:srgbClr val="002060"/>
                    </a:solidFill>
                    <a:latin typeface="Arial" pitchFamily="34" charset="0"/>
                    <a:cs typeface="Arial" pitchFamily="34" charset="0"/>
                  </a:rPr>
                  <a:t>Phase  (°)</a:t>
                </a:r>
              </a:p>
            </c:rich>
          </c:tx>
          <c:layout>
            <c:manualLayout>
              <c:xMode val="edge"/>
              <c:yMode val="edge"/>
              <c:x val="0.96352677492317973"/>
              <c:y val="0.39364244498015538"/>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1050" b="1" i="0" u="none" strike="noStrike" baseline="0">
                <a:solidFill>
                  <a:srgbClr val="002060"/>
                </a:solidFill>
                <a:latin typeface="Arial" pitchFamily="34" charset="0"/>
                <a:ea typeface="Calibri"/>
                <a:cs typeface="Arial" pitchFamily="34" charset="0"/>
              </a:defRPr>
            </a:pPr>
            <a:endParaRPr lang="en-US"/>
          </a:p>
        </c:txPr>
        <c:crossAx val="179298304"/>
        <c:crosses val="max"/>
        <c:crossBetween val="midCat"/>
        <c:majorUnit val="45"/>
      </c:valAx>
      <c:spPr>
        <a:noFill/>
        <a:ln w="12700">
          <a:solidFill>
            <a:srgbClr val="808080"/>
          </a:solidFill>
          <a:prstDash val="solid"/>
        </a:ln>
      </c:spPr>
    </c:plotArea>
    <c:legend>
      <c:legendPos val="r"/>
      <c:legendEntry>
        <c:idx val="0"/>
        <c:txPr>
          <a:bodyPr/>
          <a:lstStyle/>
          <a:p>
            <a:pPr>
              <a:defRPr sz="1200" b="1" i="0" u="none" strike="noStrike" baseline="0">
                <a:solidFill>
                  <a:srgbClr val="000000"/>
                </a:solidFill>
                <a:latin typeface="Arial" pitchFamily="34" charset="0"/>
                <a:ea typeface="Calibri"/>
                <a:cs typeface="Arial" pitchFamily="34" charset="0"/>
              </a:defRPr>
            </a:pPr>
            <a:endParaRPr lang="en-US"/>
          </a:p>
        </c:txPr>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txPr>
          <a:bodyPr/>
          <a:lstStyle/>
          <a:p>
            <a:pPr>
              <a:defRPr sz="1200" b="1" i="0" u="none" strike="noStrike" baseline="0">
                <a:solidFill>
                  <a:srgbClr val="000000"/>
                </a:solidFill>
                <a:latin typeface="Arial" pitchFamily="34" charset="0"/>
                <a:ea typeface="Calibri"/>
                <a:cs typeface="Arial" pitchFamily="34" charset="0"/>
              </a:defRPr>
            </a:pPr>
            <a:endParaRPr lang="en-US"/>
          </a:p>
        </c:txPr>
      </c:legendEntry>
      <c:legendEntry>
        <c:idx val="8"/>
        <c:delete val="1"/>
      </c:legendEntry>
      <c:legendEntry>
        <c:idx val="9"/>
        <c:delete val="1"/>
      </c:legendEntry>
      <c:layout>
        <c:manualLayout>
          <c:xMode val="edge"/>
          <c:yMode val="edge"/>
          <c:x val="0.295216671637685"/>
          <c:y val="0"/>
          <c:w val="0.59720240253255119"/>
          <c:h val="9.9098873083628289E-2"/>
        </c:manualLayout>
      </c:layout>
      <c:overlay val="0"/>
      <c:spPr>
        <a:noFill/>
        <a:ln w="25400">
          <a:noFill/>
        </a:ln>
      </c:spPr>
      <c:txPr>
        <a:bodyPr/>
        <a:lstStyle/>
        <a:p>
          <a:pPr>
            <a:defRPr sz="1200" b="1" i="0" u="none" strike="noStrike" baseline="0">
              <a:solidFill>
                <a:srgbClr val="000000"/>
              </a:solidFill>
              <a:latin typeface="Arial" pitchFamily="34" charset="0"/>
              <a:ea typeface="Calibri"/>
              <a:cs typeface="Arial" pitchFamily="34" charset="0"/>
            </a:defRPr>
          </a:pPr>
          <a:endParaRPr lang="en-US"/>
        </a:p>
      </c:txPr>
    </c:legend>
    <c:plotVisOnly val="1"/>
    <c:dispBlanksAs val="span"/>
    <c:showDLblsOverMax val="0"/>
  </c:chart>
  <c:spPr>
    <a:noFill/>
    <a:ln w="9525">
      <a:solidFill>
        <a:srgbClr val="808080"/>
      </a:solidFill>
    </a:ln>
  </c:spPr>
  <c:txPr>
    <a:bodyPr/>
    <a:lstStyle/>
    <a:p>
      <a:pPr>
        <a:defRPr sz="1000" b="1"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rgbClr val="000000"/>
                </a:solidFill>
                <a:latin typeface="Arial" pitchFamily="34" charset="0"/>
                <a:ea typeface="Calibri"/>
                <a:cs typeface="Arial" pitchFamily="34" charset="0"/>
              </a:defRPr>
            </a:pPr>
            <a:r>
              <a:rPr lang="en-US" sz="1800" b="1" i="0" baseline="0">
                <a:effectLst/>
                <a:sym typeface="Symbol"/>
              </a:rPr>
              <a:t></a:t>
            </a:r>
            <a:r>
              <a:rPr lang="en-US" sz="1800" b="1" i="0" baseline="0">
                <a:effectLst/>
              </a:rPr>
              <a:t>, V</a:t>
            </a:r>
            <a:r>
              <a:rPr lang="en-US" sz="1800" b="1" i="0" baseline="-25000">
                <a:effectLst/>
              </a:rPr>
              <a:t>IN</a:t>
            </a:r>
            <a:r>
              <a:rPr lang="en-US" sz="1800" b="1" i="0" baseline="0">
                <a:effectLst/>
              </a:rPr>
              <a:t> = V</a:t>
            </a:r>
            <a:r>
              <a:rPr lang="en-US" sz="1800" b="1" i="0" baseline="-25000">
                <a:effectLst/>
              </a:rPr>
              <a:t>IN(nom)</a:t>
            </a:r>
            <a:endParaRPr lang="en-US">
              <a:effectLst/>
            </a:endParaRPr>
          </a:p>
        </c:rich>
      </c:tx>
      <c:layout>
        <c:manualLayout>
          <c:xMode val="edge"/>
          <c:yMode val="edge"/>
          <c:x val="8.2586704916618195E-2"/>
          <c:y val="1.8363289746112718E-2"/>
        </c:manualLayout>
      </c:layout>
      <c:overlay val="0"/>
      <c:spPr>
        <a:noFill/>
        <a:ln w="25400">
          <a:noFill/>
        </a:ln>
      </c:spPr>
    </c:title>
    <c:autoTitleDeleted val="0"/>
    <c:plotArea>
      <c:layout>
        <c:manualLayout>
          <c:layoutTarget val="inner"/>
          <c:xMode val="edge"/>
          <c:yMode val="edge"/>
          <c:x val="7.6761884085804283E-2"/>
          <c:y val="0.12133523343001466"/>
          <c:w val="0.82579990228506128"/>
          <c:h val="0.7558980268938309"/>
        </c:manualLayout>
      </c:layout>
      <c:lineChart>
        <c:grouping val="standard"/>
        <c:varyColors val="0"/>
        <c:ser>
          <c:idx val="0"/>
          <c:order val="0"/>
          <c:tx>
            <c:v> Efficiency</c:v>
          </c:tx>
          <c:spPr>
            <a:ln w="38100">
              <a:solidFill>
                <a:srgbClr val="FF0000"/>
              </a:solidFill>
              <a:prstDash val="solid"/>
            </a:ln>
          </c:spPr>
          <c:marker>
            <c:symbol val="none"/>
          </c:marker>
          <c:cat>
            <c:numRef>
              <c:f>'Power Calculations'!$H$9:$H$109</c:f>
              <c:numCache>
                <c:formatCode>General</c:formatCode>
                <c:ptCount val="101"/>
                <c:pt idx="0">
                  <c:v>0</c:v>
                </c:pt>
                <c:pt idx="1">
                  <c:v>0.3</c:v>
                </c:pt>
                <c:pt idx="2">
                  <c:v>0.6</c:v>
                </c:pt>
                <c:pt idx="3">
                  <c:v>0.89999999999999991</c:v>
                </c:pt>
                <c:pt idx="4">
                  <c:v>1.2</c:v>
                </c:pt>
                <c:pt idx="5">
                  <c:v>1.5</c:v>
                </c:pt>
                <c:pt idx="6">
                  <c:v>1.7999999999999998</c:v>
                </c:pt>
                <c:pt idx="7">
                  <c:v>2.1</c:v>
                </c:pt>
                <c:pt idx="8">
                  <c:v>2.4</c:v>
                </c:pt>
                <c:pt idx="9">
                  <c:v>2.6999999999999997</c:v>
                </c:pt>
                <c:pt idx="10">
                  <c:v>3</c:v>
                </c:pt>
                <c:pt idx="11">
                  <c:v>3.3</c:v>
                </c:pt>
                <c:pt idx="12">
                  <c:v>3.5999999999999996</c:v>
                </c:pt>
                <c:pt idx="13">
                  <c:v>3.9000000000000004</c:v>
                </c:pt>
                <c:pt idx="14">
                  <c:v>4.2</c:v>
                </c:pt>
                <c:pt idx="15">
                  <c:v>4.5</c:v>
                </c:pt>
                <c:pt idx="16">
                  <c:v>4.8</c:v>
                </c:pt>
                <c:pt idx="17">
                  <c:v>5.1000000000000005</c:v>
                </c:pt>
                <c:pt idx="18">
                  <c:v>5.3999999999999995</c:v>
                </c:pt>
                <c:pt idx="19">
                  <c:v>5.7</c:v>
                </c:pt>
                <c:pt idx="20">
                  <c:v>6</c:v>
                </c:pt>
                <c:pt idx="21">
                  <c:v>6.3</c:v>
                </c:pt>
                <c:pt idx="22">
                  <c:v>6.6</c:v>
                </c:pt>
                <c:pt idx="23">
                  <c:v>6.9</c:v>
                </c:pt>
                <c:pt idx="24">
                  <c:v>7.1999999999999993</c:v>
                </c:pt>
                <c:pt idx="25">
                  <c:v>7.5</c:v>
                </c:pt>
                <c:pt idx="26">
                  <c:v>7.8000000000000007</c:v>
                </c:pt>
                <c:pt idx="27">
                  <c:v>8.1000000000000014</c:v>
                </c:pt>
                <c:pt idx="28">
                  <c:v>8.4</c:v>
                </c:pt>
                <c:pt idx="29">
                  <c:v>8.6999999999999993</c:v>
                </c:pt>
                <c:pt idx="30">
                  <c:v>9</c:v>
                </c:pt>
                <c:pt idx="31">
                  <c:v>9.3000000000000007</c:v>
                </c:pt>
                <c:pt idx="32">
                  <c:v>9.6</c:v>
                </c:pt>
                <c:pt idx="33">
                  <c:v>9.9</c:v>
                </c:pt>
                <c:pt idx="34">
                  <c:v>10.200000000000001</c:v>
                </c:pt>
                <c:pt idx="35">
                  <c:v>10.5</c:v>
                </c:pt>
                <c:pt idx="36">
                  <c:v>10.799999999999999</c:v>
                </c:pt>
                <c:pt idx="37">
                  <c:v>11.1</c:v>
                </c:pt>
                <c:pt idx="38">
                  <c:v>11.4</c:v>
                </c:pt>
                <c:pt idx="39">
                  <c:v>11.700000000000001</c:v>
                </c:pt>
                <c:pt idx="40">
                  <c:v>12</c:v>
                </c:pt>
                <c:pt idx="41">
                  <c:v>12.299999999999999</c:v>
                </c:pt>
                <c:pt idx="42">
                  <c:v>12.6</c:v>
                </c:pt>
                <c:pt idx="43">
                  <c:v>12.9</c:v>
                </c:pt>
                <c:pt idx="44">
                  <c:v>13.2</c:v>
                </c:pt>
                <c:pt idx="45">
                  <c:v>13.5</c:v>
                </c:pt>
                <c:pt idx="46">
                  <c:v>13.8</c:v>
                </c:pt>
                <c:pt idx="47">
                  <c:v>14.1</c:v>
                </c:pt>
                <c:pt idx="48">
                  <c:v>14.399999999999999</c:v>
                </c:pt>
                <c:pt idx="49">
                  <c:v>14.7</c:v>
                </c:pt>
                <c:pt idx="50">
                  <c:v>15</c:v>
                </c:pt>
                <c:pt idx="51">
                  <c:v>15.3</c:v>
                </c:pt>
                <c:pt idx="52">
                  <c:v>15.600000000000001</c:v>
                </c:pt>
                <c:pt idx="53">
                  <c:v>15.9</c:v>
                </c:pt>
                <c:pt idx="54">
                  <c:v>16.200000000000003</c:v>
                </c:pt>
                <c:pt idx="55">
                  <c:v>16.5</c:v>
                </c:pt>
                <c:pt idx="56">
                  <c:v>16.8</c:v>
                </c:pt>
                <c:pt idx="57">
                  <c:v>17.099999999999998</c:v>
                </c:pt>
                <c:pt idx="58">
                  <c:v>17.399999999999999</c:v>
                </c:pt>
                <c:pt idx="59">
                  <c:v>17.7</c:v>
                </c:pt>
                <c:pt idx="60">
                  <c:v>18</c:v>
                </c:pt>
                <c:pt idx="61">
                  <c:v>18.3</c:v>
                </c:pt>
                <c:pt idx="62">
                  <c:v>18.600000000000001</c:v>
                </c:pt>
                <c:pt idx="63">
                  <c:v>18.899999999999999</c:v>
                </c:pt>
                <c:pt idx="64">
                  <c:v>19.2</c:v>
                </c:pt>
                <c:pt idx="65">
                  <c:v>19.5</c:v>
                </c:pt>
                <c:pt idx="66">
                  <c:v>19.8</c:v>
                </c:pt>
                <c:pt idx="67">
                  <c:v>20.100000000000001</c:v>
                </c:pt>
                <c:pt idx="68">
                  <c:v>20.400000000000002</c:v>
                </c:pt>
                <c:pt idx="69">
                  <c:v>20.7</c:v>
                </c:pt>
                <c:pt idx="70">
                  <c:v>21</c:v>
                </c:pt>
                <c:pt idx="71">
                  <c:v>21.299999999999997</c:v>
                </c:pt>
                <c:pt idx="72">
                  <c:v>21.599999999999998</c:v>
                </c:pt>
                <c:pt idx="73">
                  <c:v>21.9</c:v>
                </c:pt>
                <c:pt idx="74">
                  <c:v>22.2</c:v>
                </c:pt>
                <c:pt idx="75">
                  <c:v>22.5</c:v>
                </c:pt>
                <c:pt idx="76">
                  <c:v>22.8</c:v>
                </c:pt>
                <c:pt idx="77">
                  <c:v>23.1</c:v>
                </c:pt>
                <c:pt idx="78">
                  <c:v>23.400000000000002</c:v>
                </c:pt>
                <c:pt idx="79">
                  <c:v>23.700000000000003</c:v>
                </c:pt>
                <c:pt idx="80">
                  <c:v>24</c:v>
                </c:pt>
                <c:pt idx="81">
                  <c:v>24.3</c:v>
                </c:pt>
                <c:pt idx="82">
                  <c:v>24.599999999999998</c:v>
                </c:pt>
                <c:pt idx="83">
                  <c:v>24.9</c:v>
                </c:pt>
                <c:pt idx="84">
                  <c:v>25.2</c:v>
                </c:pt>
                <c:pt idx="85">
                  <c:v>25.5</c:v>
                </c:pt>
                <c:pt idx="86">
                  <c:v>25.8</c:v>
                </c:pt>
                <c:pt idx="87">
                  <c:v>26.1</c:v>
                </c:pt>
                <c:pt idx="88">
                  <c:v>26.4</c:v>
                </c:pt>
                <c:pt idx="89">
                  <c:v>26.7</c:v>
                </c:pt>
                <c:pt idx="90">
                  <c:v>27</c:v>
                </c:pt>
                <c:pt idx="91">
                  <c:v>27.3</c:v>
                </c:pt>
                <c:pt idx="92">
                  <c:v>27.6</c:v>
                </c:pt>
                <c:pt idx="93">
                  <c:v>27.900000000000002</c:v>
                </c:pt>
                <c:pt idx="94">
                  <c:v>28.2</c:v>
                </c:pt>
                <c:pt idx="95">
                  <c:v>28.5</c:v>
                </c:pt>
                <c:pt idx="96">
                  <c:v>28.799999999999997</c:v>
                </c:pt>
                <c:pt idx="97">
                  <c:v>29.099999999999998</c:v>
                </c:pt>
                <c:pt idx="98">
                  <c:v>29.4</c:v>
                </c:pt>
                <c:pt idx="99">
                  <c:v>29.7</c:v>
                </c:pt>
                <c:pt idx="100">
                  <c:v>30</c:v>
                </c:pt>
              </c:numCache>
            </c:numRef>
          </c:cat>
          <c:val>
            <c:numRef>
              <c:f>'Power Calculations'!$AP$9:$AP$109</c:f>
              <c:numCache>
                <c:formatCode>General</c:formatCode>
                <c:ptCount val="101"/>
                <c:pt idx="0">
                  <c:v>0</c:v>
                </c:pt>
                <c:pt idx="1">
                  <c:v>63.834718818892043</c:v>
                </c:pt>
                <c:pt idx="2">
                  <c:v>77.738776283798771</c:v>
                </c:pt>
                <c:pt idx="3">
                  <c:v>83.816298894175034</c:v>
                </c:pt>
                <c:pt idx="4">
                  <c:v>87.218953901731851</c:v>
                </c:pt>
                <c:pt idx="5">
                  <c:v>89.390606739040308</c:v>
                </c:pt>
                <c:pt idx="6">
                  <c:v>90.894400585087993</c:v>
                </c:pt>
                <c:pt idx="7">
                  <c:v>91.995425444592485</c:v>
                </c:pt>
                <c:pt idx="8">
                  <c:v>92.834862347045586</c:v>
                </c:pt>
                <c:pt idx="9">
                  <c:v>93.494805192196836</c:v>
                </c:pt>
                <c:pt idx="10">
                  <c:v>94.026243815535068</c:v>
                </c:pt>
                <c:pt idx="11">
                  <c:v>94.462520021857713</c:v>
                </c:pt>
                <c:pt idx="12">
                  <c:v>94.826354375322936</c:v>
                </c:pt>
                <c:pt idx="13">
                  <c:v>95.13376325133639</c:v>
                </c:pt>
                <c:pt idx="14">
                  <c:v>95.396361457628572</c:v>
                </c:pt>
                <c:pt idx="15">
                  <c:v>95.622776820381546</c:v>
                </c:pt>
                <c:pt idx="16">
                  <c:v>95.819552165662131</c:v>
                </c:pt>
                <c:pt idx="17">
                  <c:v>95.984502718479376</c:v>
                </c:pt>
                <c:pt idx="18">
                  <c:v>96.128409615790503</c:v>
                </c:pt>
                <c:pt idx="19">
                  <c:v>96.255584490620521</c:v>
                </c:pt>
                <c:pt idx="20">
                  <c:v>96.368457451014308</c:v>
                </c:pt>
                <c:pt idx="21">
                  <c:v>96.469006556814378</c:v>
                </c:pt>
                <c:pt idx="22">
                  <c:v>96.558858116680312</c:v>
                </c:pt>
                <c:pt idx="23">
                  <c:v>96.639361411434294</c:v>
                </c:pt>
                <c:pt idx="24">
                  <c:v>96.711645140912296</c:v>
                </c:pt>
                <c:pt idx="25">
                  <c:v>96.776660605062446</c:v>
                </c:pt>
                <c:pt idx="26">
                  <c:v>96.835215119180802</c:v>
                </c:pt>
                <c:pt idx="27">
                  <c:v>96.887998146208616</c:v>
                </c:pt>
                <c:pt idx="28">
                  <c:v>96.935601932834572</c:v>
                </c:pt>
                <c:pt idx="29">
                  <c:v>96.978537952128747</c:v>
                </c:pt>
                <c:pt idx="30">
                  <c:v>97.017250114092363</c:v>
                </c:pt>
                <c:pt idx="31">
                  <c:v>97.052125461591913</c:v>
                </c:pt>
                <c:pt idx="32">
                  <c:v>97.083502892710385</c:v>
                </c:pt>
                <c:pt idx="33">
                  <c:v>97.111680321466537</c:v>
                </c:pt>
                <c:pt idx="34">
                  <c:v>97.136920593414871</c:v>
                </c:pt>
                <c:pt idx="35">
                  <c:v>97.159456401372395</c:v>
                </c:pt>
                <c:pt idx="36">
                  <c:v>97.179494392811094</c:v>
                </c:pt>
                <c:pt idx="37">
                  <c:v>97.197218619623783</c:v>
                </c:pt>
                <c:pt idx="38">
                  <c:v>97.212793449678188</c:v>
                </c:pt>
                <c:pt idx="39">
                  <c:v>97.226366035405064</c:v>
                </c:pt>
                <c:pt idx="40">
                  <c:v>97.238068415862926</c:v>
                </c:pt>
                <c:pt idx="41">
                  <c:v>97.248019313993211</c:v>
                </c:pt>
                <c:pt idx="42">
                  <c:v>97.256325679168455</c:v>
                </c:pt>
                <c:pt idx="43">
                  <c:v>97.263084015923013</c:v>
                </c:pt>
                <c:pt idx="44">
                  <c:v>97.268381532406522</c:v>
                </c:pt>
                <c:pt idx="45">
                  <c:v>97.272297136201857</c:v>
                </c:pt>
                <c:pt idx="46">
                  <c:v>97.274902300392014</c:v>
                </c:pt>
                <c:pt idx="47">
                  <c:v>97.276261818903322</c:v>
                </c:pt>
                <c:pt idx="48">
                  <c:v>97.276434467010219</c:v>
                </c:pt>
                <c:pt idx="49">
                  <c:v>97.27547358031461</c:v>
                </c:pt>
                <c:pt idx="50">
                  <c:v>97.273427563399352</c:v>
                </c:pt>
                <c:pt idx="51">
                  <c:v>97.270340337609213</c:v>
                </c:pt>
                <c:pt idx="52">
                  <c:v>97.266251735966179</c:v>
                </c:pt>
                <c:pt idx="53">
                  <c:v>97.261197852021013</c:v>
                </c:pt>
                <c:pt idx="54">
                  <c:v>97.255211348437655</c:v>
                </c:pt>
                <c:pt idx="55">
                  <c:v>97.248321730262106</c:v>
                </c:pt>
                <c:pt idx="56">
                  <c:v>97.240555587117854</c:v>
                </c:pt>
                <c:pt idx="57">
                  <c:v>97.231936807969959</c:v>
                </c:pt>
                <c:pt idx="58">
                  <c:v>97.222486771590525</c:v>
                </c:pt>
                <c:pt idx="59">
                  <c:v>97.212224515426684</c:v>
                </c:pt>
                <c:pt idx="60">
                  <c:v>97.201166885201758</c:v>
                </c:pt>
                <c:pt idx="61">
                  <c:v>97.189328667264505</c:v>
                </c:pt>
                <c:pt idx="62">
                  <c:v>97.17672270542883</c:v>
                </c:pt>
                <c:pt idx="63">
                  <c:v>97.163360003811391</c:v>
                </c:pt>
                <c:pt idx="64">
                  <c:v>97.149249816971022</c:v>
                </c:pt>
                <c:pt idx="65">
                  <c:v>97.134399728476708</c:v>
                </c:pt>
                <c:pt idx="66">
                  <c:v>97.118815718875169</c:v>
                </c:pt>
                <c:pt idx="67">
                  <c:v>97.102502223894263</c:v>
                </c:pt>
                <c:pt idx="68">
                  <c:v>97.085462183596235</c:v>
                </c:pt>
                <c:pt idx="69">
                  <c:v>97.06769708308947</c:v>
                </c:pt>
                <c:pt idx="70">
                  <c:v>97.049206985310136</c:v>
                </c:pt>
                <c:pt idx="71">
                  <c:v>97.029990556299282</c:v>
                </c:pt>
                <c:pt idx="72">
                  <c:v>97.010045083322368</c:v>
                </c:pt>
                <c:pt idx="73">
                  <c:v>96.989366486104473</c:v>
                </c:pt>
                <c:pt idx="74">
                  <c:v>96.967949321388957</c:v>
                </c:pt>
                <c:pt idx="75">
                  <c:v>96.945786780962152</c:v>
                </c:pt>
                <c:pt idx="76">
                  <c:v>96.922870683227515</c:v>
                </c:pt>
                <c:pt idx="77">
                  <c:v>96.899191458354068</c:v>
                </c:pt>
                <c:pt idx="78">
                  <c:v>96.874738126966619</c:v>
                </c:pt>
                <c:pt idx="79">
                  <c:v>96.849498272288713</c:v>
                </c:pt>
                <c:pt idx="80">
                  <c:v>96.823458005592784</c:v>
                </c:pt>
                <c:pt idx="81">
                  <c:v>96.796601924752323</c:v>
                </c:pt>
                <c:pt idx="82">
                  <c:v>96.76891306563175</c:v>
                </c:pt>
                <c:pt idx="83">
                  <c:v>96.740372845985618</c:v>
                </c:pt>
                <c:pt idx="84">
                  <c:v>96.710961001472214</c:v>
                </c:pt>
                <c:pt idx="85">
                  <c:v>96.680655513313781</c:v>
                </c:pt>
                <c:pt idx="86">
                  <c:v>96.649432527059389</c:v>
                </c:pt>
                <c:pt idx="87">
                  <c:v>96.617266261820077</c:v>
                </c:pt>
                <c:pt idx="88">
                  <c:v>96.584128909254247</c:v>
                </c:pt>
                <c:pt idx="89">
                  <c:v>96.549990521477682</c:v>
                </c:pt>
                <c:pt idx="90">
                  <c:v>96.514818886958651</c:v>
                </c:pt>
                <c:pt idx="91">
                  <c:v>96.478579393330975</c:v>
                </c:pt>
                <c:pt idx="92">
                  <c:v>96.44123487591466</c:v>
                </c:pt>
                <c:pt idx="93">
                  <c:v>96.402745450572738</c:v>
                </c:pt>
                <c:pt idx="94">
                  <c:v>96.363068329350114</c:v>
                </c:pt>
                <c:pt idx="95">
                  <c:v>96.322157617134451</c:v>
                </c:pt>
                <c:pt idx="96">
                  <c:v>96.279964087342563</c:v>
                </c:pt>
                <c:pt idx="97">
                  <c:v>96.236434934368219</c:v>
                </c:pt>
                <c:pt idx="98">
                  <c:v>96.191513500219443</c:v>
                </c:pt>
                <c:pt idx="99">
                  <c:v>96.14513897242054</c:v>
                </c:pt>
                <c:pt idx="100">
                  <c:v>96.097246049848124</c:v>
                </c:pt>
              </c:numCache>
            </c:numRef>
          </c:val>
          <c:smooth val="0"/>
          <c:extLst>
            <c:ext xmlns:c16="http://schemas.microsoft.com/office/drawing/2014/chart" uri="{C3380CC4-5D6E-409C-BE32-E72D297353CC}">
              <c16:uniqueId val="{00000000-B980-2D43-B93A-B9B0C37E81D2}"/>
            </c:ext>
          </c:extLst>
        </c:ser>
        <c:dLbls>
          <c:showLegendKey val="0"/>
          <c:showVal val="0"/>
          <c:showCatName val="0"/>
          <c:showSerName val="0"/>
          <c:showPercent val="0"/>
          <c:showBubbleSize val="0"/>
        </c:dLbls>
        <c:marker val="1"/>
        <c:smooth val="0"/>
        <c:axId val="179943680"/>
        <c:axId val="179958144"/>
      </c:lineChart>
      <c:lineChart>
        <c:grouping val="standard"/>
        <c:varyColors val="0"/>
        <c:ser>
          <c:idx val="3"/>
          <c:order val="1"/>
          <c:tx>
            <c:v> Inductor Copper Loss</c:v>
          </c:tx>
          <c:spPr>
            <a:ln w="38100">
              <a:solidFill>
                <a:srgbClr val="800080"/>
              </a:solidFill>
              <a:prstDash val="dash"/>
            </a:ln>
          </c:spPr>
          <c:marker>
            <c:symbol val="none"/>
          </c:marker>
          <c:cat>
            <c:numRef>
              <c:f>'Power Calculations'!$H$9:$H$109</c:f>
              <c:numCache>
                <c:formatCode>General</c:formatCode>
                <c:ptCount val="101"/>
                <c:pt idx="0">
                  <c:v>0</c:v>
                </c:pt>
                <c:pt idx="1">
                  <c:v>0.3</c:v>
                </c:pt>
                <c:pt idx="2">
                  <c:v>0.6</c:v>
                </c:pt>
                <c:pt idx="3">
                  <c:v>0.89999999999999991</c:v>
                </c:pt>
                <c:pt idx="4">
                  <c:v>1.2</c:v>
                </c:pt>
                <c:pt idx="5">
                  <c:v>1.5</c:v>
                </c:pt>
                <c:pt idx="6">
                  <c:v>1.7999999999999998</c:v>
                </c:pt>
                <c:pt idx="7">
                  <c:v>2.1</c:v>
                </c:pt>
                <c:pt idx="8">
                  <c:v>2.4</c:v>
                </c:pt>
                <c:pt idx="9">
                  <c:v>2.6999999999999997</c:v>
                </c:pt>
                <c:pt idx="10">
                  <c:v>3</c:v>
                </c:pt>
                <c:pt idx="11">
                  <c:v>3.3</c:v>
                </c:pt>
                <c:pt idx="12">
                  <c:v>3.5999999999999996</c:v>
                </c:pt>
                <c:pt idx="13">
                  <c:v>3.9000000000000004</c:v>
                </c:pt>
                <c:pt idx="14">
                  <c:v>4.2</c:v>
                </c:pt>
                <c:pt idx="15">
                  <c:v>4.5</c:v>
                </c:pt>
                <c:pt idx="16">
                  <c:v>4.8</c:v>
                </c:pt>
                <c:pt idx="17">
                  <c:v>5.1000000000000005</c:v>
                </c:pt>
                <c:pt idx="18">
                  <c:v>5.3999999999999995</c:v>
                </c:pt>
                <c:pt idx="19">
                  <c:v>5.7</c:v>
                </c:pt>
                <c:pt idx="20">
                  <c:v>6</c:v>
                </c:pt>
                <c:pt idx="21">
                  <c:v>6.3</c:v>
                </c:pt>
                <c:pt idx="22">
                  <c:v>6.6</c:v>
                </c:pt>
                <c:pt idx="23">
                  <c:v>6.9</c:v>
                </c:pt>
                <c:pt idx="24">
                  <c:v>7.1999999999999993</c:v>
                </c:pt>
                <c:pt idx="25">
                  <c:v>7.5</c:v>
                </c:pt>
                <c:pt idx="26">
                  <c:v>7.8000000000000007</c:v>
                </c:pt>
                <c:pt idx="27">
                  <c:v>8.1000000000000014</c:v>
                </c:pt>
                <c:pt idx="28">
                  <c:v>8.4</c:v>
                </c:pt>
                <c:pt idx="29">
                  <c:v>8.6999999999999993</c:v>
                </c:pt>
                <c:pt idx="30">
                  <c:v>9</c:v>
                </c:pt>
                <c:pt idx="31">
                  <c:v>9.3000000000000007</c:v>
                </c:pt>
                <c:pt idx="32">
                  <c:v>9.6</c:v>
                </c:pt>
                <c:pt idx="33">
                  <c:v>9.9</c:v>
                </c:pt>
                <c:pt idx="34">
                  <c:v>10.200000000000001</c:v>
                </c:pt>
                <c:pt idx="35">
                  <c:v>10.5</c:v>
                </c:pt>
                <c:pt idx="36">
                  <c:v>10.799999999999999</c:v>
                </c:pt>
                <c:pt idx="37">
                  <c:v>11.1</c:v>
                </c:pt>
                <c:pt idx="38">
                  <c:v>11.4</c:v>
                </c:pt>
                <c:pt idx="39">
                  <c:v>11.700000000000001</c:v>
                </c:pt>
                <c:pt idx="40">
                  <c:v>12</c:v>
                </c:pt>
                <c:pt idx="41">
                  <c:v>12.299999999999999</c:v>
                </c:pt>
                <c:pt idx="42">
                  <c:v>12.6</c:v>
                </c:pt>
                <c:pt idx="43">
                  <c:v>12.9</c:v>
                </c:pt>
                <c:pt idx="44">
                  <c:v>13.2</c:v>
                </c:pt>
                <c:pt idx="45">
                  <c:v>13.5</c:v>
                </c:pt>
                <c:pt idx="46">
                  <c:v>13.8</c:v>
                </c:pt>
                <c:pt idx="47">
                  <c:v>14.1</c:v>
                </c:pt>
                <c:pt idx="48">
                  <c:v>14.399999999999999</c:v>
                </c:pt>
                <c:pt idx="49">
                  <c:v>14.7</c:v>
                </c:pt>
                <c:pt idx="50">
                  <c:v>15</c:v>
                </c:pt>
                <c:pt idx="51">
                  <c:v>15.3</c:v>
                </c:pt>
                <c:pt idx="52">
                  <c:v>15.600000000000001</c:v>
                </c:pt>
                <c:pt idx="53">
                  <c:v>15.9</c:v>
                </c:pt>
                <c:pt idx="54">
                  <c:v>16.200000000000003</c:v>
                </c:pt>
                <c:pt idx="55">
                  <c:v>16.5</c:v>
                </c:pt>
                <c:pt idx="56">
                  <c:v>16.8</c:v>
                </c:pt>
                <c:pt idx="57">
                  <c:v>17.099999999999998</c:v>
                </c:pt>
                <c:pt idx="58">
                  <c:v>17.399999999999999</c:v>
                </c:pt>
                <c:pt idx="59">
                  <c:v>17.7</c:v>
                </c:pt>
                <c:pt idx="60">
                  <c:v>18</c:v>
                </c:pt>
                <c:pt idx="61">
                  <c:v>18.3</c:v>
                </c:pt>
                <c:pt idx="62">
                  <c:v>18.600000000000001</c:v>
                </c:pt>
                <c:pt idx="63">
                  <c:v>18.899999999999999</c:v>
                </c:pt>
                <c:pt idx="64">
                  <c:v>19.2</c:v>
                </c:pt>
                <c:pt idx="65">
                  <c:v>19.5</c:v>
                </c:pt>
                <c:pt idx="66">
                  <c:v>19.8</c:v>
                </c:pt>
                <c:pt idx="67">
                  <c:v>20.100000000000001</c:v>
                </c:pt>
                <c:pt idx="68">
                  <c:v>20.400000000000002</c:v>
                </c:pt>
                <c:pt idx="69">
                  <c:v>20.7</c:v>
                </c:pt>
                <c:pt idx="70">
                  <c:v>21</c:v>
                </c:pt>
                <c:pt idx="71">
                  <c:v>21.299999999999997</c:v>
                </c:pt>
                <c:pt idx="72">
                  <c:v>21.599999999999998</c:v>
                </c:pt>
                <c:pt idx="73">
                  <c:v>21.9</c:v>
                </c:pt>
                <c:pt idx="74">
                  <c:v>22.2</c:v>
                </c:pt>
                <c:pt idx="75">
                  <c:v>22.5</c:v>
                </c:pt>
                <c:pt idx="76">
                  <c:v>22.8</c:v>
                </c:pt>
                <c:pt idx="77">
                  <c:v>23.1</c:v>
                </c:pt>
                <c:pt idx="78">
                  <c:v>23.400000000000002</c:v>
                </c:pt>
                <c:pt idx="79">
                  <c:v>23.700000000000003</c:v>
                </c:pt>
                <c:pt idx="80">
                  <c:v>24</c:v>
                </c:pt>
                <c:pt idx="81">
                  <c:v>24.3</c:v>
                </c:pt>
                <c:pt idx="82">
                  <c:v>24.599999999999998</c:v>
                </c:pt>
                <c:pt idx="83">
                  <c:v>24.9</c:v>
                </c:pt>
                <c:pt idx="84">
                  <c:v>25.2</c:v>
                </c:pt>
                <c:pt idx="85">
                  <c:v>25.5</c:v>
                </c:pt>
                <c:pt idx="86">
                  <c:v>25.8</c:v>
                </c:pt>
                <c:pt idx="87">
                  <c:v>26.1</c:v>
                </c:pt>
                <c:pt idx="88">
                  <c:v>26.4</c:v>
                </c:pt>
                <c:pt idx="89">
                  <c:v>26.7</c:v>
                </c:pt>
                <c:pt idx="90">
                  <c:v>27</c:v>
                </c:pt>
                <c:pt idx="91">
                  <c:v>27.3</c:v>
                </c:pt>
                <c:pt idx="92">
                  <c:v>27.6</c:v>
                </c:pt>
                <c:pt idx="93">
                  <c:v>27.900000000000002</c:v>
                </c:pt>
                <c:pt idx="94">
                  <c:v>28.2</c:v>
                </c:pt>
                <c:pt idx="95">
                  <c:v>28.5</c:v>
                </c:pt>
                <c:pt idx="96">
                  <c:v>28.799999999999997</c:v>
                </c:pt>
                <c:pt idx="97">
                  <c:v>29.099999999999998</c:v>
                </c:pt>
                <c:pt idx="98">
                  <c:v>29.4</c:v>
                </c:pt>
                <c:pt idx="99">
                  <c:v>29.7</c:v>
                </c:pt>
                <c:pt idx="100">
                  <c:v>30</c:v>
                </c:pt>
              </c:numCache>
            </c:numRef>
          </c:cat>
          <c:val>
            <c:numRef>
              <c:f>'Power Calculations'!$N$9:$N$109</c:f>
              <c:numCache>
                <c:formatCode>0.00E+00</c:formatCode>
                <c:ptCount val="101"/>
                <c:pt idx="0">
                  <c:v>2.4922783535877339E-3</c:v>
                </c:pt>
                <c:pt idx="1">
                  <c:v>2.5217342424224136E-3</c:v>
                </c:pt>
                <c:pt idx="2">
                  <c:v>2.6088142297568603E-3</c:v>
                </c:pt>
                <c:pt idx="3">
                  <c:v>2.7535207237814135E-3</c:v>
                </c:pt>
                <c:pt idx="4">
                  <c:v>2.9558577264151191E-3</c:v>
                </c:pt>
                <c:pt idx="5">
                  <c:v>3.2158308335824273E-3</c:v>
                </c:pt>
                <c:pt idx="6">
                  <c:v>3.533447235600114E-3</c:v>
                </c:pt>
                <c:pt idx="7">
                  <c:v>3.9087157176744885E-3</c:v>
                </c:pt>
                <c:pt idx="8">
                  <c:v>4.3416466605089464E-3</c:v>
                </c:pt>
                <c:pt idx="9">
                  <c:v>4.8322520410219493E-3</c:v>
                </c:pt>
                <c:pt idx="10">
                  <c:v>5.3805454331755159E-3</c:v>
                </c:pt>
                <c:pt idx="11">
                  <c:v>5.9865420089143528E-3</c:v>
                </c:pt>
                <c:pt idx="12">
                  <c:v>6.6502585392156964E-3</c:v>
                </c:pt>
                <c:pt idx="13">
                  <c:v>7.3717133952500907E-3</c:v>
                </c:pt>
                <c:pt idx="14">
                  <c:v>8.1509265496531418E-3</c:v>
                </c:pt>
                <c:pt idx="15">
                  <c:v>8.987919577908508E-3</c:v>
                </c:pt>
                <c:pt idx="16">
                  <c:v>9.8827156598422262E-3</c:v>
                </c:pt>
                <c:pt idx="17">
                  <c:v>1.0835339581228669E-2</c:v>
                </c:pt>
                <c:pt idx="18">
                  <c:v>1.1845817735508187E-2</c:v>
                </c:pt>
                <c:pt idx="19">
                  <c:v>1.2914178125616845E-2</c:v>
                </c:pt>
                <c:pt idx="20">
                  <c:v>1.4040450365928327E-2</c:v>
                </c:pt>
                <c:pt idx="21">
                  <c:v>1.5224665684308327E-2</c:v>
                </c:pt>
                <c:pt idx="22">
                  <c:v>1.6466856924281775E-2</c:v>
                </c:pt>
                <c:pt idx="23">
                  <c:v>1.7767058547312985E-2</c:v>
                </c:pt>
                <c:pt idx="24">
                  <c:v>1.9125306635199187E-2</c:v>
                </c:pt>
                <c:pt idx="25">
                  <c:v>2.0541638892577731E-2</c:v>
                </c:pt>
                <c:pt idx="26">
                  <c:v>2.2016094649547232E-2</c:v>
                </c:pt>
                <c:pt idx="27">
                  <c:v>2.3548714864402933E-2</c:v>
                </c:pt>
                <c:pt idx="28">
                  <c:v>2.5139542126486898E-2</c:v>
                </c:pt>
                <c:pt idx="29">
                  <c:v>2.6788620659153127E-2</c:v>
                </c:pt>
                <c:pt idx="30">
                  <c:v>2.8495996322848136E-2</c:v>
                </c:pt>
                <c:pt idx="31">
                  <c:v>3.0261716618307295E-2</c:v>
                </c:pt>
                <c:pt idx="32">
                  <c:v>3.2085830689867471E-2</c:v>
                </c:pt>
                <c:pt idx="33">
                  <c:v>3.3968389328896349E-2</c:v>
                </c:pt>
                <c:pt idx="34">
                  <c:v>3.5909444977338834E-2</c:v>
                </c:pt>
                <c:pt idx="35">
                  <c:v>3.790905173138099E-2</c:v>
                </c:pt>
                <c:pt idx="36">
                  <c:v>3.9967265345232185E-2</c:v>
                </c:pt>
                <c:pt idx="37">
                  <c:v>4.2084143235025649E-2</c:v>
                </c:pt>
                <c:pt idx="38">
                  <c:v>4.4259744482838162E-2</c:v>
                </c:pt>
                <c:pt idx="39">
                  <c:v>4.6494129840829353E-2</c:v>
                </c:pt>
                <c:pt idx="40">
                  <c:v>4.8787361735501078E-2</c:v>
                </c:pt>
                <c:pt idx="41">
                  <c:v>5.1139504272077592E-2</c:v>
                </c:pt>
                <c:pt idx="42">
                  <c:v>5.3550623239006903E-2</c:v>
                </c:pt>
                <c:pt idx="43">
                  <c:v>5.6020786112584028E-2</c:v>
                </c:pt>
                <c:pt idx="44">
                  <c:v>5.8550062061696745E-2</c:v>
                </c:pt>
                <c:pt idx="45">
                  <c:v>6.1138521952694432E-2</c:v>
                </c:pt>
                <c:pt idx="46">
                  <c:v>6.3786238354380673E-2</c:v>
                </c:pt>
                <c:pt idx="47">
                  <c:v>6.6493285543130207E-2</c:v>
                </c:pt>
                <c:pt idx="48">
                  <c:v>6.9259739508131052E-2</c:v>
                </c:pt>
                <c:pt idx="49">
                  <c:v>7.2085677956752386E-2</c:v>
                </c:pt>
                <c:pt idx="50">
                  <c:v>7.4971180320038758E-2</c:v>
                </c:pt>
                <c:pt idx="51">
                  <c:v>7.7916327758331946E-2</c:v>
                </c:pt>
                <c:pt idx="52">
                  <c:v>8.0921203167020117E-2</c:v>
                </c:pt>
                <c:pt idx="53">
                  <c:v>8.3985891182416492E-2</c:v>
                </c:pt>
                <c:pt idx="54">
                  <c:v>8.7110478187766877E-2</c:v>
                </c:pt>
                <c:pt idx="55">
                  <c:v>9.0295052319387864E-2</c:v>
                </c:pt>
                <c:pt idx="56">
                  <c:v>9.3539703472936192E-2</c:v>
                </c:pt>
                <c:pt idx="57">
                  <c:v>9.6844523309809957E-2</c:v>
                </c:pt>
                <c:pt idx="58">
                  <c:v>0.1002096052636825</c:v>
                </c:pt>
                <c:pt idx="59">
                  <c:v>0.1036350445471705</c:v>
                </c:pt>
                <c:pt idx="60">
                  <c:v>0.10712093815863623</c:v>
                </c:pt>
                <c:pt idx="61">
                  <c:v>0.11066738488912567</c:v>
                </c:pt>
                <c:pt idx="62">
                  <c:v>0.11427448532944258</c:v>
                </c:pt>
                <c:pt idx="63">
                  <c:v>0.11794234187736076</c:v>
                </c:pt>
                <c:pt idx="64">
                  <c:v>0.12167105874497409</c:v>
                </c:pt>
                <c:pt idx="65">
                  <c:v>0.1254607419661862</c:v>
                </c:pt>
                <c:pt idx="66">
                  <c:v>0.12931149940434039</c:v>
                </c:pt>
                <c:pt idx="67">
                  <c:v>0.13322344075999135</c:v>
                </c:pt>
                <c:pt idx="68">
                  <c:v>0.1371966775788189</c:v>
                </c:pt>
                <c:pt idx="69">
                  <c:v>0.14123132325968571</c:v>
                </c:pt>
                <c:pt idx="70">
                  <c:v>0.14532749306283974</c:v>
                </c:pt>
                <c:pt idx="71">
                  <c:v>0.14948530411826186</c:v>
                </c:pt>
                <c:pt idx="72">
                  <c:v>0.15370487543416128</c:v>
                </c:pt>
                <c:pt idx="73">
                  <c:v>0.15798632790561851</c:v>
                </c:pt>
                <c:pt idx="74">
                  <c:v>0.16232978432337772</c:v>
                </c:pt>
                <c:pt idx="75">
                  <c:v>0.16673536938278977</c:v>
                </c:pt>
                <c:pt idx="76">
                  <c:v>0.17120320969290709</c:v>
                </c:pt>
                <c:pt idx="77">
                  <c:v>0.17573343378573097</c:v>
                </c:pt>
                <c:pt idx="78">
                  <c:v>0.18032617212561405</c:v>
                </c:pt>
                <c:pt idx="79">
                  <c:v>0.18498155711881767</c:v>
                </c:pt>
                <c:pt idx="80">
                  <c:v>0.18969972312322597</c:v>
                </c:pt>
                <c:pt idx="81">
                  <c:v>0.19448080645821961</c:v>
                </c:pt>
                <c:pt idx="82">
                  <c:v>0.19932494541470733</c:v>
                </c:pt>
                <c:pt idx="83">
                  <c:v>0.20423228026532</c:v>
                </c:pt>
                <c:pt idx="84">
                  <c:v>0.20920295327476621</c:v>
                </c:pt>
                <c:pt idx="85">
                  <c:v>0.21423710871035245</c:v>
                </c:pt>
                <c:pt idx="86">
                  <c:v>0.21933489285266833</c:v>
                </c:pt>
                <c:pt idx="87">
                  <c:v>0.22449645400643867</c:v>
                </c:pt>
                <c:pt idx="88">
                  <c:v>0.22972194251154462</c:v>
                </c:pt>
                <c:pt idx="89">
                  <c:v>0.235011510754214</c:v>
                </c:pt>
                <c:pt idx="90">
                  <c:v>0.24036531317838392</c:v>
                </c:pt>
                <c:pt idx="91">
                  <c:v>0.245783506297236</c:v>
                </c:pt>
                <c:pt idx="92">
                  <c:v>0.25126624870490694</c:v>
                </c:pt>
                <c:pt idx="93">
                  <c:v>0.25681370108837548</c:v>
                </c:pt>
                <c:pt idx="94">
                  <c:v>0.26242602623952765</c:v>
                </c:pt>
                <c:pt idx="95">
                  <c:v>0.26810338906740178</c:v>
                </c:pt>
                <c:pt idx="96">
                  <c:v>0.27384595661061523</c:v>
                </c:pt>
                <c:pt idx="97">
                  <c:v>0.27965389804997504</c:v>
                </c:pt>
                <c:pt idx="98">
                  <c:v>0.28552738472127354</c:v>
                </c:pt>
                <c:pt idx="99">
                  <c:v>0.29146659012827114</c:v>
                </c:pt>
                <c:pt idx="100">
                  <c:v>0.29747168995586826</c:v>
                </c:pt>
              </c:numCache>
            </c:numRef>
          </c:val>
          <c:smooth val="0"/>
          <c:extLst>
            <c:ext xmlns:c16="http://schemas.microsoft.com/office/drawing/2014/chart" uri="{C3380CC4-5D6E-409C-BE32-E72D297353CC}">
              <c16:uniqueId val="{00000001-B980-2D43-B93A-B9B0C37E81D2}"/>
            </c:ext>
          </c:extLst>
        </c:ser>
        <c:ser>
          <c:idx val="2"/>
          <c:order val="2"/>
          <c:tx>
            <c:v> High-Side MOSFET Loss</c:v>
          </c:tx>
          <c:spPr>
            <a:ln w="38100">
              <a:solidFill>
                <a:srgbClr val="808000"/>
              </a:solidFill>
              <a:prstDash val="sysDash"/>
            </a:ln>
          </c:spPr>
          <c:marker>
            <c:symbol val="none"/>
          </c:marker>
          <c:cat>
            <c:numRef>
              <c:f>'Power Calculations'!$H$9:$H$109</c:f>
              <c:numCache>
                <c:formatCode>General</c:formatCode>
                <c:ptCount val="101"/>
                <c:pt idx="0">
                  <c:v>0</c:v>
                </c:pt>
                <c:pt idx="1">
                  <c:v>0.3</c:v>
                </c:pt>
                <c:pt idx="2">
                  <c:v>0.6</c:v>
                </c:pt>
                <c:pt idx="3">
                  <c:v>0.89999999999999991</c:v>
                </c:pt>
                <c:pt idx="4">
                  <c:v>1.2</c:v>
                </c:pt>
                <c:pt idx="5">
                  <c:v>1.5</c:v>
                </c:pt>
                <c:pt idx="6">
                  <c:v>1.7999999999999998</c:v>
                </c:pt>
                <c:pt idx="7">
                  <c:v>2.1</c:v>
                </c:pt>
                <c:pt idx="8">
                  <c:v>2.4</c:v>
                </c:pt>
                <c:pt idx="9">
                  <c:v>2.6999999999999997</c:v>
                </c:pt>
                <c:pt idx="10">
                  <c:v>3</c:v>
                </c:pt>
                <c:pt idx="11">
                  <c:v>3.3</c:v>
                </c:pt>
                <c:pt idx="12">
                  <c:v>3.5999999999999996</c:v>
                </c:pt>
                <c:pt idx="13">
                  <c:v>3.9000000000000004</c:v>
                </c:pt>
                <c:pt idx="14">
                  <c:v>4.2</c:v>
                </c:pt>
                <c:pt idx="15">
                  <c:v>4.5</c:v>
                </c:pt>
                <c:pt idx="16">
                  <c:v>4.8</c:v>
                </c:pt>
                <c:pt idx="17">
                  <c:v>5.1000000000000005</c:v>
                </c:pt>
                <c:pt idx="18">
                  <c:v>5.3999999999999995</c:v>
                </c:pt>
                <c:pt idx="19">
                  <c:v>5.7</c:v>
                </c:pt>
                <c:pt idx="20">
                  <c:v>6</c:v>
                </c:pt>
                <c:pt idx="21">
                  <c:v>6.3</c:v>
                </c:pt>
                <c:pt idx="22">
                  <c:v>6.6</c:v>
                </c:pt>
                <c:pt idx="23">
                  <c:v>6.9</c:v>
                </c:pt>
                <c:pt idx="24">
                  <c:v>7.1999999999999993</c:v>
                </c:pt>
                <c:pt idx="25">
                  <c:v>7.5</c:v>
                </c:pt>
                <c:pt idx="26">
                  <c:v>7.8000000000000007</c:v>
                </c:pt>
                <c:pt idx="27">
                  <c:v>8.1000000000000014</c:v>
                </c:pt>
                <c:pt idx="28">
                  <c:v>8.4</c:v>
                </c:pt>
                <c:pt idx="29">
                  <c:v>8.6999999999999993</c:v>
                </c:pt>
                <c:pt idx="30">
                  <c:v>9</c:v>
                </c:pt>
                <c:pt idx="31">
                  <c:v>9.3000000000000007</c:v>
                </c:pt>
                <c:pt idx="32">
                  <c:v>9.6</c:v>
                </c:pt>
                <c:pt idx="33">
                  <c:v>9.9</c:v>
                </c:pt>
                <c:pt idx="34">
                  <c:v>10.200000000000001</c:v>
                </c:pt>
                <c:pt idx="35">
                  <c:v>10.5</c:v>
                </c:pt>
                <c:pt idx="36">
                  <c:v>10.799999999999999</c:v>
                </c:pt>
                <c:pt idx="37">
                  <c:v>11.1</c:v>
                </c:pt>
                <c:pt idx="38">
                  <c:v>11.4</c:v>
                </c:pt>
                <c:pt idx="39">
                  <c:v>11.700000000000001</c:v>
                </c:pt>
                <c:pt idx="40">
                  <c:v>12</c:v>
                </c:pt>
                <c:pt idx="41">
                  <c:v>12.299999999999999</c:v>
                </c:pt>
                <c:pt idx="42">
                  <c:v>12.6</c:v>
                </c:pt>
                <c:pt idx="43">
                  <c:v>12.9</c:v>
                </c:pt>
                <c:pt idx="44">
                  <c:v>13.2</c:v>
                </c:pt>
                <c:pt idx="45">
                  <c:v>13.5</c:v>
                </c:pt>
                <c:pt idx="46">
                  <c:v>13.8</c:v>
                </c:pt>
                <c:pt idx="47">
                  <c:v>14.1</c:v>
                </c:pt>
                <c:pt idx="48">
                  <c:v>14.399999999999999</c:v>
                </c:pt>
                <c:pt idx="49">
                  <c:v>14.7</c:v>
                </c:pt>
                <c:pt idx="50">
                  <c:v>15</c:v>
                </c:pt>
                <c:pt idx="51">
                  <c:v>15.3</c:v>
                </c:pt>
                <c:pt idx="52">
                  <c:v>15.600000000000001</c:v>
                </c:pt>
                <c:pt idx="53">
                  <c:v>15.9</c:v>
                </c:pt>
                <c:pt idx="54">
                  <c:v>16.200000000000003</c:v>
                </c:pt>
                <c:pt idx="55">
                  <c:v>16.5</c:v>
                </c:pt>
                <c:pt idx="56">
                  <c:v>16.8</c:v>
                </c:pt>
                <c:pt idx="57">
                  <c:v>17.099999999999998</c:v>
                </c:pt>
                <c:pt idx="58">
                  <c:v>17.399999999999999</c:v>
                </c:pt>
                <c:pt idx="59">
                  <c:v>17.7</c:v>
                </c:pt>
                <c:pt idx="60">
                  <c:v>18</c:v>
                </c:pt>
                <c:pt idx="61">
                  <c:v>18.3</c:v>
                </c:pt>
                <c:pt idx="62">
                  <c:v>18.600000000000001</c:v>
                </c:pt>
                <c:pt idx="63">
                  <c:v>18.899999999999999</c:v>
                </c:pt>
                <c:pt idx="64">
                  <c:v>19.2</c:v>
                </c:pt>
                <c:pt idx="65">
                  <c:v>19.5</c:v>
                </c:pt>
                <c:pt idx="66">
                  <c:v>19.8</c:v>
                </c:pt>
                <c:pt idx="67">
                  <c:v>20.100000000000001</c:v>
                </c:pt>
                <c:pt idx="68">
                  <c:v>20.400000000000002</c:v>
                </c:pt>
                <c:pt idx="69">
                  <c:v>20.7</c:v>
                </c:pt>
                <c:pt idx="70">
                  <c:v>21</c:v>
                </c:pt>
                <c:pt idx="71">
                  <c:v>21.299999999999997</c:v>
                </c:pt>
                <c:pt idx="72">
                  <c:v>21.599999999999998</c:v>
                </c:pt>
                <c:pt idx="73">
                  <c:v>21.9</c:v>
                </c:pt>
                <c:pt idx="74">
                  <c:v>22.2</c:v>
                </c:pt>
                <c:pt idx="75">
                  <c:v>22.5</c:v>
                </c:pt>
                <c:pt idx="76">
                  <c:v>22.8</c:v>
                </c:pt>
                <c:pt idx="77">
                  <c:v>23.1</c:v>
                </c:pt>
                <c:pt idx="78">
                  <c:v>23.400000000000002</c:v>
                </c:pt>
                <c:pt idx="79">
                  <c:v>23.700000000000003</c:v>
                </c:pt>
                <c:pt idx="80">
                  <c:v>24</c:v>
                </c:pt>
                <c:pt idx="81">
                  <c:v>24.3</c:v>
                </c:pt>
                <c:pt idx="82">
                  <c:v>24.599999999999998</c:v>
                </c:pt>
                <c:pt idx="83">
                  <c:v>24.9</c:v>
                </c:pt>
                <c:pt idx="84">
                  <c:v>25.2</c:v>
                </c:pt>
                <c:pt idx="85">
                  <c:v>25.5</c:v>
                </c:pt>
                <c:pt idx="86">
                  <c:v>25.8</c:v>
                </c:pt>
                <c:pt idx="87">
                  <c:v>26.1</c:v>
                </c:pt>
                <c:pt idx="88">
                  <c:v>26.4</c:v>
                </c:pt>
                <c:pt idx="89">
                  <c:v>26.7</c:v>
                </c:pt>
                <c:pt idx="90">
                  <c:v>27</c:v>
                </c:pt>
                <c:pt idx="91">
                  <c:v>27.3</c:v>
                </c:pt>
                <c:pt idx="92">
                  <c:v>27.6</c:v>
                </c:pt>
                <c:pt idx="93">
                  <c:v>27.900000000000002</c:v>
                </c:pt>
                <c:pt idx="94">
                  <c:v>28.2</c:v>
                </c:pt>
                <c:pt idx="95">
                  <c:v>28.5</c:v>
                </c:pt>
                <c:pt idx="96">
                  <c:v>28.799999999999997</c:v>
                </c:pt>
                <c:pt idx="97">
                  <c:v>29.099999999999998</c:v>
                </c:pt>
                <c:pt idx="98">
                  <c:v>29.4</c:v>
                </c:pt>
                <c:pt idx="99">
                  <c:v>29.7</c:v>
                </c:pt>
                <c:pt idx="100">
                  <c:v>30</c:v>
                </c:pt>
              </c:numCache>
            </c:numRef>
          </c:cat>
          <c:val>
            <c:numRef>
              <c:f>'Power Calculations'!$Y$9:$Y$109</c:f>
              <c:numCache>
                <c:formatCode>General</c:formatCode>
                <c:ptCount val="101"/>
                <c:pt idx="0">
                  <c:v>6.757916984457589E-2</c:v>
                </c:pt>
                <c:pt idx="1">
                  <c:v>7.321004574682298E-2</c:v>
                </c:pt>
                <c:pt idx="2">
                  <c:v>7.9244084185043709E-2</c:v>
                </c:pt>
                <c:pt idx="3">
                  <c:v>8.5683022598071923E-2</c:v>
                </c:pt>
                <c:pt idx="4">
                  <c:v>9.2528793144484256E-2</c:v>
                </c:pt>
                <c:pt idx="5">
                  <c:v>9.9783524556497569E-2</c:v>
                </c:pt>
                <c:pt idx="6">
                  <c:v>0.10744954423211218</c:v>
                </c:pt>
                <c:pt idx="7">
                  <c:v>0.11552938056967504</c:v>
                </c:pt>
                <c:pt idx="8">
                  <c:v>0.1240257655495898</c:v>
                </c:pt>
                <c:pt idx="9">
                  <c:v>0.13294163756847349</c:v>
                </c:pt>
                <c:pt idx="10">
                  <c:v>0.14228014453164622</c:v>
                </c:pt>
                <c:pt idx="11">
                  <c:v>0.15204464721045152</c:v>
                </c:pt>
                <c:pt idx="12">
                  <c:v>0.16223872287153471</c:v>
                </c:pt>
                <c:pt idx="13">
                  <c:v>0.17286616918586634</c:v>
                </c:pt>
                <c:pt idx="14">
                  <c:v>0.18393100842597893</c:v>
                </c:pt>
                <c:pt idx="15">
                  <c:v>0.19543749196060389</c:v>
                </c:pt>
                <c:pt idx="16">
                  <c:v>0.20739010505664116</c:v>
                </c:pt>
                <c:pt idx="17">
                  <c:v>0.22249727080067691</c:v>
                </c:pt>
                <c:pt idx="18">
                  <c:v>0.23852533822444608</c:v>
                </c:pt>
                <c:pt idx="19">
                  <c:v>0.25502413420561482</c:v>
                </c:pt>
                <c:pt idx="20">
                  <c:v>0.27199995127489052</c:v>
                </c:pt>
                <c:pt idx="21">
                  <c:v>0.28945935543983137</c:v>
                </c:pt>
                <c:pt idx="22">
                  <c:v>0.30740919384731846</c:v>
                </c:pt>
                <c:pt idx="23">
                  <c:v>0.3258566028691483</c:v>
                </c:pt>
                <c:pt idx="24">
                  <c:v>0.34480901662989566</c:v>
                </c:pt>
                <c:pt idx="25">
                  <c:v>0.36427417599748813</c:v>
                </c:pt>
                <c:pt idx="26">
                  <c:v>0.384260138058302</c:v>
                </c:pt>
                <c:pt idx="27">
                  <c:v>0.40477528610006214</c:v>
                </c:pt>
                <c:pt idx="28">
                  <c:v>0.4258283401273808</c:v>
                </c:pt>
                <c:pt idx="29">
                  <c:v>0.44742836793643315</c:v>
                </c:pt>
                <c:pt idx="30">
                  <c:v>0.46958479677704729</c:v>
                </c:pt>
                <c:pt idx="31">
                  <c:v>0.49230742563237667</c:v>
                </c:pt>
                <c:pt idx="32">
                  <c:v>0.51560643814835661</c:v>
                </c:pt>
                <c:pt idx="33">
                  <c:v>0.53949241624731326</c:v>
                </c:pt>
                <c:pt idx="34">
                  <c:v>0.56397635446241512</c:v>
                </c:pt>
                <c:pt idx="35">
                  <c:v>0.58906967503215579</c:v>
                </c:pt>
                <c:pt idx="36">
                  <c:v>0.61478424379671892</c:v>
                </c:pt>
                <c:pt idx="37">
                  <c:v>0.64113238694095021</c:v>
                </c:pt>
                <c:pt idx="38">
                  <c:v>0.66812690863174007</c:v>
                </c:pt>
                <c:pt idx="39">
                  <c:v>0.69578110960092809</c:v>
                </c:pt>
                <c:pt idx="40">
                  <c:v>0.72410880672840816</c:v>
                </c:pt>
                <c:pt idx="41">
                  <c:v>0.75312435368394492</c:v>
                </c:pt>
                <c:pt idx="42">
                  <c:v>0.7828426626903372</c:v>
                </c:pt>
                <c:pt idx="43">
                  <c:v>0.81327922747502746</c:v>
                </c:pt>
                <c:pt idx="44">
                  <c:v>0.84445014748204994</c:v>
                </c:pt>
                <c:pt idx="45">
                  <c:v>0.87637215342140418</c:v>
                </c:pt>
                <c:pt idx="46">
                  <c:v>0.90906263423853639</c:v>
                </c:pt>
                <c:pt idx="47">
                  <c:v>0.94253966559267766</c:v>
                </c:pt>
                <c:pt idx="48">
                  <c:v>0.9768220399393307</c:v>
                </c:pt>
                <c:pt idx="49">
                  <c:v>1.0119292983193087</c:v>
                </c:pt>
                <c:pt idx="50">
                  <c:v>1.0478817639644036</c:v>
                </c:pt>
                <c:pt idx="51">
                  <c:v>1.0847005778381187</c:v>
                </c:pt>
                <c:pt idx="52">
                  <c:v>1.1224077362389313</c:v>
                </c:pt>
                <c:pt idx="53">
                  <c:v>1.1610261306034035</c:v>
                </c:pt>
                <c:pt idx="54">
                  <c:v>1.2005795896571205</c:v>
                </c:pt>
                <c:pt idx="55">
                  <c:v>1.2410929240730797</c:v>
                </c:pt>
                <c:pt idx="56">
                  <c:v>1.2825919738097982</c:v>
                </c:pt>
                <c:pt idx="57">
                  <c:v>1.3251036583151985</c:v>
                </c:pt>
                <c:pt idx="58">
                  <c:v>1.3686560297973722</c:v>
                </c:pt>
                <c:pt idx="59">
                  <c:v>1.4132783297797291</c:v>
                </c:pt>
                <c:pt idx="60">
                  <c:v>1.4590010491759886</c:v>
                </c:pt>
                <c:pt idx="61">
                  <c:v>1.5058559921400589</c:v>
                </c:pt>
                <c:pt idx="62">
                  <c:v>1.5538763439673111</c:v>
                </c:pt>
                <c:pt idx="63">
                  <c:v>1.6030967433472849</c:v>
                </c:pt>
                <c:pt idx="64">
                  <c:v>1.6535533592936049</c:v>
                </c:pt>
                <c:pt idx="65">
                  <c:v>1.7052839731051967</c:v>
                </c:pt>
                <c:pt idx="66">
                  <c:v>1.7583280657439662</c:v>
                </c:pt>
                <c:pt idx="67">
                  <c:v>1.8127269110482751</c:v>
                </c:pt>
                <c:pt idx="68">
                  <c:v>1.8685236752391743</c:v>
                </c:pt>
                <c:pt idx="69">
                  <c:v>1.9257635232178008</c:v>
                </c:pt>
                <c:pt idx="70">
                  <c:v>1.9844937321981164</c:v>
                </c:pt>
                <c:pt idx="71">
                  <c:v>2.0447638132695936</c:v>
                </c:pt>
                <c:pt idx="72">
                  <c:v>2.1066256415403926</c:v>
                </c:pt>
                <c:pt idx="73">
                  <c:v>2.1701335955732826</c:v>
                </c:pt>
                <c:pt idx="74">
                  <c:v>2.2353447068951025</c:v>
                </c:pt>
                <c:pt idx="75">
                  <c:v>2.3023188204365019</c:v>
                </c:pt>
                <c:pt idx="76">
                  <c:v>2.3711187668431095</c:v>
                </c:pt>
                <c:pt idx="77">
                  <c:v>2.4418105476931173</c:v>
                </c:pt>
                <c:pt idx="78">
                  <c:v>2.5144635347608113</c:v>
                </c:pt>
                <c:pt idx="79">
                  <c:v>2.5891506845820831</c:v>
                </c:pt>
                <c:pt idx="80">
                  <c:v>2.6659487697080997</c:v>
                </c:pt>
                <c:pt idx="81">
                  <c:v>2.7449386281787795</c:v>
                </c:pt>
                <c:pt idx="82">
                  <c:v>2.8262054329105717</c:v>
                </c:pt>
                <c:pt idx="83">
                  <c:v>2.9098389828757201</c:v>
                </c:pt>
                <c:pt idx="84">
                  <c:v>2.9959340181551619</c:v>
                </c:pt>
                <c:pt idx="85">
                  <c:v>3.0845905611779116</c:v>
                </c:pt>
                <c:pt idx="86">
                  <c:v>3.1759142867194847</c:v>
                </c:pt>
                <c:pt idx="87">
                  <c:v>3.2700169235248837</c:v>
                </c:pt>
                <c:pt idx="88">
                  <c:v>3.3670166907529091</c:v>
                </c:pt>
                <c:pt idx="89">
                  <c:v>3.4670387728132028</c:v>
                </c:pt>
                <c:pt idx="90">
                  <c:v>3.5702158365924586</c:v>
                </c:pt>
                <c:pt idx="91">
                  <c:v>3.6766885955488928</c:v>
                </c:pt>
                <c:pt idx="92">
                  <c:v>3.7866064257033085</c:v>
                </c:pt>
                <c:pt idx="93">
                  <c:v>3.9001280391813862</c:v>
                </c:pt>
                <c:pt idx="94">
                  <c:v>4.0174222216770694</c:v>
                </c:pt>
                <c:pt idx="95">
                  <c:v>4.1386686410257729</c:v>
                </c:pt>
                <c:pt idx="96">
                  <c:v>4.2640587350152366</c:v>
                </c:pt>
                <c:pt idx="97">
                  <c:v>4.3937966876412586</c:v>
                </c:pt>
                <c:pt idx="98">
                  <c:v>4.528100504258977</c:v>
                </c:pt>
                <c:pt idx="99">
                  <c:v>4.6672031975159047</c:v>
                </c:pt>
                <c:pt idx="100">
                  <c:v>4.8113540976142328</c:v>
                </c:pt>
              </c:numCache>
            </c:numRef>
          </c:val>
          <c:smooth val="0"/>
          <c:extLst>
            <c:ext xmlns:c16="http://schemas.microsoft.com/office/drawing/2014/chart" uri="{C3380CC4-5D6E-409C-BE32-E72D297353CC}">
              <c16:uniqueId val="{00000002-B980-2D43-B93A-B9B0C37E81D2}"/>
            </c:ext>
          </c:extLst>
        </c:ser>
        <c:ser>
          <c:idx val="1"/>
          <c:order val="3"/>
          <c:tx>
            <c:v> Low-Side MOSFET Loss</c:v>
          </c:tx>
          <c:spPr>
            <a:ln w="38100">
              <a:solidFill>
                <a:srgbClr val="002060"/>
              </a:solidFill>
              <a:prstDash val="sysDot"/>
            </a:ln>
          </c:spPr>
          <c:marker>
            <c:symbol val="none"/>
          </c:marker>
          <c:cat>
            <c:numRef>
              <c:f>'Power Calculations'!$H$9:$H$109</c:f>
              <c:numCache>
                <c:formatCode>General</c:formatCode>
                <c:ptCount val="101"/>
                <c:pt idx="0">
                  <c:v>0</c:v>
                </c:pt>
                <c:pt idx="1">
                  <c:v>0.3</c:v>
                </c:pt>
                <c:pt idx="2">
                  <c:v>0.6</c:v>
                </c:pt>
                <c:pt idx="3">
                  <c:v>0.89999999999999991</c:v>
                </c:pt>
                <c:pt idx="4">
                  <c:v>1.2</c:v>
                </c:pt>
                <c:pt idx="5">
                  <c:v>1.5</c:v>
                </c:pt>
                <c:pt idx="6">
                  <c:v>1.7999999999999998</c:v>
                </c:pt>
                <c:pt idx="7">
                  <c:v>2.1</c:v>
                </c:pt>
                <c:pt idx="8">
                  <c:v>2.4</c:v>
                </c:pt>
                <c:pt idx="9">
                  <c:v>2.6999999999999997</c:v>
                </c:pt>
                <c:pt idx="10">
                  <c:v>3</c:v>
                </c:pt>
                <c:pt idx="11">
                  <c:v>3.3</c:v>
                </c:pt>
                <c:pt idx="12">
                  <c:v>3.5999999999999996</c:v>
                </c:pt>
                <c:pt idx="13">
                  <c:v>3.9000000000000004</c:v>
                </c:pt>
                <c:pt idx="14">
                  <c:v>4.2</c:v>
                </c:pt>
                <c:pt idx="15">
                  <c:v>4.5</c:v>
                </c:pt>
                <c:pt idx="16">
                  <c:v>4.8</c:v>
                </c:pt>
                <c:pt idx="17">
                  <c:v>5.1000000000000005</c:v>
                </c:pt>
                <c:pt idx="18">
                  <c:v>5.3999999999999995</c:v>
                </c:pt>
                <c:pt idx="19">
                  <c:v>5.7</c:v>
                </c:pt>
                <c:pt idx="20">
                  <c:v>6</c:v>
                </c:pt>
                <c:pt idx="21">
                  <c:v>6.3</c:v>
                </c:pt>
                <c:pt idx="22">
                  <c:v>6.6</c:v>
                </c:pt>
                <c:pt idx="23">
                  <c:v>6.9</c:v>
                </c:pt>
                <c:pt idx="24">
                  <c:v>7.1999999999999993</c:v>
                </c:pt>
                <c:pt idx="25">
                  <c:v>7.5</c:v>
                </c:pt>
                <c:pt idx="26">
                  <c:v>7.8000000000000007</c:v>
                </c:pt>
                <c:pt idx="27">
                  <c:v>8.1000000000000014</c:v>
                </c:pt>
                <c:pt idx="28">
                  <c:v>8.4</c:v>
                </c:pt>
                <c:pt idx="29">
                  <c:v>8.6999999999999993</c:v>
                </c:pt>
                <c:pt idx="30">
                  <c:v>9</c:v>
                </c:pt>
                <c:pt idx="31">
                  <c:v>9.3000000000000007</c:v>
                </c:pt>
                <c:pt idx="32">
                  <c:v>9.6</c:v>
                </c:pt>
                <c:pt idx="33">
                  <c:v>9.9</c:v>
                </c:pt>
                <c:pt idx="34">
                  <c:v>10.200000000000001</c:v>
                </c:pt>
                <c:pt idx="35">
                  <c:v>10.5</c:v>
                </c:pt>
                <c:pt idx="36">
                  <c:v>10.799999999999999</c:v>
                </c:pt>
                <c:pt idx="37">
                  <c:v>11.1</c:v>
                </c:pt>
                <c:pt idx="38">
                  <c:v>11.4</c:v>
                </c:pt>
                <c:pt idx="39">
                  <c:v>11.700000000000001</c:v>
                </c:pt>
                <c:pt idx="40">
                  <c:v>12</c:v>
                </c:pt>
                <c:pt idx="41">
                  <c:v>12.299999999999999</c:v>
                </c:pt>
                <c:pt idx="42">
                  <c:v>12.6</c:v>
                </c:pt>
                <c:pt idx="43">
                  <c:v>12.9</c:v>
                </c:pt>
                <c:pt idx="44">
                  <c:v>13.2</c:v>
                </c:pt>
                <c:pt idx="45">
                  <c:v>13.5</c:v>
                </c:pt>
                <c:pt idx="46">
                  <c:v>13.8</c:v>
                </c:pt>
                <c:pt idx="47">
                  <c:v>14.1</c:v>
                </c:pt>
                <c:pt idx="48">
                  <c:v>14.399999999999999</c:v>
                </c:pt>
                <c:pt idx="49">
                  <c:v>14.7</c:v>
                </c:pt>
                <c:pt idx="50">
                  <c:v>15</c:v>
                </c:pt>
                <c:pt idx="51">
                  <c:v>15.3</c:v>
                </c:pt>
                <c:pt idx="52">
                  <c:v>15.600000000000001</c:v>
                </c:pt>
                <c:pt idx="53">
                  <c:v>15.9</c:v>
                </c:pt>
                <c:pt idx="54">
                  <c:v>16.200000000000003</c:v>
                </c:pt>
                <c:pt idx="55">
                  <c:v>16.5</c:v>
                </c:pt>
                <c:pt idx="56">
                  <c:v>16.8</c:v>
                </c:pt>
                <c:pt idx="57">
                  <c:v>17.099999999999998</c:v>
                </c:pt>
                <c:pt idx="58">
                  <c:v>17.399999999999999</c:v>
                </c:pt>
                <c:pt idx="59">
                  <c:v>17.7</c:v>
                </c:pt>
                <c:pt idx="60">
                  <c:v>18</c:v>
                </c:pt>
                <c:pt idx="61">
                  <c:v>18.3</c:v>
                </c:pt>
                <c:pt idx="62">
                  <c:v>18.600000000000001</c:v>
                </c:pt>
                <c:pt idx="63">
                  <c:v>18.899999999999999</c:v>
                </c:pt>
                <c:pt idx="64">
                  <c:v>19.2</c:v>
                </c:pt>
                <c:pt idx="65">
                  <c:v>19.5</c:v>
                </c:pt>
                <c:pt idx="66">
                  <c:v>19.8</c:v>
                </c:pt>
                <c:pt idx="67">
                  <c:v>20.100000000000001</c:v>
                </c:pt>
                <c:pt idx="68">
                  <c:v>20.400000000000002</c:v>
                </c:pt>
                <c:pt idx="69">
                  <c:v>20.7</c:v>
                </c:pt>
                <c:pt idx="70">
                  <c:v>21</c:v>
                </c:pt>
                <c:pt idx="71">
                  <c:v>21.299999999999997</c:v>
                </c:pt>
                <c:pt idx="72">
                  <c:v>21.599999999999998</c:v>
                </c:pt>
                <c:pt idx="73">
                  <c:v>21.9</c:v>
                </c:pt>
                <c:pt idx="74">
                  <c:v>22.2</c:v>
                </c:pt>
                <c:pt idx="75">
                  <c:v>22.5</c:v>
                </c:pt>
                <c:pt idx="76">
                  <c:v>22.8</c:v>
                </c:pt>
                <c:pt idx="77">
                  <c:v>23.1</c:v>
                </c:pt>
                <c:pt idx="78">
                  <c:v>23.400000000000002</c:v>
                </c:pt>
                <c:pt idx="79">
                  <c:v>23.700000000000003</c:v>
                </c:pt>
                <c:pt idx="80">
                  <c:v>24</c:v>
                </c:pt>
                <c:pt idx="81">
                  <c:v>24.3</c:v>
                </c:pt>
                <c:pt idx="82">
                  <c:v>24.599999999999998</c:v>
                </c:pt>
                <c:pt idx="83">
                  <c:v>24.9</c:v>
                </c:pt>
                <c:pt idx="84">
                  <c:v>25.2</c:v>
                </c:pt>
                <c:pt idx="85">
                  <c:v>25.5</c:v>
                </c:pt>
                <c:pt idx="86">
                  <c:v>25.8</c:v>
                </c:pt>
                <c:pt idx="87">
                  <c:v>26.1</c:v>
                </c:pt>
                <c:pt idx="88">
                  <c:v>26.4</c:v>
                </c:pt>
                <c:pt idx="89">
                  <c:v>26.7</c:v>
                </c:pt>
                <c:pt idx="90">
                  <c:v>27</c:v>
                </c:pt>
                <c:pt idx="91">
                  <c:v>27.3</c:v>
                </c:pt>
                <c:pt idx="92">
                  <c:v>27.6</c:v>
                </c:pt>
                <c:pt idx="93">
                  <c:v>27.900000000000002</c:v>
                </c:pt>
                <c:pt idx="94">
                  <c:v>28.2</c:v>
                </c:pt>
                <c:pt idx="95">
                  <c:v>28.5</c:v>
                </c:pt>
                <c:pt idx="96">
                  <c:v>28.799999999999997</c:v>
                </c:pt>
                <c:pt idx="97">
                  <c:v>29.099999999999998</c:v>
                </c:pt>
                <c:pt idx="98">
                  <c:v>29.4</c:v>
                </c:pt>
                <c:pt idx="99">
                  <c:v>29.7</c:v>
                </c:pt>
                <c:pt idx="100">
                  <c:v>30</c:v>
                </c:pt>
              </c:numCache>
            </c:numRef>
          </c:cat>
          <c:val>
            <c:numRef>
              <c:f>'Power Calculations'!$AC$9:$AC$109</c:f>
              <c:numCache>
                <c:formatCode>General</c:formatCode>
                <c:ptCount val="101"/>
                <c:pt idx="0">
                  <c:v>9.988928068949314E-2</c:v>
                </c:pt>
                <c:pt idx="1">
                  <c:v>0.10594797201697781</c:v>
                </c:pt>
                <c:pt idx="2">
                  <c:v>0.11207922478344369</c:v>
                </c:pt>
                <c:pt idx="3">
                  <c:v>0.11828326820644929</c:v>
                </c:pt>
                <c:pt idx="4">
                  <c:v>0.1245603375333724</c:v>
                </c:pt>
                <c:pt idx="5">
                  <c:v>0.13091067407058249</c:v>
                </c:pt>
                <c:pt idx="6">
                  <c:v>0.13733452521387163</c:v>
                </c:pt>
                <c:pt idx="7">
                  <c:v>0.14383214448015186</c:v>
                </c:pt>
                <c:pt idx="8">
                  <c:v>0.15040379154042868</c:v>
                </c:pt>
                <c:pt idx="9">
                  <c:v>0.1570497322540578</c:v>
                </c:pt>
                <c:pt idx="10">
                  <c:v>0.16377023870429652</c:v>
                </c:pt>
                <c:pt idx="11">
                  <c:v>0.17056558923515799</c:v>
                </c:pt>
                <c:pt idx="12">
                  <c:v>0.17743606848957977</c:v>
                </c:pt>
                <c:pt idx="13">
                  <c:v>0.18438196744891774</c:v>
                </c:pt>
                <c:pt idx="14">
                  <c:v>0.19140358347377653</c:v>
                </c:pt>
                <c:pt idx="15">
                  <c:v>0.19850122034618822</c:v>
                </c:pt>
                <c:pt idx="16">
                  <c:v>0.20567518831315265</c:v>
                </c:pt>
                <c:pt idx="17">
                  <c:v>0.2129258041315519</c:v>
                </c:pt>
                <c:pt idx="18">
                  <c:v>0.2202533911144525</c:v>
                </c:pt>
                <c:pt idx="19">
                  <c:v>0.22765827917881018</c:v>
                </c:pt>
                <c:pt idx="20">
                  <c:v>0.23514080489459122</c:v>
                </c:pt>
                <c:pt idx="21">
                  <c:v>0.2427013115353259</c:v>
                </c:pt>
                <c:pt idx="22">
                  <c:v>0.25034014913011071</c:v>
                </c:pt>
                <c:pt idx="23">
                  <c:v>0.2580576745170744</c:v>
                </c:pt>
                <c:pt idx="24">
                  <c:v>0.26585425139832608</c:v>
                </c:pt>
                <c:pt idx="25">
                  <c:v>0.27373025039640325</c:v>
                </c:pt>
                <c:pt idx="26">
                  <c:v>0.28168604911223627</c:v>
                </c:pt>
                <c:pt idx="27">
                  <c:v>0.28972203218465048</c:v>
                </c:pt>
                <c:pt idx="28">
                  <c:v>0.29783859135142432</c:v>
                </c:pt>
                <c:pt idx="29">
                  <c:v>0.30603612551192322</c:v>
                </c:pt>
                <c:pt idx="30">
                  <c:v>0.31431504079133155</c:v>
                </c:pt>
                <c:pt idx="31">
                  <c:v>0.32267575060650261</c:v>
                </c:pt>
                <c:pt idx="32">
                  <c:v>0.33111867573344955</c:v>
                </c:pt>
                <c:pt idx="33">
                  <c:v>0.33964424437650093</c:v>
                </c:pt>
                <c:pt idx="34">
                  <c:v>0.34825289223914269</c:v>
                </c:pt>
                <c:pt idx="35">
                  <c:v>0.35694506259657216</c:v>
                </c:pt>
                <c:pt idx="36">
                  <c:v>0.36572120636998934</c:v>
                </c:pt>
                <c:pt idx="37">
                  <c:v>0.37458178220265037</c:v>
                </c:pt>
                <c:pt idx="38">
                  <c:v>0.38352725653770975</c:v>
                </c:pt>
                <c:pt idx="39">
                  <c:v>0.39255810369787969</c:v>
                </c:pt>
                <c:pt idx="40">
                  <c:v>0.40167480596693378</c:v>
                </c:pt>
                <c:pt idx="41">
                  <c:v>0.41087785367308438</c:v>
                </c:pt>
                <c:pt idx="42">
                  <c:v>0.42016774527426332</c:v>
                </c:pt>
                <c:pt idx="43">
                  <c:v>0.42954498744533609</c:v>
                </c:pt>
                <c:pt idx="44">
                  <c:v>0.43901009516728218</c:v>
                </c:pt>
                <c:pt idx="45">
                  <c:v>0.44856359181837296</c:v>
                </c:pt>
                <c:pt idx="46">
                  <c:v>0.45820600926738064</c:v>
                </c:pt>
                <c:pt idx="47">
                  <c:v>0.46793788796885255</c:v>
                </c:pt>
                <c:pt idx="48">
                  <c:v>0.47775977706048578</c:v>
                </c:pt>
                <c:pt idx="49">
                  <c:v>0.48767223446263935</c:v>
                </c:pt>
                <c:pt idx="50">
                  <c:v>0.49767582698001817</c:v>
                </c:pt>
                <c:pt idx="51">
                  <c:v>0.50777113040557087</c:v>
                </c:pt>
                <c:pt idx="52">
                  <c:v>0.51795872962663791</c:v>
                </c:pt>
                <c:pt idx="53">
                  <c:v>0.52823921873338953</c:v>
                </c:pt>
                <c:pt idx="54">
                  <c:v>0.53861320112960021</c:v>
                </c:pt>
                <c:pt idx="55">
                  <c:v>0.54908128964579217</c:v>
                </c:pt>
                <c:pt idx="56">
                  <c:v>0.55964410665480435</c:v>
                </c:pt>
                <c:pt idx="57">
                  <c:v>0.57030228418981843</c:v>
                </c:pt>
                <c:pt idx="58">
                  <c:v>0.58105646406489919</c:v>
                </c:pt>
                <c:pt idx="59">
                  <c:v>0.59190729799808806</c:v>
                </c:pt>
                <c:pt idx="60">
                  <c:v>0.60285544773710298</c:v>
                </c:pt>
                <c:pt idx="61">
                  <c:v>0.61390158518769367</c:v>
                </c:pt>
                <c:pt idx="62">
                  <c:v>0.62504639254470173</c:v>
                </c:pt>
                <c:pt idx="63">
                  <c:v>0.63629056242587889</c:v>
                </c:pt>
                <c:pt idx="64">
                  <c:v>0.6476347980085182</c:v>
                </c:pt>
                <c:pt idx="65">
                  <c:v>0.65907981316895281</c:v>
                </c:pt>
                <c:pt idx="66">
                  <c:v>0.67062633262497717</c:v>
                </c:pt>
                <c:pt idx="67">
                  <c:v>0.68227509208125314</c:v>
                </c:pt>
                <c:pt idx="68">
                  <c:v>0.69402683837775592</c:v>
                </c:pt>
                <c:pt idx="69">
                  <c:v>0.70588232964132624</c:v>
                </c:pt>
                <c:pt idx="70">
                  <c:v>0.71784233544038811</c:v>
                </c:pt>
                <c:pt idx="71">
                  <c:v>0.7299076369428954</c:v>
                </c:pt>
                <c:pt idx="72">
                  <c:v>0.74207902707758266</c:v>
                </c:pt>
                <c:pt idx="73">
                  <c:v>0.75435731069857581</c:v>
                </c:pt>
                <c:pt idx="74">
                  <c:v>0.7667433047534421</c:v>
                </c:pt>
                <c:pt idx="75">
                  <c:v>0.77923783845474881</c:v>
                </c:pt>
                <c:pt idx="76">
                  <c:v>0.79184175345520269</c:v>
                </c:pt>
                <c:pt idx="77">
                  <c:v>0.80455590402644717</c:v>
                </c:pt>
                <c:pt idx="78">
                  <c:v>0.81738115724159732</c:v>
                </c:pt>
                <c:pt idx="79">
                  <c:v>0.83031839316158873</c:v>
                </c:pt>
                <c:pt idx="80">
                  <c:v>0.84336850502542382</c:v>
                </c:pt>
                <c:pt idx="81">
                  <c:v>0.85653239944440385</c:v>
                </c:pt>
                <c:pt idx="82">
                  <c:v>0.86981099660042571</c:v>
                </c:pt>
                <c:pt idx="83">
                  <c:v>0.88320523044844013</c:v>
                </c:pt>
                <c:pt idx="84">
                  <c:v>0.89671604892315537</c:v>
                </c:pt>
                <c:pt idx="85">
                  <c:v>0.9103444141500886</c:v>
                </c:pt>
                <c:pt idx="86">
                  <c:v>0.92409130266105288</c:v>
                </c:pt>
                <c:pt idx="87">
                  <c:v>0.93795770561418601</c:v>
                </c:pt>
                <c:pt idx="88">
                  <c:v>0.95194462901861621</c:v>
                </c:pt>
                <c:pt idx="89">
                  <c:v>0.96605309396387673</c:v>
                </c:pt>
                <c:pt idx="90">
                  <c:v>0.98028413685416949</c:v>
                </c:pt>
                <c:pt idx="91">
                  <c:v>0.99463880964759344</c:v>
                </c:pt>
                <c:pt idx="92">
                  <c:v>1.0091181801004476</c:v>
                </c:pt>
                <c:pt idx="93">
                  <c:v>1.0237233320167287</c:v>
                </c:pt>
                <c:pt idx="94">
                  <c:v>1.0384553655029387</c:v>
                </c:pt>
                <c:pt idx="95">
                  <c:v>1.0533153972283305</c:v>
                </c:pt>
                <c:pt idx="96">
                  <c:v>1.0683045606907129</c:v>
                </c:pt>
                <c:pt idx="97">
                  <c:v>1.083424006487951</c:v>
                </c:pt>
                <c:pt idx="98">
                  <c:v>1.0986749025952891</c:v>
                </c:pt>
                <c:pt idx="99">
                  <c:v>1.114058434648638</c:v>
                </c:pt>
                <c:pt idx="100">
                  <c:v>1.1295758062339689</c:v>
                </c:pt>
              </c:numCache>
            </c:numRef>
          </c:val>
          <c:smooth val="0"/>
          <c:extLst>
            <c:ext xmlns:c16="http://schemas.microsoft.com/office/drawing/2014/chart" uri="{C3380CC4-5D6E-409C-BE32-E72D297353CC}">
              <c16:uniqueId val="{00000003-B980-2D43-B93A-B9B0C37E81D2}"/>
            </c:ext>
          </c:extLst>
        </c:ser>
        <c:dLbls>
          <c:showLegendKey val="0"/>
          <c:showVal val="0"/>
          <c:showCatName val="0"/>
          <c:showSerName val="0"/>
          <c:showPercent val="0"/>
          <c:showBubbleSize val="0"/>
        </c:dLbls>
        <c:marker val="1"/>
        <c:smooth val="0"/>
        <c:axId val="179962240"/>
        <c:axId val="179960064"/>
      </c:lineChart>
      <c:catAx>
        <c:axId val="179943680"/>
        <c:scaling>
          <c:orientation val="minMax"/>
        </c:scaling>
        <c:delete val="0"/>
        <c:axPos val="b"/>
        <c:majorGridlines>
          <c:spPr>
            <a:ln w="15875">
              <a:solidFill>
                <a:srgbClr val="969696"/>
              </a:solidFill>
              <a:prstDash val="sysDash"/>
            </a:ln>
          </c:spPr>
        </c:majorGridlines>
        <c:minorGridlines/>
        <c:title>
          <c:tx>
            <c:rich>
              <a:bodyPr/>
              <a:lstStyle/>
              <a:p>
                <a:pPr>
                  <a:defRPr sz="1200" b="1" i="0" u="none" strike="noStrike" baseline="0">
                    <a:solidFill>
                      <a:srgbClr val="0000FF"/>
                    </a:solidFill>
                    <a:latin typeface="Arial" pitchFamily="34" charset="0"/>
                    <a:ea typeface="Calibri"/>
                    <a:cs typeface="Arial" pitchFamily="34" charset="0"/>
                  </a:defRPr>
                </a:pPr>
                <a:r>
                  <a:rPr lang="en-US" sz="1200">
                    <a:solidFill>
                      <a:srgbClr val="0000FF"/>
                    </a:solidFill>
                    <a:latin typeface="Arial" pitchFamily="34" charset="0"/>
                    <a:cs typeface="Arial" pitchFamily="34" charset="0"/>
                  </a:rPr>
                  <a:t>Load Current (A)</a:t>
                </a:r>
              </a:p>
            </c:rich>
          </c:tx>
          <c:layout>
            <c:manualLayout>
              <c:xMode val="edge"/>
              <c:yMode val="edge"/>
              <c:x val="0.42471011396394504"/>
              <c:y val="0.93853771636955563"/>
            </c:manualLayout>
          </c:layout>
          <c:overlay val="0"/>
          <c:spPr>
            <a:noFill/>
            <a:ln w="25400">
              <a:noFill/>
            </a:ln>
          </c:spPr>
        </c:title>
        <c:numFmt formatCode="General" sourceLinked="1"/>
        <c:majorTickMark val="in"/>
        <c:minorTickMark val="in"/>
        <c:tickLblPos val="nextTo"/>
        <c:spPr>
          <a:ln w="3175">
            <a:solidFill>
              <a:srgbClr val="000000"/>
            </a:solidFill>
            <a:prstDash val="solid"/>
          </a:ln>
        </c:spPr>
        <c:txPr>
          <a:bodyPr rot="0" vert="horz"/>
          <a:lstStyle/>
          <a:p>
            <a:pPr>
              <a:defRPr sz="1100" b="1" i="0" u="none" strike="noStrike" baseline="0">
                <a:solidFill>
                  <a:srgbClr val="0000FF"/>
                </a:solidFill>
                <a:latin typeface="Arial" pitchFamily="34" charset="0"/>
                <a:ea typeface="Calibri"/>
                <a:cs typeface="Arial" pitchFamily="34" charset="0"/>
              </a:defRPr>
            </a:pPr>
            <a:endParaRPr lang="en-US"/>
          </a:p>
        </c:txPr>
        <c:crossAx val="179958144"/>
        <c:crosses val="autoZero"/>
        <c:auto val="1"/>
        <c:lblAlgn val="ctr"/>
        <c:lblOffset val="100"/>
        <c:tickLblSkip val="20"/>
        <c:tickMarkSkip val="20"/>
        <c:noMultiLvlLbl val="0"/>
      </c:catAx>
      <c:valAx>
        <c:axId val="179958144"/>
        <c:scaling>
          <c:orientation val="minMax"/>
          <c:max val="100"/>
          <c:min val="65"/>
        </c:scaling>
        <c:delete val="0"/>
        <c:axPos val="l"/>
        <c:majorGridlines>
          <c:spPr>
            <a:ln w="15875">
              <a:solidFill>
                <a:srgbClr val="808080"/>
              </a:solidFill>
              <a:prstDash val="solid"/>
            </a:ln>
          </c:spPr>
        </c:majorGridlines>
        <c:minorGridlines/>
        <c:title>
          <c:tx>
            <c:rich>
              <a:bodyPr/>
              <a:lstStyle/>
              <a:p>
                <a:pPr>
                  <a:defRPr sz="1400" b="1" i="0" u="none" strike="noStrike" baseline="0">
                    <a:solidFill>
                      <a:srgbClr val="FF0000"/>
                    </a:solidFill>
                    <a:latin typeface="Arial" pitchFamily="34" charset="0"/>
                    <a:ea typeface="Calibri"/>
                    <a:cs typeface="Arial" pitchFamily="34" charset="0"/>
                  </a:defRPr>
                </a:pPr>
                <a:r>
                  <a:rPr lang="en-US" sz="1200" b="1">
                    <a:solidFill>
                      <a:srgbClr val="FF0000"/>
                    </a:solidFill>
                    <a:latin typeface="Arial" pitchFamily="34" charset="0"/>
                    <a:cs typeface="Arial" pitchFamily="34" charset="0"/>
                  </a:rPr>
                  <a:t>Efficiency  (%)</a:t>
                </a:r>
              </a:p>
            </c:rich>
          </c:tx>
          <c:layout>
            <c:manualLayout>
              <c:xMode val="edge"/>
              <c:yMode val="edge"/>
              <c:x val="1.2871858674081443E-2"/>
              <c:y val="0.3763817791568830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00" b="1" i="0" u="none" strike="noStrike" baseline="0">
                <a:solidFill>
                  <a:srgbClr val="FF0000"/>
                </a:solidFill>
                <a:latin typeface="Arial" pitchFamily="34" charset="0"/>
                <a:ea typeface="Calibri"/>
                <a:cs typeface="Arial" pitchFamily="34" charset="0"/>
              </a:defRPr>
            </a:pPr>
            <a:endParaRPr lang="en-US"/>
          </a:p>
        </c:txPr>
        <c:crossAx val="179943680"/>
        <c:crossesAt val="0"/>
        <c:crossBetween val="between"/>
        <c:majorUnit val="5"/>
        <c:minorUnit val="2.5"/>
      </c:valAx>
      <c:valAx>
        <c:axId val="179960064"/>
        <c:scaling>
          <c:orientation val="minMax"/>
        </c:scaling>
        <c:delete val="0"/>
        <c:axPos val="r"/>
        <c:title>
          <c:tx>
            <c:rich>
              <a:bodyPr rot="-5400000" vert="horz"/>
              <a:lstStyle/>
              <a:p>
                <a:pPr>
                  <a:defRPr sz="1200" b="1"/>
                </a:pPr>
                <a:r>
                  <a:rPr lang="en-US" sz="1200" b="1"/>
                  <a:t>Power Loss (W)</a:t>
                </a:r>
              </a:p>
            </c:rich>
          </c:tx>
          <c:layout>
            <c:manualLayout>
              <c:xMode val="edge"/>
              <c:yMode val="edge"/>
              <c:x val="0.95168474305601269"/>
              <c:y val="0.38117714045368295"/>
            </c:manualLayout>
          </c:layout>
          <c:overlay val="0"/>
        </c:title>
        <c:numFmt formatCode="General" sourceLinked="0"/>
        <c:majorTickMark val="out"/>
        <c:minorTickMark val="none"/>
        <c:tickLblPos val="nextTo"/>
        <c:txPr>
          <a:bodyPr/>
          <a:lstStyle/>
          <a:p>
            <a:pPr>
              <a:defRPr sz="1100" b="1">
                <a:solidFill>
                  <a:sysClr val="windowText" lastClr="000000"/>
                </a:solidFill>
              </a:defRPr>
            </a:pPr>
            <a:endParaRPr lang="en-US"/>
          </a:p>
        </c:txPr>
        <c:crossAx val="179962240"/>
        <c:crosses val="max"/>
        <c:crossBetween val="between"/>
      </c:valAx>
      <c:catAx>
        <c:axId val="179962240"/>
        <c:scaling>
          <c:orientation val="minMax"/>
        </c:scaling>
        <c:delete val="1"/>
        <c:axPos val="b"/>
        <c:numFmt formatCode="General" sourceLinked="1"/>
        <c:majorTickMark val="out"/>
        <c:minorTickMark val="none"/>
        <c:tickLblPos val="nextTo"/>
        <c:crossAx val="179960064"/>
        <c:crosses val="autoZero"/>
        <c:auto val="1"/>
        <c:lblAlgn val="ctr"/>
        <c:lblOffset val="100"/>
        <c:noMultiLvlLbl val="0"/>
      </c:catAx>
      <c:spPr>
        <a:noFill/>
        <a:ln w="25400">
          <a:noFill/>
        </a:ln>
      </c:spPr>
    </c:plotArea>
    <c:legend>
      <c:legendPos val="t"/>
      <c:layout>
        <c:manualLayout>
          <c:xMode val="edge"/>
          <c:yMode val="edge"/>
          <c:x val="0.40102557566231317"/>
          <c:y val="1.1892633038167682E-2"/>
          <c:w val="0.59897442433768688"/>
          <c:h val="8.9795049320617604E-2"/>
        </c:manualLayout>
      </c:layout>
      <c:overlay val="0"/>
      <c:spPr>
        <a:solidFill>
          <a:srgbClr val="FFFFFF"/>
        </a:solidFill>
        <a:ln w="25400">
          <a:noFill/>
        </a:ln>
      </c:spPr>
      <c:txPr>
        <a:bodyPr/>
        <a:lstStyle/>
        <a:p>
          <a:pPr>
            <a:defRPr sz="11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noFill/>
    <a:ln w="9525">
      <a:solidFill>
        <a:srgbClr val="808080"/>
      </a:solid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1" i="0" u="none" strike="noStrike" baseline="0">
                <a:solidFill>
                  <a:srgbClr val="000000"/>
                </a:solidFill>
                <a:latin typeface="Arial"/>
                <a:ea typeface="Arial"/>
                <a:cs typeface="Arial"/>
              </a:defRPr>
            </a:pPr>
            <a:r>
              <a:rPr lang="en-US"/>
              <a:t>Open Loop Response</a:t>
            </a:r>
          </a:p>
        </c:rich>
      </c:tx>
      <c:layout>
        <c:manualLayout>
          <c:xMode val="edge"/>
          <c:yMode val="edge"/>
          <c:x val="0.39590479517706217"/>
          <c:y val="3.1496062992125991E-2"/>
        </c:manualLayout>
      </c:layout>
      <c:overlay val="0"/>
      <c:spPr>
        <a:noFill/>
        <a:ln w="25400">
          <a:noFill/>
        </a:ln>
      </c:spPr>
    </c:title>
    <c:autoTitleDeleted val="0"/>
    <c:plotArea>
      <c:layout>
        <c:manualLayout>
          <c:layoutTarget val="inner"/>
          <c:xMode val="edge"/>
          <c:yMode val="edge"/>
          <c:x val="0.11262808019484494"/>
          <c:y val="0.20997429147774274"/>
          <c:w val="0.8003419638088306"/>
          <c:h val="0.60105140935503165"/>
        </c:manualLayout>
      </c:layout>
      <c:scatterChart>
        <c:scatterStyle val="smoothMarker"/>
        <c:varyColors val="0"/>
        <c:ser>
          <c:idx val="0"/>
          <c:order val="0"/>
          <c:tx>
            <c:v>Gain</c:v>
          </c:tx>
          <c:spPr>
            <a:ln w="12700">
              <a:solidFill>
                <a:srgbClr val="000000"/>
              </a:solidFill>
              <a:prstDash val="lgDash"/>
            </a:ln>
          </c:spPr>
          <c:marker>
            <c:symbol val="none"/>
          </c:marker>
          <c:xVal>
            <c:numRef>
              <c:f>'Bode Plots Calculations'!$A$9:$A$676</c:f>
              <c:numCache>
                <c:formatCode>General</c:formatCode>
                <c:ptCount val="668"/>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1500</c:v>
                </c:pt>
                <c:pt idx="29">
                  <c:v>2000</c:v>
                </c:pt>
                <c:pt idx="30">
                  <c:v>2500</c:v>
                </c:pt>
                <c:pt idx="31">
                  <c:v>3000</c:v>
                </c:pt>
                <c:pt idx="32">
                  <c:v>3500</c:v>
                </c:pt>
                <c:pt idx="33">
                  <c:v>4000</c:v>
                </c:pt>
                <c:pt idx="34">
                  <c:v>4500</c:v>
                </c:pt>
                <c:pt idx="35">
                  <c:v>5000</c:v>
                </c:pt>
                <c:pt idx="36">
                  <c:v>5500</c:v>
                </c:pt>
                <c:pt idx="37">
                  <c:v>6000</c:v>
                </c:pt>
                <c:pt idx="38">
                  <c:v>6500</c:v>
                </c:pt>
                <c:pt idx="39">
                  <c:v>7000</c:v>
                </c:pt>
                <c:pt idx="40">
                  <c:v>7500</c:v>
                </c:pt>
                <c:pt idx="41">
                  <c:v>8000</c:v>
                </c:pt>
                <c:pt idx="42">
                  <c:v>8500</c:v>
                </c:pt>
                <c:pt idx="43">
                  <c:v>9000</c:v>
                </c:pt>
                <c:pt idx="44">
                  <c:v>9500</c:v>
                </c:pt>
                <c:pt idx="45">
                  <c:v>10000</c:v>
                </c:pt>
                <c:pt idx="46">
                  <c:v>10500</c:v>
                </c:pt>
                <c:pt idx="47">
                  <c:v>11000</c:v>
                </c:pt>
                <c:pt idx="48">
                  <c:v>11500</c:v>
                </c:pt>
                <c:pt idx="49">
                  <c:v>12000</c:v>
                </c:pt>
                <c:pt idx="50">
                  <c:v>12500</c:v>
                </c:pt>
                <c:pt idx="51">
                  <c:v>13000</c:v>
                </c:pt>
                <c:pt idx="52">
                  <c:v>13500</c:v>
                </c:pt>
                <c:pt idx="53">
                  <c:v>14000</c:v>
                </c:pt>
                <c:pt idx="54">
                  <c:v>14500</c:v>
                </c:pt>
                <c:pt idx="55">
                  <c:v>15000</c:v>
                </c:pt>
                <c:pt idx="56">
                  <c:v>15500</c:v>
                </c:pt>
                <c:pt idx="57">
                  <c:v>16000</c:v>
                </c:pt>
                <c:pt idx="58">
                  <c:v>16500</c:v>
                </c:pt>
                <c:pt idx="59">
                  <c:v>17000</c:v>
                </c:pt>
                <c:pt idx="60">
                  <c:v>17500</c:v>
                </c:pt>
                <c:pt idx="61">
                  <c:v>18000</c:v>
                </c:pt>
                <c:pt idx="62">
                  <c:v>18500</c:v>
                </c:pt>
                <c:pt idx="63">
                  <c:v>19000</c:v>
                </c:pt>
                <c:pt idx="64">
                  <c:v>19500</c:v>
                </c:pt>
                <c:pt idx="65">
                  <c:v>20000</c:v>
                </c:pt>
                <c:pt idx="66">
                  <c:v>20500</c:v>
                </c:pt>
                <c:pt idx="67">
                  <c:v>21000</c:v>
                </c:pt>
                <c:pt idx="68">
                  <c:v>21500</c:v>
                </c:pt>
                <c:pt idx="69">
                  <c:v>22000</c:v>
                </c:pt>
                <c:pt idx="70">
                  <c:v>22500</c:v>
                </c:pt>
                <c:pt idx="71">
                  <c:v>23000</c:v>
                </c:pt>
                <c:pt idx="72">
                  <c:v>23500</c:v>
                </c:pt>
                <c:pt idx="73">
                  <c:v>24000</c:v>
                </c:pt>
                <c:pt idx="74">
                  <c:v>24500</c:v>
                </c:pt>
                <c:pt idx="75">
                  <c:v>25000</c:v>
                </c:pt>
                <c:pt idx="76">
                  <c:v>25500</c:v>
                </c:pt>
                <c:pt idx="77">
                  <c:v>26000</c:v>
                </c:pt>
                <c:pt idx="78">
                  <c:v>26500</c:v>
                </c:pt>
                <c:pt idx="79">
                  <c:v>27000</c:v>
                </c:pt>
                <c:pt idx="80">
                  <c:v>27500</c:v>
                </c:pt>
                <c:pt idx="81">
                  <c:v>28000</c:v>
                </c:pt>
                <c:pt idx="82">
                  <c:v>28500</c:v>
                </c:pt>
                <c:pt idx="83">
                  <c:v>29000</c:v>
                </c:pt>
                <c:pt idx="84">
                  <c:v>29500</c:v>
                </c:pt>
                <c:pt idx="85">
                  <c:v>30000</c:v>
                </c:pt>
                <c:pt idx="86">
                  <c:v>30500</c:v>
                </c:pt>
                <c:pt idx="87">
                  <c:v>31000</c:v>
                </c:pt>
                <c:pt idx="88">
                  <c:v>31500</c:v>
                </c:pt>
                <c:pt idx="89">
                  <c:v>32000</c:v>
                </c:pt>
                <c:pt idx="90">
                  <c:v>32500</c:v>
                </c:pt>
                <c:pt idx="91">
                  <c:v>33000</c:v>
                </c:pt>
                <c:pt idx="92">
                  <c:v>33500</c:v>
                </c:pt>
                <c:pt idx="93">
                  <c:v>34000</c:v>
                </c:pt>
                <c:pt idx="94">
                  <c:v>34500</c:v>
                </c:pt>
                <c:pt idx="95">
                  <c:v>35000</c:v>
                </c:pt>
                <c:pt idx="96">
                  <c:v>35500</c:v>
                </c:pt>
                <c:pt idx="97">
                  <c:v>36000</c:v>
                </c:pt>
                <c:pt idx="98">
                  <c:v>36500</c:v>
                </c:pt>
                <c:pt idx="99">
                  <c:v>37000</c:v>
                </c:pt>
                <c:pt idx="100">
                  <c:v>37500</c:v>
                </c:pt>
                <c:pt idx="101">
                  <c:v>38000</c:v>
                </c:pt>
                <c:pt idx="102">
                  <c:v>38500</c:v>
                </c:pt>
                <c:pt idx="103">
                  <c:v>39000</c:v>
                </c:pt>
                <c:pt idx="104">
                  <c:v>39500</c:v>
                </c:pt>
                <c:pt idx="105">
                  <c:v>40000</c:v>
                </c:pt>
                <c:pt idx="106">
                  <c:v>40500</c:v>
                </c:pt>
                <c:pt idx="107">
                  <c:v>41000</c:v>
                </c:pt>
                <c:pt idx="108">
                  <c:v>41500</c:v>
                </c:pt>
                <c:pt idx="109">
                  <c:v>42000</c:v>
                </c:pt>
                <c:pt idx="110">
                  <c:v>42500</c:v>
                </c:pt>
                <c:pt idx="111">
                  <c:v>43000</c:v>
                </c:pt>
                <c:pt idx="112">
                  <c:v>43500</c:v>
                </c:pt>
                <c:pt idx="113">
                  <c:v>44000</c:v>
                </c:pt>
                <c:pt idx="114">
                  <c:v>44500</c:v>
                </c:pt>
                <c:pt idx="115">
                  <c:v>45000</c:v>
                </c:pt>
                <c:pt idx="116">
                  <c:v>45500</c:v>
                </c:pt>
                <c:pt idx="117">
                  <c:v>46000</c:v>
                </c:pt>
                <c:pt idx="118">
                  <c:v>46500</c:v>
                </c:pt>
                <c:pt idx="119">
                  <c:v>47000</c:v>
                </c:pt>
                <c:pt idx="120">
                  <c:v>47500</c:v>
                </c:pt>
                <c:pt idx="121">
                  <c:v>48000</c:v>
                </c:pt>
                <c:pt idx="122">
                  <c:v>48500</c:v>
                </c:pt>
                <c:pt idx="123">
                  <c:v>49000</c:v>
                </c:pt>
                <c:pt idx="124">
                  <c:v>49500</c:v>
                </c:pt>
                <c:pt idx="125">
                  <c:v>50000</c:v>
                </c:pt>
                <c:pt idx="126">
                  <c:v>50500</c:v>
                </c:pt>
                <c:pt idx="127">
                  <c:v>51000</c:v>
                </c:pt>
                <c:pt idx="128">
                  <c:v>51500</c:v>
                </c:pt>
                <c:pt idx="129">
                  <c:v>52000</c:v>
                </c:pt>
                <c:pt idx="130">
                  <c:v>52500</c:v>
                </c:pt>
                <c:pt idx="131">
                  <c:v>53000</c:v>
                </c:pt>
                <c:pt idx="132">
                  <c:v>53500</c:v>
                </c:pt>
                <c:pt idx="133">
                  <c:v>54000</c:v>
                </c:pt>
                <c:pt idx="134">
                  <c:v>54500</c:v>
                </c:pt>
                <c:pt idx="135">
                  <c:v>55000</c:v>
                </c:pt>
                <c:pt idx="136">
                  <c:v>55500</c:v>
                </c:pt>
                <c:pt idx="137">
                  <c:v>56000</c:v>
                </c:pt>
                <c:pt idx="138">
                  <c:v>56500</c:v>
                </c:pt>
                <c:pt idx="139">
                  <c:v>57000</c:v>
                </c:pt>
                <c:pt idx="140">
                  <c:v>57500</c:v>
                </c:pt>
                <c:pt idx="141">
                  <c:v>58000</c:v>
                </c:pt>
                <c:pt idx="142">
                  <c:v>58500</c:v>
                </c:pt>
                <c:pt idx="143">
                  <c:v>59000</c:v>
                </c:pt>
                <c:pt idx="144">
                  <c:v>59500</c:v>
                </c:pt>
                <c:pt idx="145">
                  <c:v>60000</c:v>
                </c:pt>
                <c:pt idx="146">
                  <c:v>60500</c:v>
                </c:pt>
                <c:pt idx="147">
                  <c:v>61000</c:v>
                </c:pt>
                <c:pt idx="148">
                  <c:v>61500</c:v>
                </c:pt>
                <c:pt idx="149">
                  <c:v>62000</c:v>
                </c:pt>
                <c:pt idx="150">
                  <c:v>62500</c:v>
                </c:pt>
                <c:pt idx="151">
                  <c:v>63000</c:v>
                </c:pt>
                <c:pt idx="152">
                  <c:v>63500</c:v>
                </c:pt>
                <c:pt idx="153">
                  <c:v>64000</c:v>
                </c:pt>
                <c:pt idx="154">
                  <c:v>64500</c:v>
                </c:pt>
                <c:pt idx="155">
                  <c:v>65000</c:v>
                </c:pt>
                <c:pt idx="156">
                  <c:v>65500</c:v>
                </c:pt>
                <c:pt idx="157">
                  <c:v>66000</c:v>
                </c:pt>
                <c:pt idx="158">
                  <c:v>66500</c:v>
                </c:pt>
                <c:pt idx="159">
                  <c:v>67000</c:v>
                </c:pt>
                <c:pt idx="160">
                  <c:v>67500</c:v>
                </c:pt>
                <c:pt idx="161">
                  <c:v>68000</c:v>
                </c:pt>
                <c:pt idx="162">
                  <c:v>68500</c:v>
                </c:pt>
                <c:pt idx="163">
                  <c:v>69000</c:v>
                </c:pt>
                <c:pt idx="164">
                  <c:v>69500</c:v>
                </c:pt>
                <c:pt idx="165">
                  <c:v>70000</c:v>
                </c:pt>
                <c:pt idx="166">
                  <c:v>70500</c:v>
                </c:pt>
                <c:pt idx="167">
                  <c:v>71000</c:v>
                </c:pt>
                <c:pt idx="168">
                  <c:v>71500</c:v>
                </c:pt>
                <c:pt idx="169">
                  <c:v>72000</c:v>
                </c:pt>
                <c:pt idx="170">
                  <c:v>72500</c:v>
                </c:pt>
                <c:pt idx="171">
                  <c:v>73000</c:v>
                </c:pt>
                <c:pt idx="172">
                  <c:v>73500</c:v>
                </c:pt>
                <c:pt idx="173">
                  <c:v>74000</c:v>
                </c:pt>
                <c:pt idx="174">
                  <c:v>74500</c:v>
                </c:pt>
                <c:pt idx="175">
                  <c:v>75000</c:v>
                </c:pt>
                <c:pt idx="176">
                  <c:v>75500</c:v>
                </c:pt>
                <c:pt idx="177">
                  <c:v>76000</c:v>
                </c:pt>
                <c:pt idx="178">
                  <c:v>76500</c:v>
                </c:pt>
                <c:pt idx="179">
                  <c:v>77000</c:v>
                </c:pt>
                <c:pt idx="180">
                  <c:v>77500</c:v>
                </c:pt>
                <c:pt idx="181">
                  <c:v>78000</c:v>
                </c:pt>
                <c:pt idx="182">
                  <c:v>78500</c:v>
                </c:pt>
                <c:pt idx="183">
                  <c:v>79000</c:v>
                </c:pt>
                <c:pt idx="184">
                  <c:v>79500</c:v>
                </c:pt>
                <c:pt idx="185">
                  <c:v>80000</c:v>
                </c:pt>
                <c:pt idx="186">
                  <c:v>80500</c:v>
                </c:pt>
                <c:pt idx="187">
                  <c:v>81000</c:v>
                </c:pt>
                <c:pt idx="188">
                  <c:v>81500</c:v>
                </c:pt>
                <c:pt idx="189">
                  <c:v>82000</c:v>
                </c:pt>
                <c:pt idx="190">
                  <c:v>82500</c:v>
                </c:pt>
                <c:pt idx="191">
                  <c:v>83000</c:v>
                </c:pt>
                <c:pt idx="192">
                  <c:v>83500</c:v>
                </c:pt>
                <c:pt idx="193">
                  <c:v>84000</c:v>
                </c:pt>
                <c:pt idx="194">
                  <c:v>84500</c:v>
                </c:pt>
                <c:pt idx="195">
                  <c:v>85000</c:v>
                </c:pt>
                <c:pt idx="196">
                  <c:v>85500</c:v>
                </c:pt>
                <c:pt idx="197">
                  <c:v>86000</c:v>
                </c:pt>
                <c:pt idx="198">
                  <c:v>86500</c:v>
                </c:pt>
                <c:pt idx="199">
                  <c:v>87000</c:v>
                </c:pt>
                <c:pt idx="200">
                  <c:v>87500</c:v>
                </c:pt>
                <c:pt idx="201">
                  <c:v>88000</c:v>
                </c:pt>
                <c:pt idx="202">
                  <c:v>88500</c:v>
                </c:pt>
                <c:pt idx="203">
                  <c:v>89000</c:v>
                </c:pt>
                <c:pt idx="204">
                  <c:v>89500</c:v>
                </c:pt>
                <c:pt idx="205">
                  <c:v>90000</c:v>
                </c:pt>
                <c:pt idx="206">
                  <c:v>90500</c:v>
                </c:pt>
                <c:pt idx="207">
                  <c:v>91000</c:v>
                </c:pt>
                <c:pt idx="208">
                  <c:v>91500</c:v>
                </c:pt>
                <c:pt idx="209">
                  <c:v>92000</c:v>
                </c:pt>
                <c:pt idx="210">
                  <c:v>92500</c:v>
                </c:pt>
                <c:pt idx="211">
                  <c:v>93000</c:v>
                </c:pt>
                <c:pt idx="212">
                  <c:v>93500</c:v>
                </c:pt>
                <c:pt idx="213">
                  <c:v>94000</c:v>
                </c:pt>
                <c:pt idx="214">
                  <c:v>94500</c:v>
                </c:pt>
                <c:pt idx="215">
                  <c:v>95000</c:v>
                </c:pt>
                <c:pt idx="216">
                  <c:v>95500</c:v>
                </c:pt>
                <c:pt idx="217">
                  <c:v>96000</c:v>
                </c:pt>
                <c:pt idx="218">
                  <c:v>96500</c:v>
                </c:pt>
                <c:pt idx="219">
                  <c:v>97000</c:v>
                </c:pt>
                <c:pt idx="220">
                  <c:v>97500</c:v>
                </c:pt>
                <c:pt idx="221">
                  <c:v>98000</c:v>
                </c:pt>
                <c:pt idx="222">
                  <c:v>98500</c:v>
                </c:pt>
                <c:pt idx="223">
                  <c:v>99000</c:v>
                </c:pt>
                <c:pt idx="224">
                  <c:v>99500</c:v>
                </c:pt>
                <c:pt idx="225">
                  <c:v>100000</c:v>
                </c:pt>
                <c:pt idx="226">
                  <c:v>105000</c:v>
                </c:pt>
                <c:pt idx="227">
                  <c:v>110000</c:v>
                </c:pt>
                <c:pt idx="228">
                  <c:v>115000</c:v>
                </c:pt>
                <c:pt idx="229">
                  <c:v>120000</c:v>
                </c:pt>
                <c:pt idx="230">
                  <c:v>125000</c:v>
                </c:pt>
                <c:pt idx="231">
                  <c:v>130000</c:v>
                </c:pt>
                <c:pt idx="232">
                  <c:v>135000</c:v>
                </c:pt>
                <c:pt idx="233">
                  <c:v>140000</c:v>
                </c:pt>
                <c:pt idx="234">
                  <c:v>145000</c:v>
                </c:pt>
                <c:pt idx="235">
                  <c:v>150000</c:v>
                </c:pt>
                <c:pt idx="236">
                  <c:v>155000</c:v>
                </c:pt>
                <c:pt idx="237">
                  <c:v>160000</c:v>
                </c:pt>
                <c:pt idx="238">
                  <c:v>165000</c:v>
                </c:pt>
                <c:pt idx="239">
                  <c:v>170000</c:v>
                </c:pt>
                <c:pt idx="240">
                  <c:v>175000</c:v>
                </c:pt>
                <c:pt idx="241">
                  <c:v>180000</c:v>
                </c:pt>
                <c:pt idx="242">
                  <c:v>185000</c:v>
                </c:pt>
                <c:pt idx="243">
                  <c:v>190000</c:v>
                </c:pt>
                <c:pt idx="244">
                  <c:v>195000</c:v>
                </c:pt>
                <c:pt idx="245">
                  <c:v>200000</c:v>
                </c:pt>
                <c:pt idx="246">
                  <c:v>205000</c:v>
                </c:pt>
                <c:pt idx="247">
                  <c:v>210000</c:v>
                </c:pt>
                <c:pt idx="248">
                  <c:v>215000</c:v>
                </c:pt>
                <c:pt idx="249">
                  <c:v>220000</c:v>
                </c:pt>
                <c:pt idx="250">
                  <c:v>225000</c:v>
                </c:pt>
                <c:pt idx="251">
                  <c:v>230000</c:v>
                </c:pt>
                <c:pt idx="252">
                  <c:v>235000</c:v>
                </c:pt>
                <c:pt idx="253">
                  <c:v>240000</c:v>
                </c:pt>
                <c:pt idx="254">
                  <c:v>245000</c:v>
                </c:pt>
                <c:pt idx="255">
                  <c:v>250000</c:v>
                </c:pt>
                <c:pt idx="256">
                  <c:v>255000</c:v>
                </c:pt>
                <c:pt idx="257">
                  <c:v>260000</c:v>
                </c:pt>
                <c:pt idx="258">
                  <c:v>265000</c:v>
                </c:pt>
                <c:pt idx="259">
                  <c:v>270000</c:v>
                </c:pt>
                <c:pt idx="260">
                  <c:v>275000</c:v>
                </c:pt>
                <c:pt idx="261">
                  <c:v>280000</c:v>
                </c:pt>
                <c:pt idx="262">
                  <c:v>285000</c:v>
                </c:pt>
                <c:pt idx="263">
                  <c:v>290000</c:v>
                </c:pt>
                <c:pt idx="264">
                  <c:v>295000</c:v>
                </c:pt>
                <c:pt idx="265">
                  <c:v>300000</c:v>
                </c:pt>
                <c:pt idx="266">
                  <c:v>305000</c:v>
                </c:pt>
                <c:pt idx="267">
                  <c:v>310000</c:v>
                </c:pt>
                <c:pt idx="268">
                  <c:v>315000</c:v>
                </c:pt>
                <c:pt idx="269">
                  <c:v>320000</c:v>
                </c:pt>
                <c:pt idx="270">
                  <c:v>325000</c:v>
                </c:pt>
                <c:pt idx="271">
                  <c:v>330000</c:v>
                </c:pt>
                <c:pt idx="272">
                  <c:v>335000</c:v>
                </c:pt>
                <c:pt idx="273">
                  <c:v>340000</c:v>
                </c:pt>
                <c:pt idx="274">
                  <c:v>345000</c:v>
                </c:pt>
                <c:pt idx="275">
                  <c:v>350000</c:v>
                </c:pt>
                <c:pt idx="276">
                  <c:v>355000</c:v>
                </c:pt>
                <c:pt idx="277">
                  <c:v>360000</c:v>
                </c:pt>
                <c:pt idx="278">
                  <c:v>365000</c:v>
                </c:pt>
                <c:pt idx="279">
                  <c:v>370000</c:v>
                </c:pt>
                <c:pt idx="280">
                  <c:v>375000</c:v>
                </c:pt>
                <c:pt idx="281">
                  <c:v>380000</c:v>
                </c:pt>
                <c:pt idx="282">
                  <c:v>385000</c:v>
                </c:pt>
                <c:pt idx="283">
                  <c:v>390000</c:v>
                </c:pt>
                <c:pt idx="284">
                  <c:v>395000</c:v>
                </c:pt>
                <c:pt idx="285">
                  <c:v>400000</c:v>
                </c:pt>
                <c:pt idx="286">
                  <c:v>405000</c:v>
                </c:pt>
                <c:pt idx="287">
                  <c:v>410000</c:v>
                </c:pt>
                <c:pt idx="288">
                  <c:v>415000</c:v>
                </c:pt>
                <c:pt idx="289">
                  <c:v>420000</c:v>
                </c:pt>
                <c:pt idx="290">
                  <c:v>425000</c:v>
                </c:pt>
                <c:pt idx="291">
                  <c:v>430000</c:v>
                </c:pt>
                <c:pt idx="292">
                  <c:v>435000</c:v>
                </c:pt>
                <c:pt idx="293">
                  <c:v>440000</c:v>
                </c:pt>
                <c:pt idx="294">
                  <c:v>445000</c:v>
                </c:pt>
                <c:pt idx="295">
                  <c:v>450000</c:v>
                </c:pt>
                <c:pt idx="296">
                  <c:v>455000</c:v>
                </c:pt>
                <c:pt idx="297">
                  <c:v>460000</c:v>
                </c:pt>
                <c:pt idx="298">
                  <c:v>465000</c:v>
                </c:pt>
                <c:pt idx="299">
                  <c:v>470000</c:v>
                </c:pt>
                <c:pt idx="300">
                  <c:v>475000</c:v>
                </c:pt>
                <c:pt idx="301">
                  <c:v>480000</c:v>
                </c:pt>
                <c:pt idx="302">
                  <c:v>485000</c:v>
                </c:pt>
                <c:pt idx="303">
                  <c:v>490000</c:v>
                </c:pt>
                <c:pt idx="304">
                  <c:v>495000</c:v>
                </c:pt>
                <c:pt idx="305">
                  <c:v>500000</c:v>
                </c:pt>
                <c:pt idx="306">
                  <c:v>505000</c:v>
                </c:pt>
                <c:pt idx="307">
                  <c:v>510000</c:v>
                </c:pt>
                <c:pt idx="308">
                  <c:v>515000</c:v>
                </c:pt>
                <c:pt idx="309">
                  <c:v>520000</c:v>
                </c:pt>
                <c:pt idx="310">
                  <c:v>525000</c:v>
                </c:pt>
                <c:pt idx="311">
                  <c:v>530000</c:v>
                </c:pt>
                <c:pt idx="312">
                  <c:v>535000</c:v>
                </c:pt>
                <c:pt idx="313">
                  <c:v>540000</c:v>
                </c:pt>
                <c:pt idx="314">
                  <c:v>545000</c:v>
                </c:pt>
                <c:pt idx="315">
                  <c:v>550000</c:v>
                </c:pt>
                <c:pt idx="316">
                  <c:v>555000</c:v>
                </c:pt>
                <c:pt idx="317">
                  <c:v>560000</c:v>
                </c:pt>
                <c:pt idx="318">
                  <c:v>565000</c:v>
                </c:pt>
                <c:pt idx="319">
                  <c:v>570000</c:v>
                </c:pt>
                <c:pt idx="320">
                  <c:v>575000</c:v>
                </c:pt>
                <c:pt idx="321">
                  <c:v>580000</c:v>
                </c:pt>
                <c:pt idx="322">
                  <c:v>585000</c:v>
                </c:pt>
                <c:pt idx="323">
                  <c:v>590000</c:v>
                </c:pt>
                <c:pt idx="324">
                  <c:v>595000</c:v>
                </c:pt>
                <c:pt idx="325">
                  <c:v>600000</c:v>
                </c:pt>
                <c:pt idx="326">
                  <c:v>605000</c:v>
                </c:pt>
                <c:pt idx="327">
                  <c:v>610000</c:v>
                </c:pt>
                <c:pt idx="328">
                  <c:v>615000</c:v>
                </c:pt>
                <c:pt idx="329">
                  <c:v>620000</c:v>
                </c:pt>
                <c:pt idx="330">
                  <c:v>625000</c:v>
                </c:pt>
                <c:pt idx="331">
                  <c:v>630000</c:v>
                </c:pt>
                <c:pt idx="332">
                  <c:v>635000</c:v>
                </c:pt>
                <c:pt idx="333">
                  <c:v>640000</c:v>
                </c:pt>
                <c:pt idx="334">
                  <c:v>645000</c:v>
                </c:pt>
                <c:pt idx="335">
                  <c:v>650000</c:v>
                </c:pt>
                <c:pt idx="336">
                  <c:v>655000</c:v>
                </c:pt>
                <c:pt idx="337">
                  <c:v>660000</c:v>
                </c:pt>
                <c:pt idx="338">
                  <c:v>665000</c:v>
                </c:pt>
                <c:pt idx="339">
                  <c:v>670000</c:v>
                </c:pt>
                <c:pt idx="340">
                  <c:v>675000</c:v>
                </c:pt>
                <c:pt idx="341">
                  <c:v>680000</c:v>
                </c:pt>
                <c:pt idx="342">
                  <c:v>685000</c:v>
                </c:pt>
                <c:pt idx="343">
                  <c:v>690000</c:v>
                </c:pt>
                <c:pt idx="344">
                  <c:v>695000</c:v>
                </c:pt>
                <c:pt idx="345">
                  <c:v>700000</c:v>
                </c:pt>
                <c:pt idx="346">
                  <c:v>705000</c:v>
                </c:pt>
                <c:pt idx="347">
                  <c:v>710000</c:v>
                </c:pt>
                <c:pt idx="348">
                  <c:v>715000</c:v>
                </c:pt>
                <c:pt idx="349">
                  <c:v>720000</c:v>
                </c:pt>
                <c:pt idx="350">
                  <c:v>725000</c:v>
                </c:pt>
                <c:pt idx="351">
                  <c:v>730000</c:v>
                </c:pt>
                <c:pt idx="352">
                  <c:v>735000</c:v>
                </c:pt>
                <c:pt idx="353">
                  <c:v>740000</c:v>
                </c:pt>
                <c:pt idx="354">
                  <c:v>745000</c:v>
                </c:pt>
                <c:pt idx="355">
                  <c:v>750000</c:v>
                </c:pt>
                <c:pt idx="356">
                  <c:v>755000</c:v>
                </c:pt>
                <c:pt idx="357">
                  <c:v>760000</c:v>
                </c:pt>
                <c:pt idx="358">
                  <c:v>765000</c:v>
                </c:pt>
                <c:pt idx="359">
                  <c:v>770000</c:v>
                </c:pt>
                <c:pt idx="360">
                  <c:v>775000</c:v>
                </c:pt>
                <c:pt idx="361">
                  <c:v>780000</c:v>
                </c:pt>
                <c:pt idx="362">
                  <c:v>785000</c:v>
                </c:pt>
                <c:pt idx="363">
                  <c:v>790000</c:v>
                </c:pt>
                <c:pt idx="364">
                  <c:v>795000</c:v>
                </c:pt>
                <c:pt idx="365">
                  <c:v>800000</c:v>
                </c:pt>
                <c:pt idx="366">
                  <c:v>805000</c:v>
                </c:pt>
                <c:pt idx="367">
                  <c:v>810000</c:v>
                </c:pt>
                <c:pt idx="368">
                  <c:v>815000</c:v>
                </c:pt>
                <c:pt idx="369">
                  <c:v>820000</c:v>
                </c:pt>
                <c:pt idx="370">
                  <c:v>825000</c:v>
                </c:pt>
                <c:pt idx="371">
                  <c:v>830000</c:v>
                </c:pt>
                <c:pt idx="372">
                  <c:v>835000</c:v>
                </c:pt>
                <c:pt idx="373">
                  <c:v>840000</c:v>
                </c:pt>
                <c:pt idx="374">
                  <c:v>845000</c:v>
                </c:pt>
                <c:pt idx="375">
                  <c:v>850000</c:v>
                </c:pt>
                <c:pt idx="376">
                  <c:v>855000</c:v>
                </c:pt>
                <c:pt idx="377">
                  <c:v>860000</c:v>
                </c:pt>
                <c:pt idx="378">
                  <c:v>865000</c:v>
                </c:pt>
                <c:pt idx="379">
                  <c:v>870000</c:v>
                </c:pt>
                <c:pt idx="380">
                  <c:v>875000</c:v>
                </c:pt>
                <c:pt idx="381">
                  <c:v>880000</c:v>
                </c:pt>
                <c:pt idx="382">
                  <c:v>885000</c:v>
                </c:pt>
                <c:pt idx="383">
                  <c:v>890000</c:v>
                </c:pt>
                <c:pt idx="384">
                  <c:v>895000</c:v>
                </c:pt>
                <c:pt idx="385">
                  <c:v>900000</c:v>
                </c:pt>
                <c:pt idx="386">
                  <c:v>905000</c:v>
                </c:pt>
                <c:pt idx="387">
                  <c:v>910000</c:v>
                </c:pt>
                <c:pt idx="388">
                  <c:v>915000</c:v>
                </c:pt>
                <c:pt idx="389">
                  <c:v>920000</c:v>
                </c:pt>
                <c:pt idx="390">
                  <c:v>925000</c:v>
                </c:pt>
                <c:pt idx="391">
                  <c:v>930000</c:v>
                </c:pt>
                <c:pt idx="392">
                  <c:v>935000</c:v>
                </c:pt>
                <c:pt idx="393">
                  <c:v>940000</c:v>
                </c:pt>
                <c:pt idx="394">
                  <c:v>945000</c:v>
                </c:pt>
                <c:pt idx="395">
                  <c:v>950000</c:v>
                </c:pt>
                <c:pt idx="396">
                  <c:v>955000</c:v>
                </c:pt>
                <c:pt idx="397">
                  <c:v>960000</c:v>
                </c:pt>
                <c:pt idx="398">
                  <c:v>965000</c:v>
                </c:pt>
                <c:pt idx="399">
                  <c:v>970000</c:v>
                </c:pt>
                <c:pt idx="400">
                  <c:v>975000</c:v>
                </c:pt>
                <c:pt idx="401">
                  <c:v>980000</c:v>
                </c:pt>
                <c:pt idx="402">
                  <c:v>985000</c:v>
                </c:pt>
                <c:pt idx="403">
                  <c:v>990000</c:v>
                </c:pt>
                <c:pt idx="404">
                  <c:v>995000</c:v>
                </c:pt>
                <c:pt idx="405">
                  <c:v>1000000</c:v>
                </c:pt>
                <c:pt idx="406">
                  <c:v>1005000</c:v>
                </c:pt>
                <c:pt idx="407">
                  <c:v>1010000</c:v>
                </c:pt>
                <c:pt idx="408">
                  <c:v>1015000</c:v>
                </c:pt>
                <c:pt idx="409">
                  <c:v>1020000</c:v>
                </c:pt>
                <c:pt idx="410">
                  <c:v>1025000</c:v>
                </c:pt>
                <c:pt idx="411">
                  <c:v>1030000</c:v>
                </c:pt>
                <c:pt idx="412">
                  <c:v>1035000</c:v>
                </c:pt>
                <c:pt idx="413">
                  <c:v>1040000</c:v>
                </c:pt>
                <c:pt idx="414">
                  <c:v>1045000</c:v>
                </c:pt>
                <c:pt idx="415">
                  <c:v>1050000</c:v>
                </c:pt>
                <c:pt idx="416">
                  <c:v>1055000</c:v>
                </c:pt>
                <c:pt idx="417">
                  <c:v>1060000</c:v>
                </c:pt>
                <c:pt idx="418">
                  <c:v>1065000</c:v>
                </c:pt>
                <c:pt idx="419">
                  <c:v>1070000</c:v>
                </c:pt>
                <c:pt idx="420">
                  <c:v>1075000</c:v>
                </c:pt>
                <c:pt idx="421">
                  <c:v>1080000</c:v>
                </c:pt>
                <c:pt idx="422">
                  <c:v>1085000</c:v>
                </c:pt>
                <c:pt idx="423">
                  <c:v>1090000</c:v>
                </c:pt>
                <c:pt idx="424">
                  <c:v>1095000</c:v>
                </c:pt>
                <c:pt idx="425">
                  <c:v>1100000</c:v>
                </c:pt>
                <c:pt idx="426">
                  <c:v>1105000</c:v>
                </c:pt>
                <c:pt idx="427">
                  <c:v>1110000</c:v>
                </c:pt>
                <c:pt idx="428">
                  <c:v>1115000</c:v>
                </c:pt>
                <c:pt idx="429">
                  <c:v>1120000</c:v>
                </c:pt>
                <c:pt idx="430">
                  <c:v>1125000</c:v>
                </c:pt>
                <c:pt idx="431">
                  <c:v>1130000</c:v>
                </c:pt>
                <c:pt idx="432">
                  <c:v>1135000</c:v>
                </c:pt>
                <c:pt idx="433">
                  <c:v>1140000</c:v>
                </c:pt>
                <c:pt idx="434">
                  <c:v>1145000</c:v>
                </c:pt>
                <c:pt idx="435">
                  <c:v>1150000</c:v>
                </c:pt>
                <c:pt idx="436">
                  <c:v>1155000</c:v>
                </c:pt>
                <c:pt idx="437">
                  <c:v>1160000</c:v>
                </c:pt>
                <c:pt idx="438">
                  <c:v>1165000</c:v>
                </c:pt>
                <c:pt idx="439">
                  <c:v>1170000</c:v>
                </c:pt>
                <c:pt idx="440">
                  <c:v>1175000</c:v>
                </c:pt>
                <c:pt idx="441">
                  <c:v>1180000</c:v>
                </c:pt>
                <c:pt idx="442">
                  <c:v>1185000</c:v>
                </c:pt>
                <c:pt idx="443">
                  <c:v>1190000</c:v>
                </c:pt>
                <c:pt idx="444">
                  <c:v>1195000</c:v>
                </c:pt>
                <c:pt idx="445">
                  <c:v>1200000</c:v>
                </c:pt>
                <c:pt idx="446">
                  <c:v>1205000</c:v>
                </c:pt>
                <c:pt idx="447">
                  <c:v>1210000</c:v>
                </c:pt>
                <c:pt idx="448">
                  <c:v>1215000</c:v>
                </c:pt>
                <c:pt idx="449">
                  <c:v>1220000</c:v>
                </c:pt>
                <c:pt idx="450">
                  <c:v>1225000</c:v>
                </c:pt>
                <c:pt idx="451">
                  <c:v>1230000</c:v>
                </c:pt>
                <c:pt idx="452">
                  <c:v>1235000</c:v>
                </c:pt>
                <c:pt idx="453">
                  <c:v>1240000</c:v>
                </c:pt>
                <c:pt idx="454">
                  <c:v>1245000</c:v>
                </c:pt>
                <c:pt idx="455">
                  <c:v>1250000</c:v>
                </c:pt>
                <c:pt idx="456">
                  <c:v>1255000</c:v>
                </c:pt>
                <c:pt idx="457">
                  <c:v>1260000</c:v>
                </c:pt>
                <c:pt idx="458">
                  <c:v>1265000</c:v>
                </c:pt>
                <c:pt idx="459">
                  <c:v>1270000</c:v>
                </c:pt>
                <c:pt idx="460">
                  <c:v>1275000</c:v>
                </c:pt>
                <c:pt idx="461">
                  <c:v>1280000</c:v>
                </c:pt>
                <c:pt idx="462">
                  <c:v>1285000</c:v>
                </c:pt>
                <c:pt idx="463">
                  <c:v>1290000</c:v>
                </c:pt>
                <c:pt idx="464">
                  <c:v>1295000</c:v>
                </c:pt>
                <c:pt idx="465">
                  <c:v>1300000</c:v>
                </c:pt>
                <c:pt idx="466">
                  <c:v>1305000</c:v>
                </c:pt>
                <c:pt idx="467">
                  <c:v>1310000</c:v>
                </c:pt>
                <c:pt idx="468">
                  <c:v>1315000</c:v>
                </c:pt>
                <c:pt idx="469">
                  <c:v>1320000</c:v>
                </c:pt>
                <c:pt idx="470">
                  <c:v>1325000</c:v>
                </c:pt>
                <c:pt idx="471">
                  <c:v>1330000</c:v>
                </c:pt>
                <c:pt idx="472">
                  <c:v>1335000</c:v>
                </c:pt>
                <c:pt idx="473">
                  <c:v>1340000</c:v>
                </c:pt>
                <c:pt idx="474">
                  <c:v>1345000</c:v>
                </c:pt>
                <c:pt idx="475">
                  <c:v>1350000</c:v>
                </c:pt>
                <c:pt idx="476">
                  <c:v>1355000</c:v>
                </c:pt>
                <c:pt idx="477">
                  <c:v>1360000</c:v>
                </c:pt>
                <c:pt idx="478">
                  <c:v>1365000</c:v>
                </c:pt>
                <c:pt idx="479">
                  <c:v>1370000</c:v>
                </c:pt>
                <c:pt idx="480">
                  <c:v>1375000</c:v>
                </c:pt>
                <c:pt idx="481">
                  <c:v>1380000</c:v>
                </c:pt>
                <c:pt idx="482">
                  <c:v>1385000</c:v>
                </c:pt>
                <c:pt idx="483">
                  <c:v>1390000</c:v>
                </c:pt>
                <c:pt idx="484">
                  <c:v>1395000</c:v>
                </c:pt>
                <c:pt idx="485">
                  <c:v>1400000</c:v>
                </c:pt>
                <c:pt idx="486">
                  <c:v>1405000</c:v>
                </c:pt>
                <c:pt idx="487">
                  <c:v>1410000</c:v>
                </c:pt>
                <c:pt idx="488">
                  <c:v>1415000</c:v>
                </c:pt>
                <c:pt idx="489">
                  <c:v>1420000</c:v>
                </c:pt>
                <c:pt idx="490">
                  <c:v>1425000</c:v>
                </c:pt>
                <c:pt idx="491">
                  <c:v>1430000</c:v>
                </c:pt>
                <c:pt idx="492">
                  <c:v>1435000</c:v>
                </c:pt>
                <c:pt idx="493">
                  <c:v>1440000</c:v>
                </c:pt>
                <c:pt idx="494">
                  <c:v>1445000</c:v>
                </c:pt>
                <c:pt idx="495">
                  <c:v>1450000</c:v>
                </c:pt>
                <c:pt idx="496">
                  <c:v>1455000</c:v>
                </c:pt>
                <c:pt idx="497">
                  <c:v>1460000</c:v>
                </c:pt>
                <c:pt idx="498">
                  <c:v>1465000</c:v>
                </c:pt>
                <c:pt idx="499">
                  <c:v>1470000</c:v>
                </c:pt>
                <c:pt idx="500">
                  <c:v>1475000</c:v>
                </c:pt>
                <c:pt idx="501">
                  <c:v>1480000</c:v>
                </c:pt>
                <c:pt idx="502">
                  <c:v>1485000</c:v>
                </c:pt>
                <c:pt idx="503">
                  <c:v>1490000</c:v>
                </c:pt>
                <c:pt idx="504">
                  <c:v>1495000</c:v>
                </c:pt>
                <c:pt idx="505">
                  <c:v>1500000</c:v>
                </c:pt>
                <c:pt idx="506">
                  <c:v>1505000</c:v>
                </c:pt>
                <c:pt idx="507">
                  <c:v>1510000</c:v>
                </c:pt>
                <c:pt idx="508">
                  <c:v>1515000</c:v>
                </c:pt>
                <c:pt idx="509">
                  <c:v>1520000</c:v>
                </c:pt>
                <c:pt idx="510">
                  <c:v>1525000</c:v>
                </c:pt>
                <c:pt idx="511">
                  <c:v>1530000</c:v>
                </c:pt>
                <c:pt idx="512">
                  <c:v>1535000</c:v>
                </c:pt>
                <c:pt idx="513">
                  <c:v>1540000</c:v>
                </c:pt>
                <c:pt idx="514">
                  <c:v>1545000</c:v>
                </c:pt>
                <c:pt idx="515">
                  <c:v>1550000</c:v>
                </c:pt>
                <c:pt idx="516">
                  <c:v>1555000</c:v>
                </c:pt>
                <c:pt idx="517">
                  <c:v>1560000</c:v>
                </c:pt>
                <c:pt idx="518">
                  <c:v>1565000</c:v>
                </c:pt>
                <c:pt idx="519">
                  <c:v>1570000</c:v>
                </c:pt>
                <c:pt idx="520">
                  <c:v>1575000</c:v>
                </c:pt>
                <c:pt idx="521">
                  <c:v>1580000</c:v>
                </c:pt>
                <c:pt idx="522">
                  <c:v>1585000</c:v>
                </c:pt>
                <c:pt idx="523">
                  <c:v>1590000</c:v>
                </c:pt>
                <c:pt idx="524">
                  <c:v>1595000</c:v>
                </c:pt>
                <c:pt idx="525">
                  <c:v>1600000</c:v>
                </c:pt>
                <c:pt idx="526">
                  <c:v>1605000</c:v>
                </c:pt>
                <c:pt idx="527">
                  <c:v>1610000</c:v>
                </c:pt>
                <c:pt idx="528">
                  <c:v>1615000</c:v>
                </c:pt>
                <c:pt idx="529">
                  <c:v>1620000</c:v>
                </c:pt>
                <c:pt idx="530">
                  <c:v>1625000</c:v>
                </c:pt>
                <c:pt idx="531">
                  <c:v>1630000</c:v>
                </c:pt>
                <c:pt idx="532">
                  <c:v>1635000</c:v>
                </c:pt>
                <c:pt idx="533">
                  <c:v>1640000</c:v>
                </c:pt>
                <c:pt idx="534">
                  <c:v>1645000</c:v>
                </c:pt>
                <c:pt idx="535">
                  <c:v>1650000</c:v>
                </c:pt>
                <c:pt idx="536">
                  <c:v>1655000</c:v>
                </c:pt>
                <c:pt idx="537">
                  <c:v>1660000</c:v>
                </c:pt>
                <c:pt idx="538">
                  <c:v>1665000</c:v>
                </c:pt>
                <c:pt idx="539">
                  <c:v>1670000</c:v>
                </c:pt>
                <c:pt idx="540">
                  <c:v>1675000</c:v>
                </c:pt>
                <c:pt idx="541">
                  <c:v>1680000</c:v>
                </c:pt>
                <c:pt idx="542">
                  <c:v>1685000</c:v>
                </c:pt>
                <c:pt idx="543">
                  <c:v>1690000</c:v>
                </c:pt>
                <c:pt idx="544">
                  <c:v>1695000</c:v>
                </c:pt>
                <c:pt idx="545">
                  <c:v>1700000</c:v>
                </c:pt>
                <c:pt idx="546">
                  <c:v>1705000</c:v>
                </c:pt>
                <c:pt idx="547">
                  <c:v>1710000</c:v>
                </c:pt>
                <c:pt idx="548">
                  <c:v>1715000</c:v>
                </c:pt>
                <c:pt idx="549">
                  <c:v>1720000</c:v>
                </c:pt>
                <c:pt idx="550">
                  <c:v>1725000</c:v>
                </c:pt>
                <c:pt idx="551">
                  <c:v>1730000</c:v>
                </c:pt>
                <c:pt idx="552">
                  <c:v>1735000</c:v>
                </c:pt>
                <c:pt idx="553">
                  <c:v>1740000</c:v>
                </c:pt>
                <c:pt idx="554">
                  <c:v>1745000</c:v>
                </c:pt>
                <c:pt idx="555">
                  <c:v>1750000</c:v>
                </c:pt>
                <c:pt idx="556">
                  <c:v>1755000</c:v>
                </c:pt>
                <c:pt idx="557">
                  <c:v>1760000</c:v>
                </c:pt>
                <c:pt idx="558">
                  <c:v>1765000</c:v>
                </c:pt>
                <c:pt idx="559">
                  <c:v>1770000</c:v>
                </c:pt>
                <c:pt idx="560">
                  <c:v>1775000</c:v>
                </c:pt>
                <c:pt idx="561">
                  <c:v>1780000</c:v>
                </c:pt>
                <c:pt idx="562">
                  <c:v>1785000</c:v>
                </c:pt>
                <c:pt idx="563">
                  <c:v>1790000</c:v>
                </c:pt>
                <c:pt idx="564">
                  <c:v>1795000</c:v>
                </c:pt>
                <c:pt idx="565">
                  <c:v>1800000</c:v>
                </c:pt>
                <c:pt idx="566">
                  <c:v>1805000</c:v>
                </c:pt>
                <c:pt idx="567">
                  <c:v>1810000</c:v>
                </c:pt>
                <c:pt idx="568">
                  <c:v>1815000</c:v>
                </c:pt>
                <c:pt idx="569">
                  <c:v>1820000</c:v>
                </c:pt>
                <c:pt idx="570">
                  <c:v>1825000</c:v>
                </c:pt>
                <c:pt idx="571">
                  <c:v>1830000</c:v>
                </c:pt>
                <c:pt idx="572">
                  <c:v>1835000</c:v>
                </c:pt>
                <c:pt idx="573">
                  <c:v>1840000</c:v>
                </c:pt>
                <c:pt idx="574">
                  <c:v>1845000</c:v>
                </c:pt>
                <c:pt idx="575">
                  <c:v>1850000</c:v>
                </c:pt>
                <c:pt idx="576">
                  <c:v>1855000</c:v>
                </c:pt>
                <c:pt idx="577">
                  <c:v>1860000</c:v>
                </c:pt>
                <c:pt idx="578">
                  <c:v>1865000</c:v>
                </c:pt>
                <c:pt idx="579">
                  <c:v>1870000</c:v>
                </c:pt>
                <c:pt idx="580">
                  <c:v>1875000</c:v>
                </c:pt>
                <c:pt idx="581">
                  <c:v>1880000</c:v>
                </c:pt>
                <c:pt idx="582">
                  <c:v>1885000</c:v>
                </c:pt>
                <c:pt idx="583">
                  <c:v>1890000</c:v>
                </c:pt>
                <c:pt idx="584">
                  <c:v>1895000</c:v>
                </c:pt>
                <c:pt idx="585">
                  <c:v>1900000</c:v>
                </c:pt>
                <c:pt idx="586">
                  <c:v>1905000</c:v>
                </c:pt>
                <c:pt idx="587">
                  <c:v>1910000</c:v>
                </c:pt>
                <c:pt idx="588">
                  <c:v>1915000</c:v>
                </c:pt>
                <c:pt idx="589">
                  <c:v>1920000</c:v>
                </c:pt>
                <c:pt idx="590">
                  <c:v>1925000</c:v>
                </c:pt>
                <c:pt idx="591">
                  <c:v>1930000</c:v>
                </c:pt>
                <c:pt idx="592">
                  <c:v>1935000</c:v>
                </c:pt>
                <c:pt idx="593">
                  <c:v>1940000</c:v>
                </c:pt>
                <c:pt idx="594">
                  <c:v>1945000</c:v>
                </c:pt>
                <c:pt idx="595">
                  <c:v>1950000</c:v>
                </c:pt>
                <c:pt idx="596">
                  <c:v>1955000</c:v>
                </c:pt>
                <c:pt idx="597">
                  <c:v>1960000</c:v>
                </c:pt>
                <c:pt idx="598">
                  <c:v>1965000</c:v>
                </c:pt>
                <c:pt idx="599">
                  <c:v>1970000</c:v>
                </c:pt>
                <c:pt idx="600">
                  <c:v>1975000</c:v>
                </c:pt>
                <c:pt idx="601">
                  <c:v>1980000</c:v>
                </c:pt>
                <c:pt idx="602">
                  <c:v>1985000</c:v>
                </c:pt>
                <c:pt idx="603">
                  <c:v>1990000</c:v>
                </c:pt>
                <c:pt idx="604">
                  <c:v>1995000</c:v>
                </c:pt>
                <c:pt idx="605">
                  <c:v>2000000</c:v>
                </c:pt>
                <c:pt idx="606">
                  <c:v>2250000</c:v>
                </c:pt>
                <c:pt idx="607">
                  <c:v>2500000</c:v>
                </c:pt>
                <c:pt idx="608">
                  <c:v>2750000</c:v>
                </c:pt>
                <c:pt idx="609">
                  <c:v>3000000</c:v>
                </c:pt>
                <c:pt idx="610">
                  <c:v>3250000</c:v>
                </c:pt>
                <c:pt idx="611">
                  <c:v>3500000</c:v>
                </c:pt>
                <c:pt idx="612">
                  <c:v>3750000</c:v>
                </c:pt>
                <c:pt idx="613">
                  <c:v>4000000</c:v>
                </c:pt>
                <c:pt idx="614">
                  <c:v>4250000</c:v>
                </c:pt>
                <c:pt idx="615">
                  <c:v>4500000</c:v>
                </c:pt>
                <c:pt idx="616">
                  <c:v>4750000</c:v>
                </c:pt>
                <c:pt idx="617">
                  <c:v>5000000</c:v>
                </c:pt>
                <c:pt idx="618">
                  <c:v>5100000</c:v>
                </c:pt>
                <c:pt idx="619">
                  <c:v>5200000</c:v>
                </c:pt>
                <c:pt idx="620">
                  <c:v>5300000</c:v>
                </c:pt>
                <c:pt idx="621">
                  <c:v>5400000</c:v>
                </c:pt>
                <c:pt idx="622">
                  <c:v>5500000</c:v>
                </c:pt>
                <c:pt idx="623">
                  <c:v>5600000</c:v>
                </c:pt>
                <c:pt idx="624">
                  <c:v>5700000</c:v>
                </c:pt>
                <c:pt idx="625">
                  <c:v>5800000</c:v>
                </c:pt>
                <c:pt idx="626">
                  <c:v>5900000</c:v>
                </c:pt>
                <c:pt idx="627">
                  <c:v>6000000</c:v>
                </c:pt>
                <c:pt idx="628">
                  <c:v>6100000</c:v>
                </c:pt>
                <c:pt idx="629">
                  <c:v>6200000</c:v>
                </c:pt>
                <c:pt idx="630">
                  <c:v>6300000</c:v>
                </c:pt>
                <c:pt idx="631">
                  <c:v>6400000</c:v>
                </c:pt>
                <c:pt idx="632">
                  <c:v>6500000</c:v>
                </c:pt>
                <c:pt idx="633">
                  <c:v>6600000</c:v>
                </c:pt>
                <c:pt idx="634">
                  <c:v>6700000</c:v>
                </c:pt>
                <c:pt idx="635">
                  <c:v>6800000</c:v>
                </c:pt>
                <c:pt idx="636">
                  <c:v>6900000</c:v>
                </c:pt>
                <c:pt idx="637">
                  <c:v>7000000</c:v>
                </c:pt>
                <c:pt idx="638">
                  <c:v>7100000</c:v>
                </c:pt>
                <c:pt idx="639">
                  <c:v>7200000</c:v>
                </c:pt>
                <c:pt idx="640">
                  <c:v>7300000</c:v>
                </c:pt>
                <c:pt idx="641">
                  <c:v>7400000</c:v>
                </c:pt>
                <c:pt idx="642">
                  <c:v>7500000</c:v>
                </c:pt>
                <c:pt idx="643">
                  <c:v>7600000</c:v>
                </c:pt>
                <c:pt idx="644">
                  <c:v>7700000</c:v>
                </c:pt>
                <c:pt idx="645">
                  <c:v>7800000</c:v>
                </c:pt>
                <c:pt idx="646">
                  <c:v>7900000</c:v>
                </c:pt>
                <c:pt idx="647">
                  <c:v>8000000</c:v>
                </c:pt>
                <c:pt idx="648">
                  <c:v>8100000</c:v>
                </c:pt>
                <c:pt idx="649">
                  <c:v>8200000</c:v>
                </c:pt>
                <c:pt idx="650">
                  <c:v>8300000</c:v>
                </c:pt>
                <c:pt idx="651">
                  <c:v>8400000</c:v>
                </c:pt>
                <c:pt idx="652">
                  <c:v>8500000</c:v>
                </c:pt>
                <c:pt idx="653">
                  <c:v>8600000</c:v>
                </c:pt>
                <c:pt idx="654">
                  <c:v>8700000</c:v>
                </c:pt>
                <c:pt idx="655">
                  <c:v>8800000</c:v>
                </c:pt>
                <c:pt idx="656">
                  <c:v>8900000</c:v>
                </c:pt>
                <c:pt idx="657">
                  <c:v>9000000</c:v>
                </c:pt>
                <c:pt idx="658">
                  <c:v>9100000</c:v>
                </c:pt>
                <c:pt idx="659">
                  <c:v>9200000</c:v>
                </c:pt>
                <c:pt idx="660">
                  <c:v>9300000</c:v>
                </c:pt>
                <c:pt idx="661">
                  <c:v>9400000</c:v>
                </c:pt>
                <c:pt idx="662">
                  <c:v>9500000</c:v>
                </c:pt>
                <c:pt idx="663">
                  <c:v>9600000</c:v>
                </c:pt>
                <c:pt idx="664">
                  <c:v>9700000</c:v>
                </c:pt>
                <c:pt idx="665">
                  <c:v>9800000</c:v>
                </c:pt>
                <c:pt idx="666">
                  <c:v>9900000</c:v>
                </c:pt>
                <c:pt idx="667">
                  <c:v>10000000</c:v>
                </c:pt>
              </c:numCache>
            </c:numRef>
          </c:xVal>
          <c:yVal>
            <c:numRef>
              <c:f>'Bode Plots Calculations'!$X$9:$X$676</c:f>
              <c:numCache>
                <c:formatCode>General</c:formatCode>
                <c:ptCount val="668"/>
                <c:pt idx="0">
                  <c:v>91.580238430676502</c:v>
                </c:pt>
                <c:pt idx="1">
                  <c:v>85.559638824394483</c:v>
                </c:pt>
                <c:pt idx="2">
                  <c:v>82.037814154943504</c:v>
                </c:pt>
                <c:pt idx="3">
                  <c:v>79.539040139105154</c:v>
                </c:pt>
                <c:pt idx="4">
                  <c:v>77.600840799936663</c:v>
                </c:pt>
                <c:pt idx="5">
                  <c:v>76.017217004641694</c:v>
                </c:pt>
                <c:pt idx="6">
                  <c:v>74.678282542351795</c:v>
                </c:pt>
                <c:pt idx="7">
                  <c:v>73.518445137785136</c:v>
                </c:pt>
                <c:pt idx="8">
                  <c:v>72.495396428489201</c:v>
                </c:pt>
                <c:pt idx="9">
                  <c:v>71.580248561591901</c:v>
                </c:pt>
                <c:pt idx="10">
                  <c:v>65.559679347984968</c:v>
                </c:pt>
                <c:pt idx="11">
                  <c:v>62.037905332755408</c:v>
                </c:pt>
                <c:pt idx="12">
                  <c:v>59.539202232329231</c:v>
                </c:pt>
                <c:pt idx="13">
                  <c:v>57.601094069265812</c:v>
                </c:pt>
                <c:pt idx="14">
                  <c:v>56.017581710128852</c:v>
                </c:pt>
                <c:pt idx="15">
                  <c:v>54.67877894326768</c:v>
                </c:pt>
                <c:pt idx="16">
                  <c:v>53.519093492476166</c:v>
                </c:pt>
                <c:pt idx="17">
                  <c:v>52.496216994235297</c:v>
                </c:pt>
                <c:pt idx="18">
                  <c:v>51.581261594464436</c:v>
                </c:pt>
                <c:pt idx="19">
                  <c:v>45.563730768667796</c:v>
                </c:pt>
                <c:pt idx="20">
                  <c:v>42.047018366135838</c:v>
                </c:pt>
                <c:pt idx="21">
                  <c:v>39.555396561099599</c:v>
                </c:pt>
                <c:pt idx="22">
                  <c:v>37.626384433555714</c:v>
                </c:pt>
                <c:pt idx="23">
                  <c:v>36.053976523511515</c:v>
                </c:pt>
                <c:pt idx="24">
                  <c:v>34.72827892962659</c:v>
                </c:pt>
                <c:pt idx="25">
                  <c:v>33.583690348076573</c:v>
                </c:pt>
                <c:pt idx="26">
                  <c:v>32.577892079176308</c:v>
                </c:pt>
                <c:pt idx="27">
                  <c:v>31.681984657491945</c:v>
                </c:pt>
                <c:pt idx="28">
                  <c:v>28.285733817262646</c:v>
                </c:pt>
                <c:pt idx="29">
                  <c:v>25.959887498272405</c:v>
                </c:pt>
                <c:pt idx="30">
                  <c:v>24.239359613304465</c:v>
                </c:pt>
                <c:pt idx="31">
                  <c:v>22.91512909546217</c:v>
                </c:pt>
                <c:pt idx="32">
                  <c:v>21.874059302434986</c:v>
                </c:pt>
                <c:pt idx="33">
                  <c:v>21.047248509153999</c:v>
                </c:pt>
                <c:pt idx="34">
                  <c:v>20.389162617611881</c:v>
                </c:pt>
                <c:pt idx="35">
                  <c:v>19.867881513573938</c:v>
                </c:pt>
                <c:pt idx="36">
                  <c:v>19.460038137867492</c:v>
                </c:pt>
                <c:pt idx="37">
                  <c:v>19.147972249914837</c:v>
                </c:pt>
                <c:pt idx="38">
                  <c:v>18.918021401905342</c:v>
                </c:pt>
                <c:pt idx="39">
                  <c:v>18.759436770968925</c:v>
                </c:pt>
                <c:pt idx="40">
                  <c:v>18.663662545589144</c:v>
                </c:pt>
                <c:pt idx="41">
                  <c:v>18.62383773269643</c:v>
                </c:pt>
                <c:pt idx="42">
                  <c:v>18.634440302557731</c:v>
                </c:pt>
                <c:pt idx="43">
                  <c:v>18.691026159530956</c:v>
                </c:pt>
                <c:pt idx="44">
                  <c:v>18.790033539262339</c:v>
                </c:pt>
                <c:pt idx="45">
                  <c:v>18.928633870348339</c:v>
                </c:pt>
                <c:pt idx="46">
                  <c:v>19.104616330093911</c:v>
                </c:pt>
                <c:pt idx="47">
                  <c:v>19.316297060543114</c:v>
                </c:pt>
                <c:pt idx="48">
                  <c:v>19.562446243046445</c:v>
                </c:pt>
                <c:pt idx="49">
                  <c:v>19.842227452812637</c:v>
                </c:pt>
                <c:pt idx="50">
                  <c:v>20.155144156939325</c:v>
                </c:pt>
                <c:pt idx="51">
                  <c:v>20.500987925702788</c:v>
                </c:pt>
                <c:pt idx="52">
                  <c:v>20.879781787186499</c:v>
                </c:pt>
                <c:pt idx="53">
                  <c:v>21.291709891067157</c:v>
                </c:pt>
                <c:pt idx="54">
                  <c:v>21.737020768742941</c:v>
                </c:pt>
                <c:pt idx="55">
                  <c:v>22.215885222958548</c:v>
                </c:pt>
                <c:pt idx="56">
                  <c:v>22.728180183096608</c:v>
                </c:pt>
                <c:pt idx="57">
                  <c:v>23.273155468558432</c:v>
                </c:pt>
                <c:pt idx="58">
                  <c:v>23.848920513200454</c:v>
                </c:pt>
                <c:pt idx="59">
                  <c:v>24.451664448200475</c:v>
                </c:pt>
                <c:pt idx="60">
                  <c:v>25.074505269903074</c:v>
                </c:pt>
                <c:pt idx="61">
                  <c:v>25.705882180593704</c:v>
                </c:pt>
                <c:pt idx="62">
                  <c:v>26.327531104550932</c:v>
                </c:pt>
                <c:pt idx="63">
                  <c:v>26.912446167318528</c:v>
                </c:pt>
                <c:pt idx="64">
                  <c:v>27.423957029456545</c:v>
                </c:pt>
                <c:pt idx="65">
                  <c:v>27.817968551002558</c:v>
                </c:pt>
                <c:pt idx="66">
                  <c:v>28.050468228393513</c:v>
                </c:pt>
                <c:pt idx="67">
                  <c:v>28.089820211283687</c:v>
                </c:pt>
                <c:pt idx="68">
                  <c:v>27.928333820949742</c:v>
                </c:pt>
                <c:pt idx="69">
                  <c:v>27.585332386483643</c:v>
                </c:pt>
                <c:pt idx="70">
                  <c:v>27.099360637868326</c:v>
                </c:pt>
                <c:pt idx="71">
                  <c:v>26.5152940608351</c:v>
                </c:pt>
                <c:pt idx="72">
                  <c:v>25.873887500617307</c:v>
                </c:pt>
                <c:pt idx="73">
                  <c:v>25.206869278114045</c:v>
                </c:pt>
                <c:pt idx="74">
                  <c:v>24.536453404125854</c:v>
                </c:pt>
                <c:pt idx="75">
                  <c:v>23.876972062046654</c:v>
                </c:pt>
                <c:pt idx="76">
                  <c:v>23.2369882830621</c:v>
                </c:pt>
                <c:pt idx="77">
                  <c:v>22.621141424431247</c:v>
                </c:pt>
                <c:pt idx="78">
                  <c:v>22.03152929568153</c:v>
                </c:pt>
                <c:pt idx="79">
                  <c:v>21.468665075922814</c:v>
                </c:pt>
                <c:pt idx="80">
                  <c:v>20.932110904022821</c:v>
                </c:pt>
                <c:pt idx="81">
                  <c:v>20.42088590828471</c:v>
                </c:pt>
                <c:pt idx="82">
                  <c:v>19.933723822866771</c:v>
                </c:pt>
                <c:pt idx="83">
                  <c:v>19.469232785624598</c:v>
                </c:pt>
                <c:pt idx="84">
                  <c:v>19.02599244724566</c:v>
                </c:pt>
                <c:pt idx="85">
                  <c:v>18.602611286813321</c:v>
                </c:pt>
                <c:pt idx="86">
                  <c:v>18.197758863539796</c:v>
                </c:pt>
                <c:pt idx="87">
                  <c:v>17.810182418245464</c:v>
                </c:pt>
                <c:pt idx="88">
                  <c:v>17.438713819682928</c:v>
                </c:pt>
                <c:pt idx="89">
                  <c:v>17.082270664770199</c:v>
                </c:pt>
                <c:pt idx="90">
                  <c:v>16.739853946336087</c:v>
                </c:pt>
                <c:pt idx="91">
                  <c:v>16.410543811031161</c:v>
                </c:pt>
                <c:pt idx="92">
                  <c:v>16.093494360730496</c:v>
                </c:pt>
                <c:pt idx="93">
                  <c:v>15.787928086720726</c:v>
                </c:pt>
                <c:pt idx="94">
                  <c:v>15.493130293289655</c:v>
                </c:pt>
                <c:pt idx="95">
                  <c:v>15.208443718950914</c:v>
                </c:pt>
                <c:pt idx="96">
                  <c:v>14.93326346937617</c:v>
                </c:pt>
                <c:pt idx="97">
                  <c:v>14.667032316897773</c:v>
                </c:pt>
                <c:pt idx="98">
                  <c:v>14.409236384778714</c:v>
                </c:pt>
                <c:pt idx="99">
                  <c:v>14.159401212306062</c:v>
                </c:pt>
                <c:pt idx="100">
                  <c:v>13.917088183952204</c:v>
                </c:pt>
                <c:pt idx="101">
                  <c:v>13.681891298986667</c:v>
                </c:pt>
                <c:pt idx="102">
                  <c:v>13.453434254813224</c:v>
                </c:pt>
                <c:pt idx="103">
                  <c:v>13.231367816522441</c:v>
                </c:pt>
                <c:pt idx="104">
                  <c:v>13.015367445761314</c:v>
                </c:pt>
                <c:pt idx="105">
                  <c:v>12.805131163429786</c:v>
                </c:pt>
                <c:pt idx="106">
                  <c:v>12.600377622535641</c:v>
                </c:pt>
                <c:pt idx="107">
                  <c:v>12.40084436953172</c:v>
                </c:pt>
                <c:pt idx="108">
                  <c:v>12.206286274473864</c:v>
                </c:pt>
                <c:pt idx="109">
                  <c:v>12.016474112284365</c:v>
                </c:pt>
                <c:pt idx="110">
                  <c:v>11.831193279235844</c:v>
                </c:pt>
                <c:pt idx="111">
                  <c:v>11.650242630457083</c:v>
                </c:pt>
                <c:pt idx="112">
                  <c:v>11.473433425799492</c:v>
                </c:pt>
                <c:pt idx="113">
                  <c:v>11.300588372788866</c:v>
                </c:pt>
                <c:pt idx="114">
                  <c:v>11.131540756630303</c:v>
                </c:pt>
                <c:pt idx="115">
                  <c:v>10.966133648342996</c:v>
                </c:pt>
                <c:pt idx="116">
                  <c:v>10.804219183088321</c:v>
                </c:pt>
                <c:pt idx="117">
                  <c:v>10.64565790162996</c:v>
                </c:pt>
                <c:pt idx="118">
                  <c:v>10.490318148640519</c:v>
                </c:pt>
                <c:pt idx="119">
                  <c:v>10.338075522255728</c:v>
                </c:pt>
                <c:pt idx="120">
                  <c:v>10.188812369884928</c:v>
                </c:pt>
                <c:pt idx="121">
                  <c:v>10.04241732582414</c:v>
                </c:pt>
                <c:pt idx="122">
                  <c:v>9.8987848866935657</c:v>
                </c:pt>
                <c:pt idx="123">
                  <c:v>9.7578150211426085</c:v>
                </c:pt>
                <c:pt idx="124">
                  <c:v>9.6194128106383143</c:v>
                </c:pt>
                <c:pt idx="125">
                  <c:v>9.4834881184837911</c:v>
                </c:pt>
                <c:pt idx="126">
                  <c:v>9.3499552845064215</c:v>
                </c:pt>
                <c:pt idx="127">
                  <c:v>9.2187328431160473</c:v>
                </c:pt>
                <c:pt idx="128">
                  <c:v>9.0897432626647134</c:v>
                </c:pt>
                <c:pt idx="129">
                  <c:v>8.9629127042455501</c:v>
                </c:pt>
                <c:pt idx="130">
                  <c:v>8.8381707982516069</c:v>
                </c:pt>
                <c:pt idx="131">
                  <c:v>8.7154504371790615</c:v>
                </c:pt>
                <c:pt idx="132">
                  <c:v>8.5946875833053085</c:v>
                </c:pt>
                <c:pt idx="133">
                  <c:v>8.4758210900025226</c:v>
                </c:pt>
                <c:pt idx="134">
                  <c:v>8.3587925355645112</c:v>
                </c:pt>
                <c:pt idx="135">
                  <c:v>8.2435460685286781</c:v>
                </c:pt>
                <c:pt idx="136">
                  <c:v>8.1300282635691428</c:v>
                </c:pt>
                <c:pt idx="137">
                  <c:v>8.0181879871209603</c:v>
                </c:pt>
                <c:pt idx="138">
                  <c:v>7.9079762719711262</c:v>
                </c:pt>
                <c:pt idx="139">
                  <c:v>7.799346200120203</c:v>
                </c:pt>
                <c:pt idx="140">
                  <c:v>7.6922527932796401</c:v>
                </c:pt>
                <c:pt idx="141">
                  <c:v>7.5866529104253653</c:v>
                </c:pt>
                <c:pt idx="142">
                  <c:v>7.4825051518779375</c:v>
                </c:pt>
                <c:pt idx="143">
                  <c:v>7.3797697694250299</c:v>
                </c:pt>
                <c:pt idx="144">
                  <c:v>7.2784085820425339</c:v>
                </c:pt>
                <c:pt idx="145">
                  <c:v>7.1783848968079669</c:v>
                </c:pt>
                <c:pt idx="146">
                  <c:v>7.0796634346330674</c:v>
                </c:pt>
                <c:pt idx="147">
                  <c:v>6.9822102604732752</c:v>
                </c:pt>
                <c:pt idx="148">
                  <c:v>6.8859927176992617</c:v>
                </c:pt>
                <c:pt idx="149">
                  <c:v>6.7909793663409985</c:v>
                </c:pt>
                <c:pt idx="150">
                  <c:v>6.6971399249376642</c:v>
                </c:pt>
                <c:pt idx="151">
                  <c:v>6.6044452157478144</c:v>
                </c:pt>
                <c:pt idx="152">
                  <c:v>6.512867113093046</c:v>
                </c:pt>
                <c:pt idx="153">
                  <c:v>6.422378494626038</c:v>
                </c:pt>
                <c:pt idx="154">
                  <c:v>6.3329531953295675</c:v>
                </c:pt>
                <c:pt idx="155">
                  <c:v>6.2445659640679283</c:v>
                </c:pt>
                <c:pt idx="156">
                  <c:v>6.1571924225251573</c:v>
                </c:pt>
                <c:pt idx="157">
                  <c:v>6.0708090263770762</c:v>
                </c:pt>
                <c:pt idx="158">
                  <c:v>5.9853930285550483</c:v>
                </c:pt>
                <c:pt idx="159">
                  <c:v>5.9009224444698614</c:v>
                </c:pt>
                <c:pt idx="160">
                  <c:v>5.817376019073464</c:v>
                </c:pt>
                <c:pt idx="161">
                  <c:v>5.7347331956450978</c:v>
                </c:pt>
                <c:pt idx="162">
                  <c:v>5.6529740861962061</c:v>
                </c:pt>
                <c:pt idx="163">
                  <c:v>5.572079443396035</c:v>
                </c:pt>
                <c:pt idx="164">
                  <c:v>5.4920306339265847</c:v>
                </c:pt>
                <c:pt idx="165">
                  <c:v>5.4128096131817145</c:v>
                </c:pt>
                <c:pt idx="166">
                  <c:v>5.3343989012312045</c:v>
                </c:pt>
                <c:pt idx="167">
                  <c:v>5.2567815599757157</c:v>
                </c:pt>
                <c:pt idx="168">
                  <c:v>5.1799411714236809</c:v>
                </c:pt>
                <c:pt idx="169">
                  <c:v>5.1038618170255852</c:v>
                </c:pt>
                <c:pt idx="170">
                  <c:v>5.0285280580054934</c:v>
                </c:pt>
                <c:pt idx="171">
                  <c:v>4.9539249166334702</c:v>
                </c:pt>
                <c:pt idx="172">
                  <c:v>4.8800378583861477</c:v>
                </c:pt>
                <c:pt idx="173">
                  <c:v>4.8068527749462433</c:v>
                </c:pt>
                <c:pt idx="174">
                  <c:v>4.7343559679947882</c:v>
                </c:pt>
                <c:pt idx="175">
                  <c:v>4.6625341337527111</c:v>
                </c:pt>
                <c:pt idx="176">
                  <c:v>4.5913743482313416</c:v>
                </c:pt>
                <c:pt idx="177">
                  <c:v>4.5208640531536641</c:v>
                </c:pt>
                <c:pt idx="178">
                  <c:v>4.4509910425105872</c:v>
                </c:pt>
                <c:pt idx="179">
                  <c:v>4.3817434497187531</c:v>
                </c:pt>
                <c:pt idx="180">
                  <c:v>4.3131097353482053</c:v>
                </c:pt>
                <c:pt idx="181">
                  <c:v>4.2450786753904923</c:v>
                </c:pt>
                <c:pt idx="182">
                  <c:v>4.1776393500390672</c:v>
                </c:pt>
                <c:pt idx="183">
                  <c:v>4.1107811329559771</c:v>
                </c:pt>
                <c:pt idx="184">
                  <c:v>4.0444936810000041</c:v>
                </c:pt>
                <c:pt idx="185">
                  <c:v>3.9787669243930406</c:v>
                </c:pt>
                <c:pt idx="186">
                  <c:v>3.9135910573027521</c:v>
                </c:pt>
                <c:pt idx="187">
                  <c:v>3.8489565288209482</c:v>
                </c:pt>
                <c:pt idx="188">
                  <c:v>3.7848540343179469</c:v>
                </c:pt>
                <c:pt idx="189">
                  <c:v>3.721274507154861</c:v>
                </c:pt>
                <c:pt idx="190">
                  <c:v>3.6582091107360908</c:v>
                </c:pt>
                <c:pt idx="191">
                  <c:v>3.5956492308858961</c:v>
                </c:pt>
                <c:pt idx="192">
                  <c:v>3.5335864685333815</c:v>
                </c:pt>
                <c:pt idx="193">
                  <c:v>3.4720126326913285</c:v>
                </c:pt>
                <c:pt idx="194">
                  <c:v>3.410919733714961</c:v>
                </c:pt>
                <c:pt idx="195">
                  <c:v>3.3502999768276043</c:v>
                </c:pt>
                <c:pt idx="196">
                  <c:v>3.2901457559007712</c:v>
                </c:pt>
                <c:pt idx="197">
                  <c:v>3.2304496474769562</c:v>
                </c:pt>
                <c:pt idx="198">
                  <c:v>3.1712044050239947</c:v>
                </c:pt>
                <c:pt idx="199">
                  <c:v>3.1124029534104967</c:v>
                </c:pt>
                <c:pt idx="200">
                  <c:v>3.0540383835923346</c:v>
                </c:pt>
                <c:pt idx="201">
                  <c:v>2.9961039475006235</c:v>
                </c:pt>
                <c:pt idx="202">
                  <c:v>2.9385930531224029</c:v>
                </c:pt>
                <c:pt idx="203">
                  <c:v>2.88149925976529</c:v>
                </c:pt>
                <c:pt idx="204">
                  <c:v>2.824816273498123</c:v>
                </c:pt>
                <c:pt idx="205">
                  <c:v>2.7685379427598851</c:v>
                </c:pt>
                <c:pt idx="206">
                  <c:v>2.7126582541295723</c:v>
                </c:pt>
                <c:pt idx="207">
                  <c:v>2.6571713282501195</c:v>
                </c:pt>
                <c:pt idx="208">
                  <c:v>2.6020714158997342</c:v>
                </c:pt>
                <c:pt idx="209">
                  <c:v>2.5473528942043937</c:v>
                </c:pt>
                <c:pt idx="210">
                  <c:v>2.4930102629855333</c:v>
                </c:pt>
                <c:pt idx="211">
                  <c:v>2.4390381412372193</c:v>
                </c:pt>
                <c:pt idx="212">
                  <c:v>2.3854312637274697</c:v>
                </c:pt>
                <c:pt idx="213">
                  <c:v>2.3321844777185041</c:v>
                </c:pt>
                <c:pt idx="214">
                  <c:v>2.2792927398010305</c:v>
                </c:pt>
                <c:pt idx="215">
                  <c:v>2.2267511128379511</c:v>
                </c:pt>
                <c:pt idx="216">
                  <c:v>2.1745547630129778</c:v>
                </c:pt>
                <c:pt idx="217">
                  <c:v>2.1226989569799306</c:v>
                </c:pt>
                <c:pt idx="218">
                  <c:v>2.0711790591087027</c:v>
                </c:pt>
                <c:pt idx="219">
                  <c:v>2.0199905288239624</c:v>
                </c:pt>
                <c:pt idx="220">
                  <c:v>1.9691289180330098</c:v>
                </c:pt>
                <c:pt idx="221">
                  <c:v>1.9185898686391498</c:v>
                </c:pt>
                <c:pt idx="222">
                  <c:v>1.8683691101373356</c:v>
                </c:pt>
                <c:pt idx="223">
                  <c:v>1.8184624572888155</c:v>
                </c:pt>
                <c:pt idx="224">
                  <c:v>1.7688658078717125</c:v>
                </c:pt>
                <c:pt idx="225">
                  <c:v>1.719575140504694</c:v>
                </c:pt>
                <c:pt idx="226">
                  <c:v>1.2426665545977627</c:v>
                </c:pt>
                <c:pt idx="227">
                  <c:v>0.79245970306793911</c:v>
                </c:pt>
                <c:pt idx="228">
                  <c:v>0.36599153897300707</c:v>
                </c:pt>
                <c:pt idx="229">
                  <c:v>-3.9227123749560167E-2</c:v>
                </c:pt>
                <c:pt idx="230">
                  <c:v>-0.42530784143446909</c:v>
                </c:pt>
                <c:pt idx="231">
                  <c:v>-0.79405758628905476</c:v>
                </c:pt>
                <c:pt idx="232">
                  <c:v>-1.1470349712745067</c:v>
                </c:pt>
                <c:pt idx="233">
                  <c:v>-1.4855940799279057</c:v>
                </c:pt>
                <c:pt idx="234">
                  <c:v>-1.8109190314929977</c:v>
                </c:pt>
                <c:pt idx="235">
                  <c:v>-2.1240515303845942</c:v>
                </c:pt>
                <c:pt idx="236">
                  <c:v>-2.4259130391096408</c:v>
                </c:pt>
                <c:pt idx="237">
                  <c:v>-2.7173227851107837</c:v>
                </c:pt>
                <c:pt idx="238">
                  <c:v>-2.9990125063879014</c:v>
                </c:pt>
                <c:pt idx="239">
                  <c:v>-3.2716386199702536</c:v>
                </c:pt>
                <c:pt idx="240">
                  <c:v>-3.535792335844012</c:v>
                </c:pt>
                <c:pt idx="241">
                  <c:v>-3.7920081194976185</c:v>
                </c:pt>
                <c:pt idx="242">
                  <c:v>-4.0407708169482195</c:v>
                </c:pt>
                <c:pt idx="243">
                  <c:v>-4.2825216886822677</c:v>
                </c:pt>
                <c:pt idx="244">
                  <c:v>-4.5176635475507911</c:v>
                </c:pt>
                <c:pt idx="245">
                  <c:v>-4.7465651561463034</c:v>
                </c:pt>
                <c:pt idx="246">
                  <c:v>-4.9695650085577139</c:v>
                </c:pt>
                <c:pt idx="247">
                  <c:v>-5.1869745974703561</c:v>
                </c:pt>
                <c:pt idx="248">
                  <c:v>-5.399081248747045</c:v>
                </c:pt>
                <c:pt idx="249">
                  <c:v>-5.6061505907044653</c:v>
                </c:pt>
                <c:pt idx="250">
                  <c:v>-5.8084287133979231</c:v>
                </c:pt>
                <c:pt idx="251">
                  <c:v>-6.0061440636757233</c:v>
                </c:pt>
                <c:pt idx="252">
                  <c:v>-6.1995091140542948</c:v>
                </c:pt>
                <c:pt idx="253">
                  <c:v>-6.388721837205539</c:v>
                </c:pt>
                <c:pt idx="254">
                  <c:v>-6.5739670127397121</c:v>
                </c:pt>
                <c:pt idx="255">
                  <c:v>-6.7554173887768645</c:v>
                </c:pt>
                <c:pt idx="256">
                  <c:v>-6.9332347173466404</c:v>
                </c:pt>
                <c:pt idx="257">
                  <c:v>-7.1075706797965053</c:v>
                </c:pt>
                <c:pt idx="258">
                  <c:v>-7.2785677160103468</c:v>
                </c:pt>
                <c:pt idx="259">
                  <c:v>-7.4463597692534709</c:v>
                </c:pt>
                <c:pt idx="260">
                  <c:v>-7.6110729567944899</c:v>
                </c:pt>
                <c:pt idx="261">
                  <c:v>-7.7728261750528729</c:v>
                </c:pt>
                <c:pt idx="262">
                  <c:v>-7.9317316468365826</c:v>
                </c:pt>
                <c:pt idx="263">
                  <c:v>-8.0878954172301931</c:v>
                </c:pt>
                <c:pt idx="264">
                  <c:v>-8.2414178038394841</c:v>
                </c:pt>
                <c:pt idx="265">
                  <c:v>-8.3923938063695331</c:v>
                </c:pt>
                <c:pt idx="266">
                  <c:v>-8.5409134798891078</c:v>
                </c:pt>
                <c:pt idx="267">
                  <c:v>-8.6870622755978939</c:v>
                </c:pt>
                <c:pt idx="268">
                  <c:v>-8.8309213524516057</c:v>
                </c:pt>
                <c:pt idx="269">
                  <c:v>-8.9725678626010925</c:v>
                </c:pt>
                <c:pt idx="270">
                  <c:v>-9.1120752132562028</c:v>
                </c:pt>
                <c:pt idx="271">
                  <c:v>-9.2495133072853388</c:v>
                </c:pt>
                <c:pt idx="272">
                  <c:v>-9.3849487646007308</c:v>
                </c:pt>
                <c:pt idx="273">
                  <c:v>-9.5184451261514269</c:v>
                </c:pt>
                <c:pt idx="274">
                  <c:v>-9.6500630421470763</c:v>
                </c:pt>
                <c:pt idx="275">
                  <c:v>-9.7798604459607734</c:v>
                </c:pt>
                <c:pt idx="276">
                  <c:v>-9.9078927150059535</c:v>
                </c:pt>
                <c:pt idx="277">
                  <c:v>-10.034212819747196</c:v>
                </c:pt>
                <c:pt idx="278">
                  <c:v>-10.158871461885685</c:v>
                </c:pt>
                <c:pt idx="279">
                  <c:v>-10.281917202654681</c:v>
                </c:pt>
                <c:pt idx="280">
                  <c:v>-10.403396582067273</c:v>
                </c:pt>
                <c:pt idx="281">
                  <c:v>-10.523354229875688</c:v>
                </c:pt>
                <c:pt idx="282">
                  <c:v>-10.641832968927982</c:v>
                </c:pt>
                <c:pt idx="283">
                  <c:v>-10.758873911542546</c:v>
                </c:pt>
                <c:pt idx="284">
                  <c:v>-10.874516549462047</c:v>
                </c:pt>
                <c:pt idx="285">
                  <c:v>-10.988798837896789</c:v>
                </c:pt>
                <c:pt idx="286">
                  <c:v>-11.101757274120148</c:v>
                </c:pt>
                <c:pt idx="287">
                  <c:v>-11.213426971037325</c:v>
                </c:pt>
                <c:pt idx="288">
                  <c:v>-11.323841726110825</c:v>
                </c:pt>
                <c:pt idx="289">
                  <c:v>-11.433034085992315</c:v>
                </c:pt>
                <c:pt idx="290">
                  <c:v>-11.541035407180235</c:v>
                </c:pt>
                <c:pt idx="291">
                  <c:v>-11.647875912994776</c:v>
                </c:pt>
                <c:pt idx="292">
                  <c:v>-11.753584747137538</c:v>
                </c:pt>
                <c:pt idx="293">
                  <c:v>-11.858190024080326</c:v>
                </c:pt>
                <c:pt idx="294">
                  <c:v>-11.961718876507684</c:v>
                </c:pt>
                <c:pt idx="295">
                  <c:v>-12.064197500019013</c:v>
                </c:pt>
                <c:pt idx="296">
                  <c:v>-12.165651195279931</c:v>
                </c:pt>
                <c:pt idx="297">
                  <c:v>-12.266104407796863</c:v>
                </c:pt>
                <c:pt idx="298">
                  <c:v>-12.36558076547553</c:v>
                </c:pt>
                <c:pt idx="299">
                  <c:v>-12.464103114111227</c:v>
                </c:pt>
                <c:pt idx="300">
                  <c:v>-12.56169355094741</c:v>
                </c:pt>
                <c:pt idx="301">
                  <c:v>-12.658373456428681</c:v>
                </c:pt>
                <c:pt idx="302">
                  <c:v>-12.754163524264804</c:v>
                </c:pt>
                <c:pt idx="303">
                  <c:v>-12.849083789913472</c:v>
                </c:pt>
                <c:pt idx="304">
                  <c:v>-12.943153657581885</c:v>
                </c:pt>
                <c:pt idx="305">
                  <c:v>-13.036391925839562</c:v>
                </c:pt>
                <c:pt idx="306">
                  <c:v>-13.128816811928331</c:v>
                </c:pt>
                <c:pt idx="307">
                  <c:v>-13.220445974849186</c:v>
                </c:pt>
                <c:pt idx="308">
                  <c:v>-13.311296537300141</c:v>
                </c:pt>
                <c:pt idx="309">
                  <c:v>-13.401385106533821</c:v>
                </c:pt>
                <c:pt idx="310">
                  <c:v>-13.490727794198989</c:v>
                </c:pt>
                <c:pt idx="311">
                  <c:v>-13.579340235225601</c:v>
                </c:pt>
                <c:pt idx="312">
                  <c:v>-13.667237605809056</c:v>
                </c:pt>
                <c:pt idx="313">
                  <c:v>-13.754434640545394</c:v>
                </c:pt>
                <c:pt idx="314">
                  <c:v>-13.840945648765913</c:v>
                </c:pt>
                <c:pt idx="315">
                  <c:v>-13.926784530116343</c:v>
                </c:pt>
                <c:pt idx="316">
                  <c:v>-14.011964789422802</c:v>
                </c:pt>
                <c:pt idx="317">
                  <c:v>-14.096499550884008</c:v>
                </c:pt>
                <c:pt idx="318">
                  <c:v>-14.180401571626637</c:v>
                </c:pt>
                <c:pt idx="319">
                  <c:v>-14.263683254658503</c:v>
                </c:pt>
                <c:pt idx="320">
                  <c:v>-14.346356661251798</c:v>
                </c:pt>
                <c:pt idx="321">
                  <c:v>-14.428433522786923</c:v>
                </c:pt>
                <c:pt idx="322">
                  <c:v>-14.509925252085216</c:v>
                </c:pt>
                <c:pt idx="323">
                  <c:v>-14.59084295425744</c:v>
                </c:pt>
                <c:pt idx="324">
                  <c:v>-14.671197437093021</c:v>
                </c:pt>
                <c:pt idx="325">
                  <c:v>-14.75099922101367</c:v>
                </c:pt>
                <c:pt idx="326">
                  <c:v>-14.830258548613514</c:v>
                </c:pt>
                <c:pt idx="327">
                  <c:v>-14.90898539380661</c:v>
                </c:pt>
                <c:pt idx="328">
                  <c:v>-14.98718947060139</c:v>
                </c:pt>
                <c:pt idx="329">
                  <c:v>-15.064880241520633</c:v>
                </c:pt>
                <c:pt idx="330">
                  <c:v>-15.142066925684199</c:v>
                </c:pt>
                <c:pt idx="331">
                  <c:v>-15.218758506571039</c:v>
                </c:pt>
                <c:pt idx="332">
                  <c:v>-15.29496373947593</c:v>
                </c:pt>
                <c:pt idx="333">
                  <c:v>-15.370691158675417</c:v>
                </c:pt>
                <c:pt idx="334">
                  <c:v>-15.445949084316927</c:v>
                </c:pt>
                <c:pt idx="335">
                  <c:v>-15.520745629043864</c:v>
                </c:pt>
                <c:pt idx="336">
                  <c:v>-15.595088704369056</c:v>
                </c:pt>
                <c:pt idx="337">
                  <c:v>-15.668986026808243</c:v>
                </c:pt>
                <c:pt idx="338">
                  <c:v>-15.7424451237844</c:v>
                </c:pt>
                <c:pt idx="339">
                  <c:v>-15.815473339313487</c:v>
                </c:pt>
                <c:pt idx="340">
                  <c:v>-15.888077839481339</c:v>
                </c:pt>
                <c:pt idx="341">
                  <c:v>-15.96026561772103</c:v>
                </c:pt>
                <c:pt idx="342">
                  <c:v>-16.032043499899618</c:v>
                </c:pt>
                <c:pt idx="343">
                  <c:v>-16.103418149222474</c:v>
                </c:pt>
                <c:pt idx="344">
                  <c:v>-16.174396070963294</c:v>
                </c:pt>
                <c:pt idx="345">
                  <c:v>-16.244983617027223</c:v>
                </c:pt>
                <c:pt idx="346">
                  <c:v>-16.315186990354256</c:v>
                </c:pt>
                <c:pt idx="347">
                  <c:v>-16.385012249169684</c:v>
                </c:pt>
                <c:pt idx="348">
                  <c:v>-16.454465311088015</c:v>
                </c:pt>
                <c:pt idx="349">
                  <c:v>-16.523551957076567</c:v>
                </c:pt>
                <c:pt idx="350">
                  <c:v>-16.592277835284399</c:v>
                </c:pt>
                <c:pt idx="351">
                  <c:v>-16.660648464742266</c:v>
                </c:pt>
                <c:pt idx="352">
                  <c:v>-16.728669238938721</c:v>
                </c:pt>
                <c:pt idx="353">
                  <c:v>-16.796345429277537</c:v>
                </c:pt>
                <c:pt idx="354">
                  <c:v>-16.863682188420945</c:v>
                </c:pt>
                <c:pt idx="355">
                  <c:v>-16.930684553523612</c:v>
                </c:pt>
                <c:pt idx="356">
                  <c:v>-16.99735744936126</c:v>
                </c:pt>
                <c:pt idx="357">
                  <c:v>-17.063705691358393</c:v>
                </c:pt>
                <c:pt idx="358">
                  <c:v>-17.129733988518872</c:v>
                </c:pt>
                <c:pt idx="359">
                  <c:v>-17.195446946263086</c:v>
                </c:pt>
                <c:pt idx="360">
                  <c:v>-17.260849069175478</c:v>
                </c:pt>
                <c:pt idx="361">
                  <c:v>-17.325944763665554</c:v>
                </c:pt>
                <c:pt idx="362">
                  <c:v>-17.39073834054587</c:v>
                </c:pt>
                <c:pt idx="363">
                  <c:v>-17.455234017530014</c:v>
                </c:pt>
                <c:pt idx="364">
                  <c:v>-17.519435921653574</c:v>
                </c:pt>
                <c:pt idx="365">
                  <c:v>-17.583348091620866</c:v>
                </c:pt>
                <c:pt idx="366">
                  <c:v>-17.646974480080289</c:v>
                </c:pt>
                <c:pt idx="367">
                  <c:v>-17.710318955830754</c:v>
                </c:pt>
                <c:pt idx="368">
                  <c:v>-17.773385305961774</c:v>
                </c:pt>
                <c:pt idx="369">
                  <c:v>-17.836177237929515</c:v>
                </c:pt>
                <c:pt idx="370">
                  <c:v>-17.898698381571169</c:v>
                </c:pt>
                <c:pt idx="371">
                  <c:v>-17.960952291059773</c:v>
                </c:pt>
                <c:pt idx="372">
                  <c:v>-18.022942446801594</c:v>
                </c:pt>
                <c:pt idx="373">
                  <c:v>-18.08467225727804</c:v>
                </c:pt>
                <c:pt idx="374">
                  <c:v>-18.146145060834087</c:v>
                </c:pt>
                <c:pt idx="375">
                  <c:v>-18.207364127414966</c:v>
                </c:pt>
                <c:pt idx="376">
                  <c:v>-18.268332660253012</c:v>
                </c:pt>
                <c:pt idx="377">
                  <c:v>-18.329053797506209</c:v>
                </c:pt>
                <c:pt idx="378">
                  <c:v>-18.389530613850177</c:v>
                </c:pt>
                <c:pt idx="379">
                  <c:v>-18.449766122025114</c:v>
                </c:pt>
                <c:pt idx="380">
                  <c:v>-18.509763274339203</c:v>
                </c:pt>
                <c:pt idx="381">
                  <c:v>-18.569524964129901</c:v>
                </c:pt>
                <c:pt idx="382">
                  <c:v>-18.62905402718453</c:v>
                </c:pt>
                <c:pt idx="383">
                  <c:v>-18.688353243121455</c:v>
                </c:pt>
                <c:pt idx="384">
                  <c:v>-18.747425336733176</c:v>
                </c:pt>
                <c:pt idx="385">
                  <c:v>-18.806272979292523</c:v>
                </c:pt>
                <c:pt idx="386">
                  <c:v>-18.864898789823176</c:v>
                </c:pt>
                <c:pt idx="387">
                  <c:v>-18.923305336335535</c:v>
                </c:pt>
                <c:pt idx="388">
                  <c:v>-18.981495137029253</c:v>
                </c:pt>
                <c:pt idx="389">
                  <c:v>-19.039470661463259</c:v>
                </c:pt>
                <c:pt idx="390">
                  <c:v>-19.097234331694384</c:v>
                </c:pt>
                <c:pt idx="391">
                  <c:v>-19.154788523385605</c:v>
                </c:pt>
                <c:pt idx="392">
                  <c:v>-19.212135566884779</c:v>
                </c:pt>
                <c:pt idx="393">
                  <c:v>-19.269277748274789</c:v>
                </c:pt>
                <c:pt idx="394">
                  <c:v>-19.326217310395993</c:v>
                </c:pt>
                <c:pt idx="395">
                  <c:v>-19.382956453841857</c:v>
                </c:pt>
                <c:pt idx="396">
                  <c:v>-19.439497337928447</c:v>
                </c:pt>
                <c:pt idx="397">
                  <c:v>-19.495842081638738</c:v>
                </c:pt>
                <c:pt idx="398">
                  <c:v>-19.551992764542394</c:v>
                </c:pt>
                <c:pt idx="399">
                  <c:v>-19.607951427691731</c:v>
                </c:pt>
                <c:pt idx="400">
                  <c:v>-19.663720074494663</c:v>
                </c:pt>
                <c:pt idx="401">
                  <c:v>-19.719300671565186</c:v>
                </c:pt>
                <c:pt idx="402">
                  <c:v>-19.774695149552219</c:v>
                </c:pt>
                <c:pt idx="403">
                  <c:v>-19.829905403947198</c:v>
                </c:pt>
                <c:pt idx="404">
                  <c:v>-19.884933295871356</c:v>
                </c:pt>
                <c:pt idx="405">
                  <c:v>-19.939780652842906</c:v>
                </c:pt>
                <c:pt idx="406">
                  <c:v>-19.994449269525081</c:v>
                </c:pt>
                <c:pt idx="407">
                  <c:v>-20.048940908455265</c:v>
                </c:pt>
                <c:pt idx="408">
                  <c:v>-20.103257300755924</c:v>
                </c:pt>
                <c:pt idx="409">
                  <c:v>-20.157400146827854</c:v>
                </c:pt>
                <c:pt idx="410">
                  <c:v>-20.211371117026129</c:v>
                </c:pt>
                <c:pt idx="411">
                  <c:v>-20.265171852319352</c:v>
                </c:pt>
                <c:pt idx="412">
                  <c:v>-20.318803964932659</c:v>
                </c:pt>
                <c:pt idx="413">
                  <c:v>-20.372269038974828</c:v>
                </c:pt>
                <c:pt idx="414">
                  <c:v>-20.425568631050041</c:v>
                </c:pt>
                <c:pt idx="415">
                  <c:v>-20.478704270854742</c:v>
                </c:pt>
                <c:pt idx="416">
                  <c:v>-20.531677461759838</c:v>
                </c:pt>
                <c:pt idx="417">
                  <c:v>-20.58448968137888</c:v>
                </c:pt>
                <c:pt idx="418">
                  <c:v>-20.637142382122331</c:v>
                </c:pt>
                <c:pt idx="419">
                  <c:v>-20.689636991738581</c:v>
                </c:pt>
                <c:pt idx="420">
                  <c:v>-20.741974913841862</c:v>
                </c:pt>
                <c:pt idx="421">
                  <c:v>-20.794157528427483</c:v>
                </c:pt>
                <c:pt idx="422">
                  <c:v>-20.846186192374766</c:v>
                </c:pt>
                <c:pt idx="423">
                  <c:v>-20.898062239937943</c:v>
                </c:pt>
                <c:pt idx="424">
                  <c:v>-20.949786983225337</c:v>
                </c:pt>
                <c:pt idx="425">
                  <c:v>-21.001361712667258</c:v>
                </c:pt>
                <c:pt idx="426">
                  <c:v>-21.052787697472695</c:v>
                </c:pt>
                <c:pt idx="427">
                  <c:v>-21.104066186075343</c:v>
                </c:pt>
                <c:pt idx="428">
                  <c:v>-21.155198406569021</c:v>
                </c:pt>
                <c:pt idx="429">
                  <c:v>-21.20618556713293</c:v>
                </c:pt>
                <c:pt idx="430">
                  <c:v>-21.257028856446905</c:v>
                </c:pt>
                <c:pt idx="431">
                  <c:v>-21.307729444096992</c:v>
                </c:pt>
                <c:pt idx="432">
                  <c:v>-21.358288480971567</c:v>
                </c:pt>
                <c:pt idx="433">
                  <c:v>-21.408707099648193</c:v>
                </c:pt>
                <c:pt idx="434">
                  <c:v>-21.458986414771594</c:v>
                </c:pt>
                <c:pt idx="435">
                  <c:v>-21.509127523422791</c:v>
                </c:pt>
                <c:pt idx="436">
                  <c:v>-21.559131505479783</c:v>
                </c:pt>
                <c:pt idx="437">
                  <c:v>-21.608999423969895</c:v>
                </c:pt>
                <c:pt idx="438">
                  <c:v>-21.658732325414004</c:v>
                </c:pt>
                <c:pt idx="439">
                  <c:v>-21.708331240162963</c:v>
                </c:pt>
                <c:pt idx="440">
                  <c:v>-21.757797182726222</c:v>
                </c:pt>
                <c:pt idx="441">
                  <c:v>-21.807131152093028</c:v>
                </c:pt>
                <c:pt idx="442">
                  <c:v>-21.856334132046292</c:v>
                </c:pt>
                <c:pt idx="443">
                  <c:v>-21.905407091469328</c:v>
                </c:pt>
                <c:pt idx="444">
                  <c:v>-21.954350984645622</c:v>
                </c:pt>
                <c:pt idx="445">
                  <c:v>-22.003166751551863</c:v>
                </c:pt>
                <c:pt idx="446">
                  <c:v>-22.051855318144344</c:v>
                </c:pt>
                <c:pt idx="447">
                  <c:v>-22.100417596638909</c:v>
                </c:pt>
                <c:pt idx="448">
                  <c:v>-22.148854485784582</c:v>
                </c:pt>
                <c:pt idx="449">
                  <c:v>-22.197166871131174</c:v>
                </c:pt>
                <c:pt idx="450">
                  <c:v>-22.245355625290767</c:v>
                </c:pt>
                <c:pt idx="451">
                  <c:v>-22.293421608193434</c:v>
                </c:pt>
                <c:pt idx="452">
                  <c:v>-22.341365667337278</c:v>
                </c:pt>
                <c:pt idx="453">
                  <c:v>-22.38918863803287</c:v>
                </c:pt>
                <c:pt idx="454">
                  <c:v>-22.43689134364228</c:v>
                </c:pt>
                <c:pt idx="455">
                  <c:v>-22.48447459581282</c:v>
                </c:pt>
                <c:pt idx="456">
                  <c:v>-22.531939194705636</c:v>
                </c:pt>
                <c:pt idx="457">
                  <c:v>-22.57928592921925</c:v>
                </c:pt>
                <c:pt idx="458">
                  <c:v>-22.626515577208149</c:v>
                </c:pt>
                <c:pt idx="459">
                  <c:v>-22.673628905696646</c:v>
                </c:pt>
                <c:pt idx="460">
                  <c:v>-22.720626671087953</c:v>
                </c:pt>
                <c:pt idx="461">
                  <c:v>-22.767509619368838</c:v>
                </c:pt>
                <c:pt idx="462">
                  <c:v>-22.814278486309615</c:v>
                </c:pt>
                <c:pt idx="463">
                  <c:v>-22.86093399765992</c:v>
                </c:pt>
                <c:pt idx="464">
                  <c:v>-22.907476869340201</c:v>
                </c:pt>
                <c:pt idx="465">
                  <c:v>-22.953907807629008</c:v>
                </c:pt>
                <c:pt idx="466">
                  <c:v>-23.000227509346267</c:v>
                </c:pt>
                <c:pt idx="467">
                  <c:v>-23.046436662032576</c:v>
                </c:pt>
                <c:pt idx="468">
                  <c:v>-23.092535944124613</c:v>
                </c:pt>
                <c:pt idx="469">
                  <c:v>-23.138526025126815</c:v>
                </c:pt>
                <c:pt idx="470">
                  <c:v>-23.184407565779296</c:v>
                </c:pt>
                <c:pt idx="471">
                  <c:v>-23.230181218222228</c:v>
                </c:pt>
                <c:pt idx="472">
                  <c:v>-23.275847626156633</c:v>
                </c:pt>
                <c:pt idx="473">
                  <c:v>-23.32140742500183</c:v>
                </c:pt>
                <c:pt idx="474">
                  <c:v>-23.366861242049378</c:v>
                </c:pt>
                <c:pt idx="475">
                  <c:v>-23.412209696613878</c:v>
                </c:pt>
                <c:pt idx="476">
                  <c:v>-23.457453400180523</c:v>
                </c:pt>
                <c:pt idx="477">
                  <c:v>-23.502592956549435</c:v>
                </c:pt>
                <c:pt idx="478">
                  <c:v>-23.547628961977082</c:v>
                </c:pt>
                <c:pt idx="479">
                  <c:v>-23.592562005314566</c:v>
                </c:pt>
                <c:pt idx="480">
                  <c:v>-23.637392668143107</c:v>
                </c:pt>
                <c:pt idx="481">
                  <c:v>-23.682121524906584</c:v>
                </c:pt>
                <c:pt idx="482">
                  <c:v>-23.726749143041339</c:v>
                </c:pt>
                <c:pt idx="483">
                  <c:v>-23.771276083103189</c:v>
                </c:pt>
                <c:pt idx="484">
                  <c:v>-23.815702898891892</c:v>
                </c:pt>
                <c:pt idx="485">
                  <c:v>-23.860030137572853</c:v>
                </c:pt>
                <c:pt idx="486">
                  <c:v>-23.904258339796431</c:v>
                </c:pt>
                <c:pt idx="487">
                  <c:v>-23.948388039814642</c:v>
                </c:pt>
                <c:pt idx="488">
                  <c:v>-23.992419765595514</c:v>
                </c:pt>
                <c:pt idx="489">
                  <c:v>-24.036354038935016</c:v>
                </c:pt>
                <c:pt idx="490">
                  <c:v>-24.080191375566677</c:v>
                </c:pt>
                <c:pt idx="491">
                  <c:v>-24.123932285268918</c:v>
                </c:pt>
                <c:pt idx="492">
                  <c:v>-24.167577271970234</c:v>
                </c:pt>
                <c:pt idx="493">
                  <c:v>-24.21112683385207</c:v>
                </c:pt>
                <c:pt idx="494">
                  <c:v>-24.254581463449725</c:v>
                </c:pt>
                <c:pt idx="495">
                  <c:v>-24.29794164775107</c:v>
                </c:pt>
                <c:pt idx="496">
                  <c:v>-24.341207868293296</c:v>
                </c:pt>
                <c:pt idx="497">
                  <c:v>-24.38438060125765</c:v>
                </c:pt>
                <c:pt idx="498">
                  <c:v>-24.427460317562225</c:v>
                </c:pt>
                <c:pt idx="499">
                  <c:v>-24.470447482952906</c:v>
                </c:pt>
                <c:pt idx="500">
                  <c:v>-24.51334255809239</c:v>
                </c:pt>
                <c:pt idx="501">
                  <c:v>-24.556145998647434</c:v>
                </c:pt>
                <c:pt idx="502">
                  <c:v>-24.598858255374321</c:v>
                </c:pt>
                <c:pt idx="503">
                  <c:v>-24.641479774202594</c:v>
                </c:pt>
                <c:pt idx="504">
                  <c:v>-24.684010996317085</c:v>
                </c:pt>
                <c:pt idx="505">
                  <c:v>-24.72645235823828</c:v>
                </c:pt>
                <c:pt idx="506">
                  <c:v>-24.768804291901077</c:v>
                </c:pt>
                <c:pt idx="507">
                  <c:v>-24.81106722473195</c:v>
                </c:pt>
                <c:pt idx="508">
                  <c:v>-24.853241579724546</c:v>
                </c:pt>
                <c:pt idx="509">
                  <c:v>-24.895327775513785</c:v>
                </c:pt>
                <c:pt idx="510">
                  <c:v>-24.937326226448459</c:v>
                </c:pt>
                <c:pt idx="511">
                  <c:v>-24.97923734266238</c:v>
                </c:pt>
                <c:pt idx="512">
                  <c:v>-25.021061530144117</c:v>
                </c:pt>
                <c:pt idx="513">
                  <c:v>-25.0627991908053</c:v>
                </c:pt>
                <c:pt idx="514">
                  <c:v>-25.104450722547647</c:v>
                </c:pt>
                <c:pt idx="515">
                  <c:v>-25.146016519328548</c:v>
                </c:pt>
                <c:pt idx="516">
                  <c:v>-25.18749697122545</c:v>
                </c:pt>
                <c:pt idx="517">
                  <c:v>-25.228892464498898</c:v>
                </c:pt>
                <c:pt idx="518">
                  <c:v>-25.270203381654369</c:v>
                </c:pt>
                <c:pt idx="519">
                  <c:v>-25.311430101502811</c:v>
                </c:pt>
                <c:pt idx="520">
                  <c:v>-25.352572999220151</c:v>
                </c:pt>
                <c:pt idx="521">
                  <c:v>-25.393632446405423</c:v>
                </c:pt>
                <c:pt idx="522">
                  <c:v>-25.434608811137913</c:v>
                </c:pt>
                <c:pt idx="523">
                  <c:v>-25.475502458033116</c:v>
                </c:pt>
                <c:pt idx="524">
                  <c:v>-25.516313748297598</c:v>
                </c:pt>
                <c:pt idx="525">
                  <c:v>-25.557043039782812</c:v>
                </c:pt>
                <c:pt idx="526">
                  <c:v>-25.597690687037854</c:v>
                </c:pt>
                <c:pt idx="527">
                  <c:v>-25.638257041361165</c:v>
                </c:pt>
                <c:pt idx="528">
                  <c:v>-25.678742450851271</c:v>
                </c:pt>
                <c:pt idx="529">
                  <c:v>-25.719147260456509</c:v>
                </c:pt>
                <c:pt idx="530">
                  <c:v>-25.759471812023818</c:v>
                </c:pt>
                <c:pt idx="531">
                  <c:v>-25.799716444346537</c:v>
                </c:pt>
                <c:pt idx="532">
                  <c:v>-25.839881493211337</c:v>
                </c:pt>
                <c:pt idx="533">
                  <c:v>-25.879967291444235</c:v>
                </c:pt>
                <c:pt idx="534">
                  <c:v>-25.919974168955669</c:v>
                </c:pt>
                <c:pt idx="535">
                  <c:v>-25.959902452784807</c:v>
                </c:pt>
                <c:pt idx="536">
                  <c:v>-25.999752467142919</c:v>
                </c:pt>
                <c:pt idx="537">
                  <c:v>-26.039524533455968</c:v>
                </c:pt>
                <c:pt idx="538">
                  <c:v>-26.079218970406352</c:v>
                </c:pt>
                <c:pt idx="539">
                  <c:v>-26.118836093973918</c:v>
                </c:pt>
                <c:pt idx="540">
                  <c:v>-26.158376217476128</c:v>
                </c:pt>
                <c:pt idx="541">
                  <c:v>-26.197839651607477</c:v>
                </c:pt>
                <c:pt idx="542">
                  <c:v>-26.237226704478175</c:v>
                </c:pt>
                <c:pt idx="543">
                  <c:v>-26.276537681652144</c:v>
                </c:pt>
                <c:pt idx="544">
                  <c:v>-26.315772886184192</c:v>
                </c:pt>
                <c:pt idx="545">
                  <c:v>-26.35493261865658</c:v>
                </c:pt>
                <c:pt idx="546">
                  <c:v>-26.394017177214884</c:v>
                </c:pt>
                <c:pt idx="547">
                  <c:v>-26.433026857603124</c:v>
                </c:pt>
                <c:pt idx="548">
                  <c:v>-26.471961953198353</c:v>
                </c:pt>
                <c:pt idx="549">
                  <c:v>-26.510822755044433</c:v>
                </c:pt>
                <c:pt idx="550">
                  <c:v>-26.549609551885403</c:v>
                </c:pt>
                <c:pt idx="551">
                  <c:v>-26.588322630197982</c:v>
                </c:pt>
                <c:pt idx="552">
                  <c:v>-26.626962274223658</c:v>
                </c:pt>
                <c:pt idx="553">
                  <c:v>-26.665528766000111</c:v>
                </c:pt>
                <c:pt idx="554">
                  <c:v>-26.704022385392015</c:v>
                </c:pt>
                <c:pt idx="555">
                  <c:v>-26.742443410121368</c:v>
                </c:pt>
                <c:pt idx="556">
                  <c:v>-26.780792115797169</c:v>
                </c:pt>
                <c:pt idx="557">
                  <c:v>-26.819068775944611</c:v>
                </c:pt>
                <c:pt idx="558">
                  <c:v>-26.857273662033727</c:v>
                </c:pt>
                <c:pt idx="559">
                  <c:v>-26.895407043507468</c:v>
                </c:pt>
                <c:pt idx="560">
                  <c:v>-26.933469187809337</c:v>
                </c:pt>
                <c:pt idx="561">
                  <c:v>-26.971460360410493</c:v>
                </c:pt>
                <c:pt idx="562">
                  <c:v>-27.009380824836317</c:v>
                </c:pt>
                <c:pt idx="563">
                  <c:v>-27.047230842692581</c:v>
                </c:pt>
                <c:pt idx="564">
                  <c:v>-27.085010673691073</c:v>
                </c:pt>
                <c:pt idx="565">
                  <c:v>-27.122720575674776</c:v>
                </c:pt>
                <c:pt idx="566">
                  <c:v>-27.160360804642629</c:v>
                </c:pt>
                <c:pt idx="567">
                  <c:v>-27.1979316147738</c:v>
                </c:pt>
                <c:pt idx="568">
                  <c:v>-27.235433258451533</c:v>
                </c:pt>
                <c:pt idx="569">
                  <c:v>-27.272865986286597</c:v>
                </c:pt>
                <c:pt idx="570">
                  <c:v>-27.310230047140283</c:v>
                </c:pt>
                <c:pt idx="571">
                  <c:v>-27.34752568814698</c:v>
                </c:pt>
                <c:pt idx="572">
                  <c:v>-27.384753154736408</c:v>
                </c:pt>
                <c:pt idx="573">
                  <c:v>-27.421912690655414</c:v>
                </c:pt>
                <c:pt idx="574">
                  <c:v>-27.459004537989383</c:v>
                </c:pt>
                <c:pt idx="575">
                  <c:v>-27.496028937183254</c:v>
                </c:pt>
                <c:pt idx="576">
                  <c:v>-27.532986127062244</c:v>
                </c:pt>
                <c:pt idx="577">
                  <c:v>-27.569876344852105</c:v>
                </c:pt>
                <c:pt idx="578">
                  <c:v>-27.606699826199112</c:v>
                </c:pt>
                <c:pt idx="579">
                  <c:v>-27.64345680518964</c:v>
                </c:pt>
                <c:pt idx="580">
                  <c:v>-27.68014751436942</c:v>
                </c:pt>
                <c:pt idx="581">
                  <c:v>-27.716772184762505</c:v>
                </c:pt>
                <c:pt idx="582">
                  <c:v>-27.753331045889812</c:v>
                </c:pt>
                <c:pt idx="583">
                  <c:v>-27.789824325787453</c:v>
                </c:pt>
                <c:pt idx="584">
                  <c:v>-27.826252251024641</c:v>
                </c:pt>
                <c:pt idx="585">
                  <c:v>-27.862615046721395</c:v>
                </c:pt>
                <c:pt idx="586">
                  <c:v>-27.898912936565839</c:v>
                </c:pt>
                <c:pt idx="587">
                  <c:v>-27.935146142831279</c:v>
                </c:pt>
                <c:pt idx="588">
                  <c:v>-27.971314886392975</c:v>
                </c:pt>
                <c:pt idx="589">
                  <c:v>-28.007419386744559</c:v>
                </c:pt>
                <c:pt idx="590">
                  <c:v>-28.043459862014309</c:v>
                </c:pt>
                <c:pt idx="591">
                  <c:v>-28.079436528981006</c:v>
                </c:pt>
                <c:pt idx="592">
                  <c:v>-28.115349603089609</c:v>
                </c:pt>
                <c:pt idx="593">
                  <c:v>-28.151199298466626</c:v>
                </c:pt>
                <c:pt idx="594">
                  <c:v>-28.186985827935263</c:v>
                </c:pt>
                <c:pt idx="595">
                  <c:v>-28.222709403030301</c:v>
                </c:pt>
                <c:pt idx="596">
                  <c:v>-28.258370234012684</c:v>
                </c:pt>
                <c:pt idx="597">
                  <c:v>-28.293968529883934</c:v>
                </c:pt>
                <c:pt idx="598">
                  <c:v>-28.32950449840029</c:v>
                </c:pt>
                <c:pt idx="599">
                  <c:v>-28.364978346086609</c:v>
                </c:pt>
                <c:pt idx="600">
                  <c:v>-28.400390278250022</c:v>
                </c:pt>
                <c:pt idx="601">
                  <c:v>-28.43574049899345</c:v>
                </c:pt>
                <c:pt idx="602">
                  <c:v>-28.471029211228753</c:v>
                </c:pt>
                <c:pt idx="603">
                  <c:v>-28.506256616689811</c:v>
                </c:pt>
                <c:pt idx="604">
                  <c:v>-28.54142291594529</c:v>
                </c:pt>
                <c:pt idx="605">
                  <c:v>-28.576528308411234</c:v>
                </c:pt>
                <c:pt idx="606">
                  <c:v>-30.25824595733415</c:v>
                </c:pt>
                <c:pt idx="607">
                  <c:v>-31.809531844927914</c:v>
                </c:pt>
                <c:pt idx="608">
                  <c:v>-33.247684714673547</c:v>
                </c:pt>
                <c:pt idx="609">
                  <c:v>-34.586813421232961</c:v>
                </c:pt>
                <c:pt idx="610">
                  <c:v>-35.838650897540354</c:v>
                </c:pt>
                <c:pt idx="611">
                  <c:v>-37.013074853080823</c:v>
                </c:pt>
                <c:pt idx="612">
                  <c:v>-38.118474237677411</c:v>
                </c:pt>
                <c:pt idx="613">
                  <c:v>-39.162023531534821</c:v>
                </c:pt>
                <c:pt idx="614">
                  <c:v>-40.149895748322507</c:v>
                </c:pt>
                <c:pt idx="615">
                  <c:v>-41.087431496513958</c:v>
                </c:pt>
                <c:pt idx="616">
                  <c:v>-41.979274997547563</c:v>
                </c:pt>
                <c:pt idx="617">
                  <c:v>-42.829484534645758</c:v>
                </c:pt>
                <c:pt idx="618">
                  <c:v>-43.158723746859387</c:v>
                </c:pt>
                <c:pt idx="619">
                  <c:v>-43.482084505142858</c:v>
                </c:pt>
                <c:pt idx="620">
                  <c:v>-43.799764983739323</c:v>
                </c:pt>
                <c:pt idx="621">
                  <c:v>-44.111953890535823</c:v>
                </c:pt>
                <c:pt idx="622">
                  <c:v>-44.418831036276465</c:v>
                </c:pt>
                <c:pt idx="623">
                  <c:v>-44.720567863432919</c:v>
                </c:pt>
                <c:pt idx="624">
                  <c:v>-45.017327937965213</c:v>
                </c:pt>
                <c:pt idx="625">
                  <c:v>-45.309267406920064</c:v>
                </c:pt>
                <c:pt idx="626">
                  <c:v>-45.59653542455645</c:v>
                </c:pt>
                <c:pt idx="627">
                  <c:v>-45.879274549454074</c:v>
                </c:pt>
                <c:pt idx="628">
                  <c:v>-46.157621114849874</c:v>
                </c:pt>
                <c:pt idx="629">
                  <c:v>-46.431705574255318</c:v>
                </c:pt>
                <c:pt idx="630">
                  <c:v>-46.701652824234074</c:v>
                </c:pt>
                <c:pt idx="631">
                  <c:v>-46.96758250606117</c:v>
                </c:pt>
                <c:pt idx="632">
                  <c:v>-47.229609287841654</c:v>
                </c:pt>
                <c:pt idx="633">
                  <c:v>-47.487843128535857</c:v>
                </c:pt>
                <c:pt idx="634">
                  <c:v>-47.742389525219615</c:v>
                </c:pt>
                <c:pt idx="635">
                  <c:v>-47.993349744799644</c:v>
                </c:pt>
                <c:pt idx="636">
                  <c:v>-48.240821041305331</c:v>
                </c:pt>
                <c:pt idx="637">
                  <c:v>-48.484896859788343</c:v>
                </c:pt>
                <c:pt idx="638">
                  <c:v>-48.725667027779231</c:v>
                </c:pt>
                <c:pt idx="639">
                  <c:v>-48.963217935175145</c:v>
                </c:pt>
                <c:pt idx="640">
                  <c:v>-49.197632703364214</c:v>
                </c:pt>
                <c:pt idx="641">
                  <c:v>-49.428991344329525</c:v>
                </c:pt>
                <c:pt idx="642">
                  <c:v>-49.657370910417988</c:v>
                </c:pt>
                <c:pt idx="643">
                  <c:v>-49.882845635407271</c:v>
                </c:pt>
                <c:pt idx="644">
                  <c:v>-50.1054870674554</c:v>
                </c:pt>
                <c:pt idx="645">
                  <c:v>-50.325364194473863</c:v>
                </c:pt>
                <c:pt idx="646">
                  <c:v>-50.542543562424392</c:v>
                </c:pt>
                <c:pt idx="647">
                  <c:v>-50.757089387002559</c:v>
                </c:pt>
                <c:pt idx="648">
                  <c:v>-50.969063659137106</c:v>
                </c:pt>
                <c:pt idx="649">
                  <c:v>-51.178526244702709</c:v>
                </c:pt>
                <c:pt idx="650">
                  <c:v>-51.385534978815016</c:v>
                </c:pt>
                <c:pt idx="651">
                  <c:v>-51.590145755050131</c:v>
                </c:pt>
                <c:pt idx="652">
                  <c:v>-51.792412609906549</c:v>
                </c:pt>
                <c:pt idx="653">
                  <c:v>-51.992387802804878</c:v>
                </c:pt>
                <c:pt idx="654">
                  <c:v>-52.190121891899949</c:v>
                </c:pt>
                <c:pt idx="655">
                  <c:v>-52.385663805961009</c:v>
                </c:pt>
                <c:pt idx="656">
                  <c:v>-52.579060912557544</c:v>
                </c:pt>
                <c:pt idx="657">
                  <c:v>-52.770359082772707</c:v>
                </c:pt>
                <c:pt idx="658">
                  <c:v>-52.959602752650483</c:v>
                </c:pt>
                <c:pt idx="659">
                  <c:v>-53.146834981569398</c:v>
                </c:pt>
                <c:pt idx="660">
                  <c:v>-53.332097507722416</c:v>
                </c:pt>
                <c:pt idx="661">
                  <c:v>-53.515430800870753</c:v>
                </c:pt>
                <c:pt idx="662">
                  <c:v>-53.696874112528263</c:v>
                </c:pt>
                <c:pt idx="663">
                  <c:v>-53.876465523723034</c:v>
                </c:pt>
                <c:pt idx="664">
                  <c:v>-54.054241990473059</c:v>
                </c:pt>
                <c:pt idx="665">
                  <c:v>-54.23023938710412</c:v>
                </c:pt>
                <c:pt idx="666">
                  <c:v>-54.404492547529983</c:v>
                </c:pt>
                <c:pt idx="667">
                  <c:v>-54.577035304607186</c:v>
                </c:pt>
              </c:numCache>
            </c:numRef>
          </c:yVal>
          <c:smooth val="0"/>
          <c:extLst>
            <c:ext xmlns:c16="http://schemas.microsoft.com/office/drawing/2014/chart" uri="{C3380CC4-5D6E-409C-BE32-E72D297353CC}">
              <c16:uniqueId val="{00000000-E70F-AA40-BDA2-AC79FB23BB36}"/>
            </c:ext>
          </c:extLst>
        </c:ser>
        <c:ser>
          <c:idx val="2"/>
          <c:order val="2"/>
          <c:tx>
            <c:v>Actual gain</c:v>
          </c:tx>
          <c:spPr>
            <a:ln w="38100">
              <a:solidFill>
                <a:srgbClr val="FF0000"/>
              </a:solidFill>
              <a:prstDash val="solid"/>
            </a:ln>
          </c:spPr>
          <c:marker>
            <c:symbol val="none"/>
          </c:marker>
          <c:xVal>
            <c:numRef>
              <c:f>'Bode Plots Calculations'!$A$9:$A$676</c:f>
              <c:numCache>
                <c:formatCode>General</c:formatCode>
                <c:ptCount val="668"/>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1500</c:v>
                </c:pt>
                <c:pt idx="29">
                  <c:v>2000</c:v>
                </c:pt>
                <c:pt idx="30">
                  <c:v>2500</c:v>
                </c:pt>
                <c:pt idx="31">
                  <c:v>3000</c:v>
                </c:pt>
                <c:pt idx="32">
                  <c:v>3500</c:v>
                </c:pt>
                <c:pt idx="33">
                  <c:v>4000</c:v>
                </c:pt>
                <c:pt idx="34">
                  <c:v>4500</c:v>
                </c:pt>
                <c:pt idx="35">
                  <c:v>5000</c:v>
                </c:pt>
                <c:pt idx="36">
                  <c:v>5500</c:v>
                </c:pt>
                <c:pt idx="37">
                  <c:v>6000</c:v>
                </c:pt>
                <c:pt idx="38">
                  <c:v>6500</c:v>
                </c:pt>
                <c:pt idx="39">
                  <c:v>7000</c:v>
                </c:pt>
                <c:pt idx="40">
                  <c:v>7500</c:v>
                </c:pt>
                <c:pt idx="41">
                  <c:v>8000</c:v>
                </c:pt>
                <c:pt idx="42">
                  <c:v>8500</c:v>
                </c:pt>
                <c:pt idx="43">
                  <c:v>9000</c:v>
                </c:pt>
                <c:pt idx="44">
                  <c:v>9500</c:v>
                </c:pt>
                <c:pt idx="45">
                  <c:v>10000</c:v>
                </c:pt>
                <c:pt idx="46">
                  <c:v>10500</c:v>
                </c:pt>
                <c:pt idx="47">
                  <c:v>11000</c:v>
                </c:pt>
                <c:pt idx="48">
                  <c:v>11500</c:v>
                </c:pt>
                <c:pt idx="49">
                  <c:v>12000</c:v>
                </c:pt>
                <c:pt idx="50">
                  <c:v>12500</c:v>
                </c:pt>
                <c:pt idx="51">
                  <c:v>13000</c:v>
                </c:pt>
                <c:pt idx="52">
                  <c:v>13500</c:v>
                </c:pt>
                <c:pt idx="53">
                  <c:v>14000</c:v>
                </c:pt>
                <c:pt idx="54">
                  <c:v>14500</c:v>
                </c:pt>
                <c:pt idx="55">
                  <c:v>15000</c:v>
                </c:pt>
                <c:pt idx="56">
                  <c:v>15500</c:v>
                </c:pt>
                <c:pt idx="57">
                  <c:v>16000</c:v>
                </c:pt>
                <c:pt idx="58">
                  <c:v>16500</c:v>
                </c:pt>
                <c:pt idx="59">
                  <c:v>17000</c:v>
                </c:pt>
                <c:pt idx="60">
                  <c:v>17500</c:v>
                </c:pt>
                <c:pt idx="61">
                  <c:v>18000</c:v>
                </c:pt>
                <c:pt idx="62">
                  <c:v>18500</c:v>
                </c:pt>
                <c:pt idx="63">
                  <c:v>19000</c:v>
                </c:pt>
                <c:pt idx="64">
                  <c:v>19500</c:v>
                </c:pt>
                <c:pt idx="65">
                  <c:v>20000</c:v>
                </c:pt>
                <c:pt idx="66">
                  <c:v>20500</c:v>
                </c:pt>
                <c:pt idx="67">
                  <c:v>21000</c:v>
                </c:pt>
                <c:pt idx="68">
                  <c:v>21500</c:v>
                </c:pt>
                <c:pt idx="69">
                  <c:v>22000</c:v>
                </c:pt>
                <c:pt idx="70">
                  <c:v>22500</c:v>
                </c:pt>
                <c:pt idx="71">
                  <c:v>23000</c:v>
                </c:pt>
                <c:pt idx="72">
                  <c:v>23500</c:v>
                </c:pt>
                <c:pt idx="73">
                  <c:v>24000</c:v>
                </c:pt>
                <c:pt idx="74">
                  <c:v>24500</c:v>
                </c:pt>
                <c:pt idx="75">
                  <c:v>25000</c:v>
                </c:pt>
                <c:pt idx="76">
                  <c:v>25500</c:v>
                </c:pt>
                <c:pt idx="77">
                  <c:v>26000</c:v>
                </c:pt>
                <c:pt idx="78">
                  <c:v>26500</c:v>
                </c:pt>
                <c:pt idx="79">
                  <c:v>27000</c:v>
                </c:pt>
                <c:pt idx="80">
                  <c:v>27500</c:v>
                </c:pt>
                <c:pt idx="81">
                  <c:v>28000</c:v>
                </c:pt>
                <c:pt idx="82">
                  <c:v>28500</c:v>
                </c:pt>
                <c:pt idx="83">
                  <c:v>29000</c:v>
                </c:pt>
                <c:pt idx="84">
                  <c:v>29500</c:v>
                </c:pt>
                <c:pt idx="85">
                  <c:v>30000</c:v>
                </c:pt>
                <c:pt idx="86">
                  <c:v>30500</c:v>
                </c:pt>
                <c:pt idx="87">
                  <c:v>31000</c:v>
                </c:pt>
                <c:pt idx="88">
                  <c:v>31500</c:v>
                </c:pt>
                <c:pt idx="89">
                  <c:v>32000</c:v>
                </c:pt>
                <c:pt idx="90">
                  <c:v>32500</c:v>
                </c:pt>
                <c:pt idx="91">
                  <c:v>33000</c:v>
                </c:pt>
                <c:pt idx="92">
                  <c:v>33500</c:v>
                </c:pt>
                <c:pt idx="93">
                  <c:v>34000</c:v>
                </c:pt>
                <c:pt idx="94">
                  <c:v>34500</c:v>
                </c:pt>
                <c:pt idx="95">
                  <c:v>35000</c:v>
                </c:pt>
                <c:pt idx="96">
                  <c:v>35500</c:v>
                </c:pt>
                <c:pt idx="97">
                  <c:v>36000</c:v>
                </c:pt>
                <c:pt idx="98">
                  <c:v>36500</c:v>
                </c:pt>
                <c:pt idx="99">
                  <c:v>37000</c:v>
                </c:pt>
                <c:pt idx="100">
                  <c:v>37500</c:v>
                </c:pt>
                <c:pt idx="101">
                  <c:v>38000</c:v>
                </c:pt>
                <c:pt idx="102">
                  <c:v>38500</c:v>
                </c:pt>
                <c:pt idx="103">
                  <c:v>39000</c:v>
                </c:pt>
                <c:pt idx="104">
                  <c:v>39500</c:v>
                </c:pt>
                <c:pt idx="105">
                  <c:v>40000</c:v>
                </c:pt>
                <c:pt idx="106">
                  <c:v>40500</c:v>
                </c:pt>
                <c:pt idx="107">
                  <c:v>41000</c:v>
                </c:pt>
                <c:pt idx="108">
                  <c:v>41500</c:v>
                </c:pt>
                <c:pt idx="109">
                  <c:v>42000</c:v>
                </c:pt>
                <c:pt idx="110">
                  <c:v>42500</c:v>
                </c:pt>
                <c:pt idx="111">
                  <c:v>43000</c:v>
                </c:pt>
                <c:pt idx="112">
                  <c:v>43500</c:v>
                </c:pt>
                <c:pt idx="113">
                  <c:v>44000</c:v>
                </c:pt>
                <c:pt idx="114">
                  <c:v>44500</c:v>
                </c:pt>
                <c:pt idx="115">
                  <c:v>45000</c:v>
                </c:pt>
                <c:pt idx="116">
                  <c:v>45500</c:v>
                </c:pt>
                <c:pt idx="117">
                  <c:v>46000</c:v>
                </c:pt>
                <c:pt idx="118">
                  <c:v>46500</c:v>
                </c:pt>
                <c:pt idx="119">
                  <c:v>47000</c:v>
                </c:pt>
                <c:pt idx="120">
                  <c:v>47500</c:v>
                </c:pt>
                <c:pt idx="121">
                  <c:v>48000</c:v>
                </c:pt>
                <c:pt idx="122">
                  <c:v>48500</c:v>
                </c:pt>
                <c:pt idx="123">
                  <c:v>49000</c:v>
                </c:pt>
                <c:pt idx="124">
                  <c:v>49500</c:v>
                </c:pt>
                <c:pt idx="125">
                  <c:v>50000</c:v>
                </c:pt>
                <c:pt idx="126">
                  <c:v>50500</c:v>
                </c:pt>
                <c:pt idx="127">
                  <c:v>51000</c:v>
                </c:pt>
                <c:pt idx="128">
                  <c:v>51500</c:v>
                </c:pt>
                <c:pt idx="129">
                  <c:v>52000</c:v>
                </c:pt>
                <c:pt idx="130">
                  <c:v>52500</c:v>
                </c:pt>
                <c:pt idx="131">
                  <c:v>53000</c:v>
                </c:pt>
                <c:pt idx="132">
                  <c:v>53500</c:v>
                </c:pt>
                <c:pt idx="133">
                  <c:v>54000</c:v>
                </c:pt>
                <c:pt idx="134">
                  <c:v>54500</c:v>
                </c:pt>
                <c:pt idx="135">
                  <c:v>55000</c:v>
                </c:pt>
                <c:pt idx="136">
                  <c:v>55500</c:v>
                </c:pt>
                <c:pt idx="137">
                  <c:v>56000</c:v>
                </c:pt>
                <c:pt idx="138">
                  <c:v>56500</c:v>
                </c:pt>
                <c:pt idx="139">
                  <c:v>57000</c:v>
                </c:pt>
                <c:pt idx="140">
                  <c:v>57500</c:v>
                </c:pt>
                <c:pt idx="141">
                  <c:v>58000</c:v>
                </c:pt>
                <c:pt idx="142">
                  <c:v>58500</c:v>
                </c:pt>
                <c:pt idx="143">
                  <c:v>59000</c:v>
                </c:pt>
                <c:pt idx="144">
                  <c:v>59500</c:v>
                </c:pt>
                <c:pt idx="145">
                  <c:v>60000</c:v>
                </c:pt>
                <c:pt idx="146">
                  <c:v>60500</c:v>
                </c:pt>
                <c:pt idx="147">
                  <c:v>61000</c:v>
                </c:pt>
                <c:pt idx="148">
                  <c:v>61500</c:v>
                </c:pt>
                <c:pt idx="149">
                  <c:v>62000</c:v>
                </c:pt>
                <c:pt idx="150">
                  <c:v>62500</c:v>
                </c:pt>
                <c:pt idx="151">
                  <c:v>63000</c:v>
                </c:pt>
                <c:pt idx="152">
                  <c:v>63500</c:v>
                </c:pt>
                <c:pt idx="153">
                  <c:v>64000</c:v>
                </c:pt>
                <c:pt idx="154">
                  <c:v>64500</c:v>
                </c:pt>
                <c:pt idx="155">
                  <c:v>65000</c:v>
                </c:pt>
                <c:pt idx="156">
                  <c:v>65500</c:v>
                </c:pt>
                <c:pt idx="157">
                  <c:v>66000</c:v>
                </c:pt>
                <c:pt idx="158">
                  <c:v>66500</c:v>
                </c:pt>
                <c:pt idx="159">
                  <c:v>67000</c:v>
                </c:pt>
                <c:pt idx="160">
                  <c:v>67500</c:v>
                </c:pt>
                <c:pt idx="161">
                  <c:v>68000</c:v>
                </c:pt>
                <c:pt idx="162">
                  <c:v>68500</c:v>
                </c:pt>
                <c:pt idx="163">
                  <c:v>69000</c:v>
                </c:pt>
                <c:pt idx="164">
                  <c:v>69500</c:v>
                </c:pt>
                <c:pt idx="165">
                  <c:v>70000</c:v>
                </c:pt>
                <c:pt idx="166">
                  <c:v>70500</c:v>
                </c:pt>
                <c:pt idx="167">
                  <c:v>71000</c:v>
                </c:pt>
                <c:pt idx="168">
                  <c:v>71500</c:v>
                </c:pt>
                <c:pt idx="169">
                  <c:v>72000</c:v>
                </c:pt>
                <c:pt idx="170">
                  <c:v>72500</c:v>
                </c:pt>
                <c:pt idx="171">
                  <c:v>73000</c:v>
                </c:pt>
                <c:pt idx="172">
                  <c:v>73500</c:v>
                </c:pt>
                <c:pt idx="173">
                  <c:v>74000</c:v>
                </c:pt>
                <c:pt idx="174">
                  <c:v>74500</c:v>
                </c:pt>
                <c:pt idx="175">
                  <c:v>75000</c:v>
                </c:pt>
                <c:pt idx="176">
                  <c:v>75500</c:v>
                </c:pt>
                <c:pt idx="177">
                  <c:v>76000</c:v>
                </c:pt>
                <c:pt idx="178">
                  <c:v>76500</c:v>
                </c:pt>
                <c:pt idx="179">
                  <c:v>77000</c:v>
                </c:pt>
                <c:pt idx="180">
                  <c:v>77500</c:v>
                </c:pt>
                <c:pt idx="181">
                  <c:v>78000</c:v>
                </c:pt>
                <c:pt idx="182">
                  <c:v>78500</c:v>
                </c:pt>
                <c:pt idx="183">
                  <c:v>79000</c:v>
                </c:pt>
                <c:pt idx="184">
                  <c:v>79500</c:v>
                </c:pt>
                <c:pt idx="185">
                  <c:v>80000</c:v>
                </c:pt>
                <c:pt idx="186">
                  <c:v>80500</c:v>
                </c:pt>
                <c:pt idx="187">
                  <c:v>81000</c:v>
                </c:pt>
                <c:pt idx="188">
                  <c:v>81500</c:v>
                </c:pt>
                <c:pt idx="189">
                  <c:v>82000</c:v>
                </c:pt>
                <c:pt idx="190">
                  <c:v>82500</c:v>
                </c:pt>
                <c:pt idx="191">
                  <c:v>83000</c:v>
                </c:pt>
                <c:pt idx="192">
                  <c:v>83500</c:v>
                </c:pt>
                <c:pt idx="193">
                  <c:v>84000</c:v>
                </c:pt>
                <c:pt idx="194">
                  <c:v>84500</c:v>
                </c:pt>
                <c:pt idx="195">
                  <c:v>85000</c:v>
                </c:pt>
                <c:pt idx="196">
                  <c:v>85500</c:v>
                </c:pt>
                <c:pt idx="197">
                  <c:v>86000</c:v>
                </c:pt>
                <c:pt idx="198">
                  <c:v>86500</c:v>
                </c:pt>
                <c:pt idx="199">
                  <c:v>87000</c:v>
                </c:pt>
                <c:pt idx="200">
                  <c:v>87500</c:v>
                </c:pt>
                <c:pt idx="201">
                  <c:v>88000</c:v>
                </c:pt>
                <c:pt idx="202">
                  <c:v>88500</c:v>
                </c:pt>
                <c:pt idx="203">
                  <c:v>89000</c:v>
                </c:pt>
                <c:pt idx="204">
                  <c:v>89500</c:v>
                </c:pt>
                <c:pt idx="205">
                  <c:v>90000</c:v>
                </c:pt>
                <c:pt idx="206">
                  <c:v>90500</c:v>
                </c:pt>
                <c:pt idx="207">
                  <c:v>91000</c:v>
                </c:pt>
                <c:pt idx="208">
                  <c:v>91500</c:v>
                </c:pt>
                <c:pt idx="209">
                  <c:v>92000</c:v>
                </c:pt>
                <c:pt idx="210">
                  <c:v>92500</c:v>
                </c:pt>
                <c:pt idx="211">
                  <c:v>93000</c:v>
                </c:pt>
                <c:pt idx="212">
                  <c:v>93500</c:v>
                </c:pt>
                <c:pt idx="213">
                  <c:v>94000</c:v>
                </c:pt>
                <c:pt idx="214">
                  <c:v>94500</c:v>
                </c:pt>
                <c:pt idx="215">
                  <c:v>95000</c:v>
                </c:pt>
                <c:pt idx="216">
                  <c:v>95500</c:v>
                </c:pt>
                <c:pt idx="217">
                  <c:v>96000</c:v>
                </c:pt>
                <c:pt idx="218">
                  <c:v>96500</c:v>
                </c:pt>
                <c:pt idx="219">
                  <c:v>97000</c:v>
                </c:pt>
                <c:pt idx="220">
                  <c:v>97500</c:v>
                </c:pt>
                <c:pt idx="221">
                  <c:v>98000</c:v>
                </c:pt>
                <c:pt idx="222">
                  <c:v>98500</c:v>
                </c:pt>
                <c:pt idx="223">
                  <c:v>99000</c:v>
                </c:pt>
                <c:pt idx="224">
                  <c:v>99500</c:v>
                </c:pt>
                <c:pt idx="225">
                  <c:v>100000</c:v>
                </c:pt>
                <c:pt idx="226">
                  <c:v>105000</c:v>
                </c:pt>
                <c:pt idx="227">
                  <c:v>110000</c:v>
                </c:pt>
                <c:pt idx="228">
                  <c:v>115000</c:v>
                </c:pt>
                <c:pt idx="229">
                  <c:v>120000</c:v>
                </c:pt>
                <c:pt idx="230">
                  <c:v>125000</c:v>
                </c:pt>
                <c:pt idx="231">
                  <c:v>130000</c:v>
                </c:pt>
                <c:pt idx="232">
                  <c:v>135000</c:v>
                </c:pt>
                <c:pt idx="233">
                  <c:v>140000</c:v>
                </c:pt>
                <c:pt idx="234">
                  <c:v>145000</c:v>
                </c:pt>
                <c:pt idx="235">
                  <c:v>150000</c:v>
                </c:pt>
                <c:pt idx="236">
                  <c:v>155000</c:v>
                </c:pt>
                <c:pt idx="237">
                  <c:v>160000</c:v>
                </c:pt>
                <c:pt idx="238">
                  <c:v>165000</c:v>
                </c:pt>
                <c:pt idx="239">
                  <c:v>170000</c:v>
                </c:pt>
                <c:pt idx="240">
                  <c:v>175000</c:v>
                </c:pt>
                <c:pt idx="241">
                  <c:v>180000</c:v>
                </c:pt>
                <c:pt idx="242">
                  <c:v>185000</c:v>
                </c:pt>
                <c:pt idx="243">
                  <c:v>190000</c:v>
                </c:pt>
                <c:pt idx="244">
                  <c:v>195000</c:v>
                </c:pt>
                <c:pt idx="245">
                  <c:v>200000</c:v>
                </c:pt>
                <c:pt idx="246">
                  <c:v>205000</c:v>
                </c:pt>
                <c:pt idx="247">
                  <c:v>210000</c:v>
                </c:pt>
                <c:pt idx="248">
                  <c:v>215000</c:v>
                </c:pt>
                <c:pt idx="249">
                  <c:v>220000</c:v>
                </c:pt>
                <c:pt idx="250">
                  <c:v>225000</c:v>
                </c:pt>
                <c:pt idx="251">
                  <c:v>230000</c:v>
                </c:pt>
                <c:pt idx="252">
                  <c:v>235000</c:v>
                </c:pt>
                <c:pt idx="253">
                  <c:v>240000</c:v>
                </c:pt>
                <c:pt idx="254">
                  <c:v>245000</c:v>
                </c:pt>
                <c:pt idx="255">
                  <c:v>250000</c:v>
                </c:pt>
                <c:pt idx="256">
                  <c:v>255000</c:v>
                </c:pt>
                <c:pt idx="257">
                  <c:v>260000</c:v>
                </c:pt>
                <c:pt idx="258">
                  <c:v>265000</c:v>
                </c:pt>
                <c:pt idx="259">
                  <c:v>270000</c:v>
                </c:pt>
                <c:pt idx="260">
                  <c:v>275000</c:v>
                </c:pt>
                <c:pt idx="261">
                  <c:v>280000</c:v>
                </c:pt>
                <c:pt idx="262">
                  <c:v>285000</c:v>
                </c:pt>
                <c:pt idx="263">
                  <c:v>290000</c:v>
                </c:pt>
                <c:pt idx="264">
                  <c:v>295000</c:v>
                </c:pt>
                <c:pt idx="265">
                  <c:v>300000</c:v>
                </c:pt>
                <c:pt idx="266">
                  <c:v>305000</c:v>
                </c:pt>
                <c:pt idx="267">
                  <c:v>310000</c:v>
                </c:pt>
                <c:pt idx="268">
                  <c:v>315000</c:v>
                </c:pt>
                <c:pt idx="269">
                  <c:v>320000</c:v>
                </c:pt>
                <c:pt idx="270">
                  <c:v>325000</c:v>
                </c:pt>
                <c:pt idx="271">
                  <c:v>330000</c:v>
                </c:pt>
                <c:pt idx="272">
                  <c:v>335000</c:v>
                </c:pt>
                <c:pt idx="273">
                  <c:v>340000</c:v>
                </c:pt>
                <c:pt idx="274">
                  <c:v>345000</c:v>
                </c:pt>
                <c:pt idx="275">
                  <c:v>350000</c:v>
                </c:pt>
                <c:pt idx="276">
                  <c:v>355000</c:v>
                </c:pt>
                <c:pt idx="277">
                  <c:v>360000</c:v>
                </c:pt>
                <c:pt idx="278">
                  <c:v>365000</c:v>
                </c:pt>
                <c:pt idx="279">
                  <c:v>370000</c:v>
                </c:pt>
                <c:pt idx="280">
                  <c:v>375000</c:v>
                </c:pt>
                <c:pt idx="281">
                  <c:v>380000</c:v>
                </c:pt>
                <c:pt idx="282">
                  <c:v>385000</c:v>
                </c:pt>
                <c:pt idx="283">
                  <c:v>390000</c:v>
                </c:pt>
                <c:pt idx="284">
                  <c:v>395000</c:v>
                </c:pt>
                <c:pt idx="285">
                  <c:v>400000</c:v>
                </c:pt>
                <c:pt idx="286">
                  <c:v>405000</c:v>
                </c:pt>
                <c:pt idx="287">
                  <c:v>410000</c:v>
                </c:pt>
                <c:pt idx="288">
                  <c:v>415000</c:v>
                </c:pt>
                <c:pt idx="289">
                  <c:v>420000</c:v>
                </c:pt>
                <c:pt idx="290">
                  <c:v>425000</c:v>
                </c:pt>
                <c:pt idx="291">
                  <c:v>430000</c:v>
                </c:pt>
                <c:pt idx="292">
                  <c:v>435000</c:v>
                </c:pt>
                <c:pt idx="293">
                  <c:v>440000</c:v>
                </c:pt>
                <c:pt idx="294">
                  <c:v>445000</c:v>
                </c:pt>
                <c:pt idx="295">
                  <c:v>450000</c:v>
                </c:pt>
                <c:pt idx="296">
                  <c:v>455000</c:v>
                </c:pt>
                <c:pt idx="297">
                  <c:v>460000</c:v>
                </c:pt>
                <c:pt idx="298">
                  <c:v>465000</c:v>
                </c:pt>
                <c:pt idx="299">
                  <c:v>470000</c:v>
                </c:pt>
                <c:pt idx="300">
                  <c:v>475000</c:v>
                </c:pt>
                <c:pt idx="301">
                  <c:v>480000</c:v>
                </c:pt>
                <c:pt idx="302">
                  <c:v>485000</c:v>
                </c:pt>
                <c:pt idx="303">
                  <c:v>490000</c:v>
                </c:pt>
                <c:pt idx="304">
                  <c:v>495000</c:v>
                </c:pt>
                <c:pt idx="305">
                  <c:v>500000</c:v>
                </c:pt>
                <c:pt idx="306">
                  <c:v>505000</c:v>
                </c:pt>
                <c:pt idx="307">
                  <c:v>510000</c:v>
                </c:pt>
                <c:pt idx="308">
                  <c:v>515000</c:v>
                </c:pt>
                <c:pt idx="309">
                  <c:v>520000</c:v>
                </c:pt>
                <c:pt idx="310">
                  <c:v>525000</c:v>
                </c:pt>
                <c:pt idx="311">
                  <c:v>530000</c:v>
                </c:pt>
                <c:pt idx="312">
                  <c:v>535000</c:v>
                </c:pt>
                <c:pt idx="313">
                  <c:v>540000</c:v>
                </c:pt>
                <c:pt idx="314">
                  <c:v>545000</c:v>
                </c:pt>
                <c:pt idx="315">
                  <c:v>550000</c:v>
                </c:pt>
                <c:pt idx="316">
                  <c:v>555000</c:v>
                </c:pt>
                <c:pt idx="317">
                  <c:v>560000</c:v>
                </c:pt>
                <c:pt idx="318">
                  <c:v>565000</c:v>
                </c:pt>
                <c:pt idx="319">
                  <c:v>570000</c:v>
                </c:pt>
                <c:pt idx="320">
                  <c:v>575000</c:v>
                </c:pt>
                <c:pt idx="321">
                  <c:v>580000</c:v>
                </c:pt>
                <c:pt idx="322">
                  <c:v>585000</c:v>
                </c:pt>
                <c:pt idx="323">
                  <c:v>590000</c:v>
                </c:pt>
                <c:pt idx="324">
                  <c:v>595000</c:v>
                </c:pt>
                <c:pt idx="325">
                  <c:v>600000</c:v>
                </c:pt>
                <c:pt idx="326">
                  <c:v>605000</c:v>
                </c:pt>
                <c:pt idx="327">
                  <c:v>610000</c:v>
                </c:pt>
                <c:pt idx="328">
                  <c:v>615000</c:v>
                </c:pt>
                <c:pt idx="329">
                  <c:v>620000</c:v>
                </c:pt>
                <c:pt idx="330">
                  <c:v>625000</c:v>
                </c:pt>
                <c:pt idx="331">
                  <c:v>630000</c:v>
                </c:pt>
                <c:pt idx="332">
                  <c:v>635000</c:v>
                </c:pt>
                <c:pt idx="333">
                  <c:v>640000</c:v>
                </c:pt>
                <c:pt idx="334">
                  <c:v>645000</c:v>
                </c:pt>
                <c:pt idx="335">
                  <c:v>650000</c:v>
                </c:pt>
                <c:pt idx="336">
                  <c:v>655000</c:v>
                </c:pt>
                <c:pt idx="337">
                  <c:v>660000</c:v>
                </c:pt>
                <c:pt idx="338">
                  <c:v>665000</c:v>
                </c:pt>
                <c:pt idx="339">
                  <c:v>670000</c:v>
                </c:pt>
                <c:pt idx="340">
                  <c:v>675000</c:v>
                </c:pt>
                <c:pt idx="341">
                  <c:v>680000</c:v>
                </c:pt>
                <c:pt idx="342">
                  <c:v>685000</c:v>
                </c:pt>
                <c:pt idx="343">
                  <c:v>690000</c:v>
                </c:pt>
                <c:pt idx="344">
                  <c:v>695000</c:v>
                </c:pt>
                <c:pt idx="345">
                  <c:v>700000</c:v>
                </c:pt>
                <c:pt idx="346">
                  <c:v>705000</c:v>
                </c:pt>
                <c:pt idx="347">
                  <c:v>710000</c:v>
                </c:pt>
                <c:pt idx="348">
                  <c:v>715000</c:v>
                </c:pt>
                <c:pt idx="349">
                  <c:v>720000</c:v>
                </c:pt>
                <c:pt idx="350">
                  <c:v>725000</c:v>
                </c:pt>
                <c:pt idx="351">
                  <c:v>730000</c:v>
                </c:pt>
                <c:pt idx="352">
                  <c:v>735000</c:v>
                </c:pt>
                <c:pt idx="353">
                  <c:v>740000</c:v>
                </c:pt>
                <c:pt idx="354">
                  <c:v>745000</c:v>
                </c:pt>
                <c:pt idx="355">
                  <c:v>750000</c:v>
                </c:pt>
                <c:pt idx="356">
                  <c:v>755000</c:v>
                </c:pt>
                <c:pt idx="357">
                  <c:v>760000</c:v>
                </c:pt>
                <c:pt idx="358">
                  <c:v>765000</c:v>
                </c:pt>
                <c:pt idx="359">
                  <c:v>770000</c:v>
                </c:pt>
                <c:pt idx="360">
                  <c:v>775000</c:v>
                </c:pt>
                <c:pt idx="361">
                  <c:v>780000</c:v>
                </c:pt>
                <c:pt idx="362">
                  <c:v>785000</c:v>
                </c:pt>
                <c:pt idx="363">
                  <c:v>790000</c:v>
                </c:pt>
                <c:pt idx="364">
                  <c:v>795000</c:v>
                </c:pt>
                <c:pt idx="365">
                  <c:v>800000</c:v>
                </c:pt>
                <c:pt idx="366">
                  <c:v>805000</c:v>
                </c:pt>
                <c:pt idx="367">
                  <c:v>810000</c:v>
                </c:pt>
                <c:pt idx="368">
                  <c:v>815000</c:v>
                </c:pt>
                <c:pt idx="369">
                  <c:v>820000</c:v>
                </c:pt>
                <c:pt idx="370">
                  <c:v>825000</c:v>
                </c:pt>
                <c:pt idx="371">
                  <c:v>830000</c:v>
                </c:pt>
                <c:pt idx="372">
                  <c:v>835000</c:v>
                </c:pt>
                <c:pt idx="373">
                  <c:v>840000</c:v>
                </c:pt>
                <c:pt idx="374">
                  <c:v>845000</c:v>
                </c:pt>
                <c:pt idx="375">
                  <c:v>850000</c:v>
                </c:pt>
                <c:pt idx="376">
                  <c:v>855000</c:v>
                </c:pt>
                <c:pt idx="377">
                  <c:v>860000</c:v>
                </c:pt>
                <c:pt idx="378">
                  <c:v>865000</c:v>
                </c:pt>
                <c:pt idx="379">
                  <c:v>870000</c:v>
                </c:pt>
                <c:pt idx="380">
                  <c:v>875000</c:v>
                </c:pt>
                <c:pt idx="381">
                  <c:v>880000</c:v>
                </c:pt>
                <c:pt idx="382">
                  <c:v>885000</c:v>
                </c:pt>
                <c:pt idx="383">
                  <c:v>890000</c:v>
                </c:pt>
                <c:pt idx="384">
                  <c:v>895000</c:v>
                </c:pt>
                <c:pt idx="385">
                  <c:v>900000</c:v>
                </c:pt>
                <c:pt idx="386">
                  <c:v>905000</c:v>
                </c:pt>
                <c:pt idx="387">
                  <c:v>910000</c:v>
                </c:pt>
                <c:pt idx="388">
                  <c:v>915000</c:v>
                </c:pt>
                <c:pt idx="389">
                  <c:v>920000</c:v>
                </c:pt>
                <c:pt idx="390">
                  <c:v>925000</c:v>
                </c:pt>
                <c:pt idx="391">
                  <c:v>930000</c:v>
                </c:pt>
                <c:pt idx="392">
                  <c:v>935000</c:v>
                </c:pt>
                <c:pt idx="393">
                  <c:v>940000</c:v>
                </c:pt>
                <c:pt idx="394">
                  <c:v>945000</c:v>
                </c:pt>
                <c:pt idx="395">
                  <c:v>950000</c:v>
                </c:pt>
                <c:pt idx="396">
                  <c:v>955000</c:v>
                </c:pt>
                <c:pt idx="397">
                  <c:v>960000</c:v>
                </c:pt>
                <c:pt idx="398">
                  <c:v>965000</c:v>
                </c:pt>
                <c:pt idx="399">
                  <c:v>970000</c:v>
                </c:pt>
                <c:pt idx="400">
                  <c:v>975000</c:v>
                </c:pt>
                <c:pt idx="401">
                  <c:v>980000</c:v>
                </c:pt>
                <c:pt idx="402">
                  <c:v>985000</c:v>
                </c:pt>
                <c:pt idx="403">
                  <c:v>990000</c:v>
                </c:pt>
                <c:pt idx="404">
                  <c:v>995000</c:v>
                </c:pt>
                <c:pt idx="405">
                  <c:v>1000000</c:v>
                </c:pt>
                <c:pt idx="406">
                  <c:v>1005000</c:v>
                </c:pt>
                <c:pt idx="407">
                  <c:v>1010000</c:v>
                </c:pt>
                <c:pt idx="408">
                  <c:v>1015000</c:v>
                </c:pt>
                <c:pt idx="409">
                  <c:v>1020000</c:v>
                </c:pt>
                <c:pt idx="410">
                  <c:v>1025000</c:v>
                </c:pt>
                <c:pt idx="411">
                  <c:v>1030000</c:v>
                </c:pt>
                <c:pt idx="412">
                  <c:v>1035000</c:v>
                </c:pt>
                <c:pt idx="413">
                  <c:v>1040000</c:v>
                </c:pt>
                <c:pt idx="414">
                  <c:v>1045000</c:v>
                </c:pt>
                <c:pt idx="415">
                  <c:v>1050000</c:v>
                </c:pt>
                <c:pt idx="416">
                  <c:v>1055000</c:v>
                </c:pt>
                <c:pt idx="417">
                  <c:v>1060000</c:v>
                </c:pt>
                <c:pt idx="418">
                  <c:v>1065000</c:v>
                </c:pt>
                <c:pt idx="419">
                  <c:v>1070000</c:v>
                </c:pt>
                <c:pt idx="420">
                  <c:v>1075000</c:v>
                </c:pt>
                <c:pt idx="421">
                  <c:v>1080000</c:v>
                </c:pt>
                <c:pt idx="422">
                  <c:v>1085000</c:v>
                </c:pt>
                <c:pt idx="423">
                  <c:v>1090000</c:v>
                </c:pt>
                <c:pt idx="424">
                  <c:v>1095000</c:v>
                </c:pt>
                <c:pt idx="425">
                  <c:v>1100000</c:v>
                </c:pt>
                <c:pt idx="426">
                  <c:v>1105000</c:v>
                </c:pt>
                <c:pt idx="427">
                  <c:v>1110000</c:v>
                </c:pt>
                <c:pt idx="428">
                  <c:v>1115000</c:v>
                </c:pt>
                <c:pt idx="429">
                  <c:v>1120000</c:v>
                </c:pt>
                <c:pt idx="430">
                  <c:v>1125000</c:v>
                </c:pt>
                <c:pt idx="431">
                  <c:v>1130000</c:v>
                </c:pt>
                <c:pt idx="432">
                  <c:v>1135000</c:v>
                </c:pt>
                <c:pt idx="433">
                  <c:v>1140000</c:v>
                </c:pt>
                <c:pt idx="434">
                  <c:v>1145000</c:v>
                </c:pt>
                <c:pt idx="435">
                  <c:v>1150000</c:v>
                </c:pt>
                <c:pt idx="436">
                  <c:v>1155000</c:v>
                </c:pt>
                <c:pt idx="437">
                  <c:v>1160000</c:v>
                </c:pt>
                <c:pt idx="438">
                  <c:v>1165000</c:v>
                </c:pt>
                <c:pt idx="439">
                  <c:v>1170000</c:v>
                </c:pt>
                <c:pt idx="440">
                  <c:v>1175000</c:v>
                </c:pt>
                <c:pt idx="441">
                  <c:v>1180000</c:v>
                </c:pt>
                <c:pt idx="442">
                  <c:v>1185000</c:v>
                </c:pt>
                <c:pt idx="443">
                  <c:v>1190000</c:v>
                </c:pt>
                <c:pt idx="444">
                  <c:v>1195000</c:v>
                </c:pt>
                <c:pt idx="445">
                  <c:v>1200000</c:v>
                </c:pt>
                <c:pt idx="446">
                  <c:v>1205000</c:v>
                </c:pt>
                <c:pt idx="447">
                  <c:v>1210000</c:v>
                </c:pt>
                <c:pt idx="448">
                  <c:v>1215000</c:v>
                </c:pt>
                <c:pt idx="449">
                  <c:v>1220000</c:v>
                </c:pt>
                <c:pt idx="450">
                  <c:v>1225000</c:v>
                </c:pt>
                <c:pt idx="451">
                  <c:v>1230000</c:v>
                </c:pt>
                <c:pt idx="452">
                  <c:v>1235000</c:v>
                </c:pt>
                <c:pt idx="453">
                  <c:v>1240000</c:v>
                </c:pt>
                <c:pt idx="454">
                  <c:v>1245000</c:v>
                </c:pt>
                <c:pt idx="455">
                  <c:v>1250000</c:v>
                </c:pt>
                <c:pt idx="456">
                  <c:v>1255000</c:v>
                </c:pt>
                <c:pt idx="457">
                  <c:v>1260000</c:v>
                </c:pt>
                <c:pt idx="458">
                  <c:v>1265000</c:v>
                </c:pt>
                <c:pt idx="459">
                  <c:v>1270000</c:v>
                </c:pt>
                <c:pt idx="460">
                  <c:v>1275000</c:v>
                </c:pt>
                <c:pt idx="461">
                  <c:v>1280000</c:v>
                </c:pt>
                <c:pt idx="462">
                  <c:v>1285000</c:v>
                </c:pt>
                <c:pt idx="463">
                  <c:v>1290000</c:v>
                </c:pt>
                <c:pt idx="464">
                  <c:v>1295000</c:v>
                </c:pt>
                <c:pt idx="465">
                  <c:v>1300000</c:v>
                </c:pt>
                <c:pt idx="466">
                  <c:v>1305000</c:v>
                </c:pt>
                <c:pt idx="467">
                  <c:v>1310000</c:v>
                </c:pt>
                <c:pt idx="468">
                  <c:v>1315000</c:v>
                </c:pt>
                <c:pt idx="469">
                  <c:v>1320000</c:v>
                </c:pt>
                <c:pt idx="470">
                  <c:v>1325000</c:v>
                </c:pt>
                <c:pt idx="471">
                  <c:v>1330000</c:v>
                </c:pt>
                <c:pt idx="472">
                  <c:v>1335000</c:v>
                </c:pt>
                <c:pt idx="473">
                  <c:v>1340000</c:v>
                </c:pt>
                <c:pt idx="474">
                  <c:v>1345000</c:v>
                </c:pt>
                <c:pt idx="475">
                  <c:v>1350000</c:v>
                </c:pt>
                <c:pt idx="476">
                  <c:v>1355000</c:v>
                </c:pt>
                <c:pt idx="477">
                  <c:v>1360000</c:v>
                </c:pt>
                <c:pt idx="478">
                  <c:v>1365000</c:v>
                </c:pt>
                <c:pt idx="479">
                  <c:v>1370000</c:v>
                </c:pt>
                <c:pt idx="480">
                  <c:v>1375000</c:v>
                </c:pt>
                <c:pt idx="481">
                  <c:v>1380000</c:v>
                </c:pt>
                <c:pt idx="482">
                  <c:v>1385000</c:v>
                </c:pt>
                <c:pt idx="483">
                  <c:v>1390000</c:v>
                </c:pt>
                <c:pt idx="484">
                  <c:v>1395000</c:v>
                </c:pt>
                <c:pt idx="485">
                  <c:v>1400000</c:v>
                </c:pt>
                <c:pt idx="486">
                  <c:v>1405000</c:v>
                </c:pt>
                <c:pt idx="487">
                  <c:v>1410000</c:v>
                </c:pt>
                <c:pt idx="488">
                  <c:v>1415000</c:v>
                </c:pt>
                <c:pt idx="489">
                  <c:v>1420000</c:v>
                </c:pt>
                <c:pt idx="490">
                  <c:v>1425000</c:v>
                </c:pt>
                <c:pt idx="491">
                  <c:v>1430000</c:v>
                </c:pt>
                <c:pt idx="492">
                  <c:v>1435000</c:v>
                </c:pt>
                <c:pt idx="493">
                  <c:v>1440000</c:v>
                </c:pt>
                <c:pt idx="494">
                  <c:v>1445000</c:v>
                </c:pt>
                <c:pt idx="495">
                  <c:v>1450000</c:v>
                </c:pt>
                <c:pt idx="496">
                  <c:v>1455000</c:v>
                </c:pt>
                <c:pt idx="497">
                  <c:v>1460000</c:v>
                </c:pt>
                <c:pt idx="498">
                  <c:v>1465000</c:v>
                </c:pt>
                <c:pt idx="499">
                  <c:v>1470000</c:v>
                </c:pt>
                <c:pt idx="500">
                  <c:v>1475000</c:v>
                </c:pt>
                <c:pt idx="501">
                  <c:v>1480000</c:v>
                </c:pt>
                <c:pt idx="502">
                  <c:v>1485000</c:v>
                </c:pt>
                <c:pt idx="503">
                  <c:v>1490000</c:v>
                </c:pt>
                <c:pt idx="504">
                  <c:v>1495000</c:v>
                </c:pt>
                <c:pt idx="505">
                  <c:v>1500000</c:v>
                </c:pt>
                <c:pt idx="506">
                  <c:v>1505000</c:v>
                </c:pt>
                <c:pt idx="507">
                  <c:v>1510000</c:v>
                </c:pt>
                <c:pt idx="508">
                  <c:v>1515000</c:v>
                </c:pt>
                <c:pt idx="509">
                  <c:v>1520000</c:v>
                </c:pt>
                <c:pt idx="510">
                  <c:v>1525000</c:v>
                </c:pt>
                <c:pt idx="511">
                  <c:v>1530000</c:v>
                </c:pt>
                <c:pt idx="512">
                  <c:v>1535000</c:v>
                </c:pt>
                <c:pt idx="513">
                  <c:v>1540000</c:v>
                </c:pt>
                <c:pt idx="514">
                  <c:v>1545000</c:v>
                </c:pt>
                <c:pt idx="515">
                  <c:v>1550000</c:v>
                </c:pt>
                <c:pt idx="516">
                  <c:v>1555000</c:v>
                </c:pt>
                <c:pt idx="517">
                  <c:v>1560000</c:v>
                </c:pt>
                <c:pt idx="518">
                  <c:v>1565000</c:v>
                </c:pt>
                <c:pt idx="519">
                  <c:v>1570000</c:v>
                </c:pt>
                <c:pt idx="520">
                  <c:v>1575000</c:v>
                </c:pt>
                <c:pt idx="521">
                  <c:v>1580000</c:v>
                </c:pt>
                <c:pt idx="522">
                  <c:v>1585000</c:v>
                </c:pt>
                <c:pt idx="523">
                  <c:v>1590000</c:v>
                </c:pt>
                <c:pt idx="524">
                  <c:v>1595000</c:v>
                </c:pt>
                <c:pt idx="525">
                  <c:v>1600000</c:v>
                </c:pt>
                <c:pt idx="526">
                  <c:v>1605000</c:v>
                </c:pt>
                <c:pt idx="527">
                  <c:v>1610000</c:v>
                </c:pt>
                <c:pt idx="528">
                  <c:v>1615000</c:v>
                </c:pt>
                <c:pt idx="529">
                  <c:v>1620000</c:v>
                </c:pt>
                <c:pt idx="530">
                  <c:v>1625000</c:v>
                </c:pt>
                <c:pt idx="531">
                  <c:v>1630000</c:v>
                </c:pt>
                <c:pt idx="532">
                  <c:v>1635000</c:v>
                </c:pt>
                <c:pt idx="533">
                  <c:v>1640000</c:v>
                </c:pt>
                <c:pt idx="534">
                  <c:v>1645000</c:v>
                </c:pt>
                <c:pt idx="535">
                  <c:v>1650000</c:v>
                </c:pt>
                <c:pt idx="536">
                  <c:v>1655000</c:v>
                </c:pt>
                <c:pt idx="537">
                  <c:v>1660000</c:v>
                </c:pt>
                <c:pt idx="538">
                  <c:v>1665000</c:v>
                </c:pt>
                <c:pt idx="539">
                  <c:v>1670000</c:v>
                </c:pt>
                <c:pt idx="540">
                  <c:v>1675000</c:v>
                </c:pt>
                <c:pt idx="541">
                  <c:v>1680000</c:v>
                </c:pt>
                <c:pt idx="542">
                  <c:v>1685000</c:v>
                </c:pt>
                <c:pt idx="543">
                  <c:v>1690000</c:v>
                </c:pt>
                <c:pt idx="544">
                  <c:v>1695000</c:v>
                </c:pt>
                <c:pt idx="545">
                  <c:v>1700000</c:v>
                </c:pt>
                <c:pt idx="546">
                  <c:v>1705000</c:v>
                </c:pt>
                <c:pt idx="547">
                  <c:v>1710000</c:v>
                </c:pt>
                <c:pt idx="548">
                  <c:v>1715000</c:v>
                </c:pt>
                <c:pt idx="549">
                  <c:v>1720000</c:v>
                </c:pt>
                <c:pt idx="550">
                  <c:v>1725000</c:v>
                </c:pt>
                <c:pt idx="551">
                  <c:v>1730000</c:v>
                </c:pt>
                <c:pt idx="552">
                  <c:v>1735000</c:v>
                </c:pt>
                <c:pt idx="553">
                  <c:v>1740000</c:v>
                </c:pt>
                <c:pt idx="554">
                  <c:v>1745000</c:v>
                </c:pt>
                <c:pt idx="555">
                  <c:v>1750000</c:v>
                </c:pt>
                <c:pt idx="556">
                  <c:v>1755000</c:v>
                </c:pt>
                <c:pt idx="557">
                  <c:v>1760000</c:v>
                </c:pt>
                <c:pt idx="558">
                  <c:v>1765000</c:v>
                </c:pt>
                <c:pt idx="559">
                  <c:v>1770000</c:v>
                </c:pt>
                <c:pt idx="560">
                  <c:v>1775000</c:v>
                </c:pt>
                <c:pt idx="561">
                  <c:v>1780000</c:v>
                </c:pt>
                <c:pt idx="562">
                  <c:v>1785000</c:v>
                </c:pt>
                <c:pt idx="563">
                  <c:v>1790000</c:v>
                </c:pt>
                <c:pt idx="564">
                  <c:v>1795000</c:v>
                </c:pt>
                <c:pt idx="565">
                  <c:v>1800000</c:v>
                </c:pt>
                <c:pt idx="566">
                  <c:v>1805000</c:v>
                </c:pt>
                <c:pt idx="567">
                  <c:v>1810000</c:v>
                </c:pt>
                <c:pt idx="568">
                  <c:v>1815000</c:v>
                </c:pt>
                <c:pt idx="569">
                  <c:v>1820000</c:v>
                </c:pt>
                <c:pt idx="570">
                  <c:v>1825000</c:v>
                </c:pt>
                <c:pt idx="571">
                  <c:v>1830000</c:v>
                </c:pt>
                <c:pt idx="572">
                  <c:v>1835000</c:v>
                </c:pt>
                <c:pt idx="573">
                  <c:v>1840000</c:v>
                </c:pt>
                <c:pt idx="574">
                  <c:v>1845000</c:v>
                </c:pt>
                <c:pt idx="575">
                  <c:v>1850000</c:v>
                </c:pt>
                <c:pt idx="576">
                  <c:v>1855000</c:v>
                </c:pt>
                <c:pt idx="577">
                  <c:v>1860000</c:v>
                </c:pt>
                <c:pt idx="578">
                  <c:v>1865000</c:v>
                </c:pt>
                <c:pt idx="579">
                  <c:v>1870000</c:v>
                </c:pt>
                <c:pt idx="580">
                  <c:v>1875000</c:v>
                </c:pt>
                <c:pt idx="581">
                  <c:v>1880000</c:v>
                </c:pt>
                <c:pt idx="582">
                  <c:v>1885000</c:v>
                </c:pt>
                <c:pt idx="583">
                  <c:v>1890000</c:v>
                </c:pt>
                <c:pt idx="584">
                  <c:v>1895000</c:v>
                </c:pt>
                <c:pt idx="585">
                  <c:v>1900000</c:v>
                </c:pt>
                <c:pt idx="586">
                  <c:v>1905000</c:v>
                </c:pt>
                <c:pt idx="587">
                  <c:v>1910000</c:v>
                </c:pt>
                <c:pt idx="588">
                  <c:v>1915000</c:v>
                </c:pt>
                <c:pt idx="589">
                  <c:v>1920000</c:v>
                </c:pt>
                <c:pt idx="590">
                  <c:v>1925000</c:v>
                </c:pt>
                <c:pt idx="591">
                  <c:v>1930000</c:v>
                </c:pt>
                <c:pt idx="592">
                  <c:v>1935000</c:v>
                </c:pt>
                <c:pt idx="593">
                  <c:v>1940000</c:v>
                </c:pt>
                <c:pt idx="594">
                  <c:v>1945000</c:v>
                </c:pt>
                <c:pt idx="595">
                  <c:v>1950000</c:v>
                </c:pt>
                <c:pt idx="596">
                  <c:v>1955000</c:v>
                </c:pt>
                <c:pt idx="597">
                  <c:v>1960000</c:v>
                </c:pt>
                <c:pt idx="598">
                  <c:v>1965000</c:v>
                </c:pt>
                <c:pt idx="599">
                  <c:v>1970000</c:v>
                </c:pt>
                <c:pt idx="600">
                  <c:v>1975000</c:v>
                </c:pt>
                <c:pt idx="601">
                  <c:v>1980000</c:v>
                </c:pt>
                <c:pt idx="602">
                  <c:v>1985000</c:v>
                </c:pt>
                <c:pt idx="603">
                  <c:v>1990000</c:v>
                </c:pt>
                <c:pt idx="604">
                  <c:v>1995000</c:v>
                </c:pt>
                <c:pt idx="605">
                  <c:v>2000000</c:v>
                </c:pt>
                <c:pt idx="606">
                  <c:v>2250000</c:v>
                </c:pt>
                <c:pt idx="607">
                  <c:v>2500000</c:v>
                </c:pt>
                <c:pt idx="608">
                  <c:v>2750000</c:v>
                </c:pt>
                <c:pt idx="609">
                  <c:v>3000000</c:v>
                </c:pt>
                <c:pt idx="610">
                  <c:v>3250000</c:v>
                </c:pt>
                <c:pt idx="611">
                  <c:v>3500000</c:v>
                </c:pt>
                <c:pt idx="612">
                  <c:v>3750000</c:v>
                </c:pt>
                <c:pt idx="613">
                  <c:v>4000000</c:v>
                </c:pt>
                <c:pt idx="614">
                  <c:v>4250000</c:v>
                </c:pt>
                <c:pt idx="615">
                  <c:v>4500000</c:v>
                </c:pt>
                <c:pt idx="616">
                  <c:v>4750000</c:v>
                </c:pt>
                <c:pt idx="617">
                  <c:v>5000000</c:v>
                </c:pt>
                <c:pt idx="618">
                  <c:v>5100000</c:v>
                </c:pt>
                <c:pt idx="619">
                  <c:v>5200000</c:v>
                </c:pt>
                <c:pt idx="620">
                  <c:v>5300000</c:v>
                </c:pt>
                <c:pt idx="621">
                  <c:v>5400000</c:v>
                </c:pt>
                <c:pt idx="622">
                  <c:v>5500000</c:v>
                </c:pt>
                <c:pt idx="623">
                  <c:v>5600000</c:v>
                </c:pt>
                <c:pt idx="624">
                  <c:v>5700000</c:v>
                </c:pt>
                <c:pt idx="625">
                  <c:v>5800000</c:v>
                </c:pt>
                <c:pt idx="626">
                  <c:v>5900000</c:v>
                </c:pt>
                <c:pt idx="627">
                  <c:v>6000000</c:v>
                </c:pt>
                <c:pt idx="628">
                  <c:v>6100000</c:v>
                </c:pt>
                <c:pt idx="629">
                  <c:v>6200000</c:v>
                </c:pt>
                <c:pt idx="630">
                  <c:v>6300000</c:v>
                </c:pt>
                <c:pt idx="631">
                  <c:v>6400000</c:v>
                </c:pt>
                <c:pt idx="632">
                  <c:v>6500000</c:v>
                </c:pt>
                <c:pt idx="633">
                  <c:v>6600000</c:v>
                </c:pt>
                <c:pt idx="634">
                  <c:v>6700000</c:v>
                </c:pt>
                <c:pt idx="635">
                  <c:v>6800000</c:v>
                </c:pt>
                <c:pt idx="636">
                  <c:v>6900000</c:v>
                </c:pt>
                <c:pt idx="637">
                  <c:v>7000000</c:v>
                </c:pt>
                <c:pt idx="638">
                  <c:v>7100000</c:v>
                </c:pt>
                <c:pt idx="639">
                  <c:v>7200000</c:v>
                </c:pt>
                <c:pt idx="640">
                  <c:v>7300000</c:v>
                </c:pt>
                <c:pt idx="641">
                  <c:v>7400000</c:v>
                </c:pt>
                <c:pt idx="642">
                  <c:v>7500000</c:v>
                </c:pt>
                <c:pt idx="643">
                  <c:v>7600000</c:v>
                </c:pt>
                <c:pt idx="644">
                  <c:v>7700000</c:v>
                </c:pt>
                <c:pt idx="645">
                  <c:v>7800000</c:v>
                </c:pt>
                <c:pt idx="646">
                  <c:v>7900000</c:v>
                </c:pt>
                <c:pt idx="647">
                  <c:v>8000000</c:v>
                </c:pt>
                <c:pt idx="648">
                  <c:v>8100000</c:v>
                </c:pt>
                <c:pt idx="649">
                  <c:v>8200000</c:v>
                </c:pt>
                <c:pt idx="650">
                  <c:v>8300000</c:v>
                </c:pt>
                <c:pt idx="651">
                  <c:v>8400000</c:v>
                </c:pt>
                <c:pt idx="652">
                  <c:v>8500000</c:v>
                </c:pt>
                <c:pt idx="653">
                  <c:v>8600000</c:v>
                </c:pt>
                <c:pt idx="654">
                  <c:v>8700000</c:v>
                </c:pt>
                <c:pt idx="655">
                  <c:v>8800000</c:v>
                </c:pt>
                <c:pt idx="656">
                  <c:v>8900000</c:v>
                </c:pt>
                <c:pt idx="657">
                  <c:v>9000000</c:v>
                </c:pt>
                <c:pt idx="658">
                  <c:v>9100000</c:v>
                </c:pt>
                <c:pt idx="659">
                  <c:v>9200000</c:v>
                </c:pt>
                <c:pt idx="660">
                  <c:v>9300000</c:v>
                </c:pt>
                <c:pt idx="661">
                  <c:v>9400000</c:v>
                </c:pt>
                <c:pt idx="662">
                  <c:v>9500000</c:v>
                </c:pt>
                <c:pt idx="663">
                  <c:v>9600000</c:v>
                </c:pt>
                <c:pt idx="664">
                  <c:v>9700000</c:v>
                </c:pt>
                <c:pt idx="665">
                  <c:v>9800000</c:v>
                </c:pt>
                <c:pt idx="666">
                  <c:v>9900000</c:v>
                </c:pt>
                <c:pt idx="667">
                  <c:v>10000000</c:v>
                </c:pt>
              </c:numCache>
            </c:numRef>
          </c:xVal>
          <c:yVal>
            <c:numRef>
              <c:f>'Bode Plots Calculations'!$BF$9:$BF$676</c:f>
              <c:numCache>
                <c:formatCode>General</c:formatCode>
                <c:ptCount val="668"/>
                <c:pt idx="0">
                  <c:v>68.029083380773812</c:v>
                </c:pt>
                <c:pt idx="1">
                  <c:v>67.970781678194484</c:v>
                </c:pt>
                <c:pt idx="2">
                  <c:v>67.875318436912181</c:v>
                </c:pt>
                <c:pt idx="3">
                  <c:v>67.745099999468479</c:v>
                </c:pt>
                <c:pt idx="4">
                  <c:v>67.583216415606373</c:v>
                </c:pt>
                <c:pt idx="5">
                  <c:v>67.393218337815512</c:v>
                </c:pt>
                <c:pt idx="6">
                  <c:v>67.178892757066706</c:v>
                </c:pt>
                <c:pt idx="7">
                  <c:v>66.944062000830144</c:v>
                </c:pt>
                <c:pt idx="8">
                  <c:v>66.692421295864847</c:v>
                </c:pt>
                <c:pt idx="9">
                  <c:v>66.427420897092858</c:v>
                </c:pt>
                <c:pt idx="10">
                  <c:v>63.561421230646005</c:v>
                </c:pt>
                <c:pt idx="11">
                  <c:v>60.99625368524773</c:v>
                </c:pt>
                <c:pt idx="12">
                  <c:v>58.889244476827294</c:v>
                </c:pt>
                <c:pt idx="13">
                  <c:v>57.145130759341271</c:v>
                </c:pt>
                <c:pt idx="14">
                  <c:v>55.670746811018851</c:v>
                </c:pt>
                <c:pt idx="15">
                  <c:v>54.399095216612857</c:v>
                </c:pt>
                <c:pt idx="16">
                  <c:v>53.283555780116131</c:v>
                </c:pt>
                <c:pt idx="17">
                  <c:v>52.291207054092006</c:v>
                </c:pt>
                <c:pt idx="18">
                  <c:v>51.398220404131877</c:v>
                </c:pt>
                <c:pt idx="19">
                  <c:v>45.451687474645688</c:v>
                </c:pt>
                <c:pt idx="20">
                  <c:v>41.948252233056458</c:v>
                </c:pt>
                <c:pt idx="21">
                  <c:v>39.46128831059049</c:v>
                </c:pt>
                <c:pt idx="22">
                  <c:v>37.534435203817061</c:v>
                </c:pt>
                <c:pt idx="23">
                  <c:v>35.963202024709787</c:v>
                </c:pt>
                <c:pt idx="24">
                  <c:v>34.638214451903345</c:v>
                </c:pt>
                <c:pt idx="25">
                  <c:v>33.494088352669806</c:v>
                </c:pt>
                <c:pt idx="26">
                  <c:v>32.488608815080966</c:v>
                </c:pt>
                <c:pt idx="27">
                  <c:v>31.592931050976567</c:v>
                </c:pt>
                <c:pt idx="28">
                  <c:v>28.197243562652282</c:v>
                </c:pt>
                <c:pt idx="29">
                  <c:v>25.871626226256438</c:v>
                </c:pt>
                <c:pt idx="30">
                  <c:v>24.151239211715911</c:v>
                </c:pt>
                <c:pt idx="31">
                  <c:v>22.827122223127603</c:v>
                </c:pt>
                <c:pt idx="32">
                  <c:v>21.786159441078951</c:v>
                </c:pt>
                <c:pt idx="33">
                  <c:v>20.95945783781746</c:v>
                </c:pt>
                <c:pt idx="34">
                  <c:v>20.301487469451128</c:v>
                </c:pt>
                <c:pt idx="35">
                  <c:v>19.780330408760673</c:v>
                </c:pt>
                <c:pt idx="36">
                  <c:v>19.372620836406359</c:v>
                </c:pt>
                <c:pt idx="37">
                  <c:v>19.060699256728554</c:v>
                </c:pt>
                <c:pt idx="38">
                  <c:v>18.830903690869242</c:v>
                </c:pt>
                <c:pt idx="39">
                  <c:v>18.672485622647262</c:v>
                </c:pt>
                <c:pt idx="40">
                  <c:v>18.576889447511611</c:v>
                </c:pt>
                <c:pt idx="41">
                  <c:v>18.537254315726571</c:v>
                </c:pt>
                <c:pt idx="42">
                  <c:v>18.548058298956224</c:v>
                </c:pt>
                <c:pt idx="43">
                  <c:v>18.604857374524876</c:v>
                </c:pt>
                <c:pt idx="44">
                  <c:v>18.704089831282534</c:v>
                </c:pt>
                <c:pt idx="45">
                  <c:v>18.842927136980741</c:v>
                </c:pt>
                <c:pt idx="46">
                  <c:v>19.019158497887638</c:v>
                </c:pt>
                <c:pt idx="47">
                  <c:v>19.231100077477294</c:v>
                </c:pt>
                <c:pt idx="48">
                  <c:v>19.4775220728649</c:v>
                </c:pt>
                <c:pt idx="49">
                  <c:v>19.757588070693419</c:v>
                </c:pt>
                <c:pt idx="50">
                  <c:v>20.070801546133058</c:v>
                </c:pt>
                <c:pt idx="51">
                  <c:v>20.416954074884114</c:v>
                </c:pt>
                <c:pt idx="52">
                  <c:v>20.796068688337286</c:v>
                </c:pt>
                <c:pt idx="53">
                  <c:v>21.208329537760932</c:v>
                </c:pt>
                <c:pt idx="54">
                  <c:v>21.653985154735341</c:v>
                </c:pt>
                <c:pt idx="55">
                  <c:v>22.133206341013654</c:v>
                </c:pt>
                <c:pt idx="56">
                  <c:v>22.645870023996608</c:v>
                </c:pt>
                <c:pt idx="57">
                  <c:v>23.191226020257215</c:v>
                </c:pt>
                <c:pt idx="58">
                  <c:v>23.767383760091001</c:v>
                </c:pt>
                <c:pt idx="59">
                  <c:v>24.370532370472905</c:v>
                </c:pt>
                <c:pt idx="60">
                  <c:v>24.993789842975467</c:v>
                </c:pt>
                <c:pt idx="61">
                  <c:v>25.625595374601641</c:v>
                </c:pt>
                <c:pt idx="62">
                  <c:v>26.247684883884869</c:v>
                </c:pt>
                <c:pt idx="63">
                  <c:v>26.833052490200085</c:v>
                </c:pt>
                <c:pt idx="64">
                  <c:v>27.345027847546991</c:v>
                </c:pt>
                <c:pt idx="65">
                  <c:v>27.739515809037648</c:v>
                </c:pt>
                <c:pt idx="66">
                  <c:v>27.972503863840394</c:v>
                </c:pt>
                <c:pt idx="67">
                  <c:v>28.012356154016036</c:v>
                </c:pt>
                <c:pt idx="68">
                  <c:v>27.851381992938254</c:v>
                </c:pt>
                <c:pt idx="69">
                  <c:v>27.508904701499333</c:v>
                </c:pt>
                <c:pt idx="70">
                  <c:v>27.023469001196723</c:v>
                </c:pt>
                <c:pt idx="71">
                  <c:v>26.439950368999519</c:v>
                </c:pt>
                <c:pt idx="72">
                  <c:v>25.799103641109923</c:v>
                </c:pt>
                <c:pt idx="73">
                  <c:v>25.132657129133541</c:v>
                </c:pt>
                <c:pt idx="74">
                  <c:v>24.462824834320674</c:v>
                </c:pt>
                <c:pt idx="75">
                  <c:v>23.803938930263033</c:v>
                </c:pt>
                <c:pt idx="76">
                  <c:v>23.164562438096187</c:v>
                </c:pt>
                <c:pt idx="77">
                  <c:v>22.549334704784716</c:v>
                </c:pt>
                <c:pt idx="78">
                  <c:v>21.960353529320159</c:v>
                </c:pt>
                <c:pt idx="79">
                  <c:v>21.398132080037659</c:v>
                </c:pt>
                <c:pt idx="80">
                  <c:v>20.86223248479353</c:v>
                </c:pt>
                <c:pt idx="81">
                  <c:v>20.351673860644702</c:v>
                </c:pt>
                <c:pt idx="82">
                  <c:v>19.865189930270017</c:v>
                </c:pt>
                <c:pt idx="83">
                  <c:v>19.401388819813757</c:v>
                </c:pt>
                <c:pt idx="84">
                  <c:v>18.958850168021371</c:v>
                </c:pt>
                <c:pt idx="85">
                  <c:v>18.536182441804371</c:v>
                </c:pt>
                <c:pt idx="86">
                  <c:v>18.132055187974196</c:v>
                </c:pt>
                <c:pt idx="87">
                  <c:v>17.745215634722133</c:v>
                </c:pt>
                <c:pt idx="88">
                  <c:v>17.374495637943909</c:v>
                </c:pt>
                <c:pt idx="89">
                  <c:v>17.018812781473336</c:v>
                </c:pt>
                <c:pt idx="90">
                  <c:v>16.677168044828043</c:v>
                </c:pt>
                <c:pt idx="91">
                  <c:v>16.348641561120658</c:v>
                </c:pt>
                <c:pt idx="92">
                  <c:v>16.032387418461749</c:v>
                </c:pt>
                <c:pt idx="93">
                  <c:v>15.72762809414699</c:v>
                </c:pt>
                <c:pt idx="94">
                  <c:v>15.433648878246835</c:v>
                </c:pt>
                <c:pt idx="95">
                  <c:v>15.149792494831146</c:v>
                </c:pt>
                <c:pt idx="96">
                  <c:v>14.875454034901342</c:v>
                </c:pt>
                <c:pt idx="97">
                  <c:v>14.610076255893009</c:v>
                </c:pt>
                <c:pt idx="98">
                  <c:v>14.353145265945662</c:v>
                </c:pt>
                <c:pt idx="99">
                  <c:v>14.104186588996015</c:v>
                </c:pt>
                <c:pt idx="100">
                  <c:v>13.862761593939046</c:v>
                </c:pt>
                <c:pt idx="101">
                  <c:v>13.628464264239559</c:v>
                </c:pt>
                <c:pt idx="102">
                  <c:v>13.400918281269046</c:v>
                </c:pt>
                <c:pt idx="103">
                  <c:v>13.179774393857912</c:v>
                </c:pt>
                <c:pt idx="104">
                  <c:v>12.964708047164848</c:v>
                </c:pt>
                <c:pt idx="105">
                  <c:v>12.755417245372939</c:v>
                </c:pt>
                <c:pt idx="106">
                  <c:v>12.551620624544304</c:v>
                </c:pt>
                <c:pt idx="107">
                  <c:v>12.353055713956852</c:v>
                </c:pt>
                <c:pt idx="108">
                  <c:v>12.15947736626185</c:v>
                </c:pt>
                <c:pt idx="109">
                  <c:v>11.970656338747037</c:v>
                </c:pt>
                <c:pt idx="110">
                  <c:v>11.786378009819973</c:v>
                </c:pt>
                <c:pt idx="111">
                  <c:v>11.606441216513506</c:v>
                </c:pt>
                <c:pt idx="112">
                  <c:v>11.430657200351744</c:v>
                </c:pt>
                <c:pt idx="113">
                  <c:v>11.258848650301408</c:v>
                </c:pt>
                <c:pt idx="114">
                  <c:v>11.090848832776199</c:v>
                </c:pt>
                <c:pt idx="115">
                  <c:v>10.926500799771139</c:v>
                </c:pt>
                <c:pt idx="116">
                  <c:v>10.765656667190155</c:v>
                </c:pt>
                <c:pt idx="117">
                  <c:v>10.608176956305705</c:v>
                </c:pt>
                <c:pt idx="118">
                  <c:v>10.453929992064852</c:v>
                </c:pt>
                <c:pt idx="119">
                  <c:v>10.30279135264292</c:v>
                </c:pt>
                <c:pt idx="120">
                  <c:v>10.154643365253476</c:v>
                </c:pt>
                <c:pt idx="121">
                  <c:v>10.009374643760832</c:v>
                </c:pt>
                <c:pt idx="122">
                  <c:v>9.8668796641169969</c:v>
                </c:pt>
                <c:pt idx="123">
                  <c:v>9.7270583740660896</c:v>
                </c:pt>
                <c:pt idx="124">
                  <c:v>9.5898158339322492</c:v>
                </c:pt>
                <c:pt idx="125">
                  <c:v>9.4550618856374467</c:v>
                </c:pt>
                <c:pt idx="126">
                  <c:v>9.3227108473891178</c:v>
                </c:pt>
                <c:pt idx="127">
                  <c:v>9.1926812317377209</c:v>
                </c:pt>
                <c:pt idx="128">
                  <c:v>9.0648954849359207</c:v>
                </c:pt>
                <c:pt idx="129">
                  <c:v>8.9392797457367905</c:v>
                </c:pt>
                <c:pt idx="130">
                  <c:v>8.8157636219520725</c:v>
                </c:pt>
                <c:pt idx="131">
                  <c:v>8.694279983254745</c:v>
                </c:pt>
                <c:pt idx="132">
                  <c:v>8.5747647688564541</c:v>
                </c:pt>
                <c:pt idx="133">
                  <c:v>8.4571568088204749</c:v>
                </c:pt>
                <c:pt idx="134">
                  <c:v>8.3413976578878586</c:v>
                </c:pt>
                <c:pt idx="135">
                  <c:v>8.2274314407987745</c:v>
                </c:pt>
                <c:pt idx="136">
                  <c:v>8.1152047081849723</c:v>
                </c:pt>
                <c:pt idx="137">
                  <c:v>8.0046663021933018</c:v>
                </c:pt>
                <c:pt idx="138">
                  <c:v>7.8957672310760652</c:v>
                </c:pt>
                <c:pt idx="139">
                  <c:v>7.7884605520519399</c:v>
                </c:pt>
                <c:pt idx="140">
                  <c:v>7.6827012618026362</c:v>
                </c:pt>
                <c:pt idx="141">
                  <c:v>7.5784461940257568</c:v>
                </c:pt>
                <c:pt idx="142">
                  <c:v>7.4756539235143125</c:v>
                </c:pt>
                <c:pt idx="143">
                  <c:v>7.3742846762783998</c:v>
                </c:pt>
                <c:pt idx="144">
                  <c:v>7.2743002452656942</c:v>
                </c:pt>
                <c:pt idx="145">
                  <c:v>7.1756639112740732</c:v>
                </c:pt>
                <c:pt idx="146">
                  <c:v>7.0783403686835111</c:v>
                </c:pt>
                <c:pt idx="147">
                  <c:v>6.9822956556648208</c:v>
                </c:pt>
                <c:pt idx="148">
                  <c:v>6.8874970885504716</c:v>
                </c:pt>
                <c:pt idx="149">
                  <c:v>6.7939132000778653</c:v>
                </c:pt>
                <c:pt idx="150">
                  <c:v>6.7015136812385663</c:v>
                </c:pt>
                <c:pt idx="151">
                  <c:v>6.6102693264876677</c:v>
                </c:pt>
                <c:pt idx="152">
                  <c:v>6.5201519820867144</c:v>
                </c:pt>
                <c:pt idx="153">
                  <c:v>6.4311344973709685</c:v>
                </c:pt>
                <c:pt idx="154">
                  <c:v>6.3431906787477113</c:v>
                </c:pt>
                <c:pt idx="155">
                  <c:v>6.2562952462467933</c:v>
                </c:pt>
                <c:pt idx="156">
                  <c:v>6.1704237924581937</c:v>
                </c:pt>
                <c:pt idx="157">
                  <c:v>6.0855527437031887</c:v>
                </c:pt>
                <c:pt idx="158">
                  <c:v>6.0016593232973605</c:v>
                </c:pt>
                <c:pt idx="159">
                  <c:v>5.918721516773692</c:v>
                </c:pt>
                <c:pt idx="160">
                  <c:v>5.8367180389435038</c:v>
                </c:pt>
                <c:pt idx="161">
                  <c:v>5.7556283026817558</c:v>
                </c:pt>
                <c:pt idx="162">
                  <c:v>5.6754323893311822</c:v>
                </c:pt>
                <c:pt idx="163">
                  <c:v>5.5961110206270774</c:v>
                </c:pt>
                <c:pt idx="164">
                  <c:v>5.5176455320513966</c:v>
                </c:pt>
                <c:pt idx="165">
                  <c:v>5.4400178475310899</c:v>
                </c:pt>
                <c:pt idx="166">
                  <c:v>5.3632104554013038</c:v>
                </c:pt>
                <c:pt idx="167">
                  <c:v>5.2872063855595242</c:v>
                </c:pt>
                <c:pt idx="168">
                  <c:v>5.2119891877416213</c:v>
                </c:pt>
                <c:pt idx="169">
                  <c:v>5.1375429108553083</c:v>
                </c:pt>
                <c:pt idx="170">
                  <c:v>5.0638520833108203</c:v>
                </c:pt>
                <c:pt idx="171">
                  <c:v>4.9909016942924653</c:v>
                </c:pt>
                <c:pt idx="172">
                  <c:v>4.9186771759183809</c:v>
                </c:pt>
                <c:pt idx="173">
                  <c:v>4.8471643862391707</c:v>
                </c:pt>
                <c:pt idx="174">
                  <c:v>4.7763495930292423</c:v>
                </c:pt>
                <c:pt idx="175">
                  <c:v>4.7062194583276042</c:v>
                </c:pt>
                <c:pt idx="176">
                  <c:v>4.6367610236874421</c:v>
                </c:pt>
                <c:pt idx="177">
                  <c:v>4.5679616960965097</c:v>
                </c:pt>
                <c:pt idx="178">
                  <c:v>4.4998092345325338</c:v>
                </c:pt>
                <c:pt idx="179">
                  <c:v>4.4322917371201349</c:v>
                </c:pt>
                <c:pt idx="180">
                  <c:v>4.3653976288576288</c:v>
                </c:pt>
                <c:pt idx="181">
                  <c:v>4.2991156498842189</c:v>
                </c:pt>
                <c:pt idx="182">
                  <c:v>4.2334348442595129</c:v>
                </c:pt>
                <c:pt idx="183">
                  <c:v>4.1683445492293369</c:v>
                </c:pt>
                <c:pt idx="184">
                  <c:v>4.1038343849529433</c:v>
                </c:pt>
                <c:pt idx="185">
                  <c:v>4.0398942446685124</c:v>
                </c:pt>
                <c:pt idx="186">
                  <c:v>3.9765142852749276</c:v>
                </c:pt>
                <c:pt idx="187">
                  <c:v>3.91368491830917</c:v>
                </c:pt>
                <c:pt idx="188">
                  <c:v>3.8513968012998543</c:v>
                </c:pt>
                <c:pt idx="189">
                  <c:v>3.7896408294785351</c:v>
                </c:pt>
                <c:pt idx="190">
                  <c:v>3.7284081278313312</c:v>
                </c:pt>
                <c:pt idx="191">
                  <c:v>3.6676900434745301</c:v>
                </c:pt>
                <c:pt idx="192">
                  <c:v>3.6074781383387071</c:v>
                </c:pt>
                <c:pt idx="193">
                  <c:v>3.5477641821465618</c:v>
                </c:pt>
                <c:pt idx="194">
                  <c:v>3.4885401456708296</c:v>
                </c:pt>
                <c:pt idx="195">
                  <c:v>3.4297981942589462</c:v>
                </c:pt>
                <c:pt idx="196">
                  <c:v>3.3715306816122208</c:v>
                </c:pt>
                <c:pt idx="197">
                  <c:v>3.3137301438077134</c:v>
                </c:pt>
                <c:pt idx="198">
                  <c:v>3.256389293551623</c:v>
                </c:pt>
                <c:pt idx="199">
                  <c:v>3.199501014653809</c:v>
                </c:pt>
                <c:pt idx="200">
                  <c:v>3.1430583567132953</c:v>
                </c:pt>
                <c:pt idx="201">
                  <c:v>3.0870545300053367</c:v>
                </c:pt>
                <c:pt idx="202">
                  <c:v>3.0314829005611541</c:v>
                </c:pt>
                <c:pt idx="203">
                  <c:v>2.9763369854316037</c:v>
                </c:pt>
                <c:pt idx="204">
                  <c:v>2.9216104481268914</c:v>
                </c:pt>
                <c:pt idx="205">
                  <c:v>2.8672970942245439</c:v>
                </c:pt>
                <c:pt idx="206">
                  <c:v>2.813390867138315</c:v>
                </c:pt>
                <c:pt idx="207">
                  <c:v>2.75988584404113</c:v>
                </c:pt>
                <c:pt idx="208">
                  <c:v>2.7067762319355042</c:v>
                </c:pt>
                <c:pt idx="209">
                  <c:v>2.654056363865029</c:v>
                </c:pt>
                <c:pt idx="210">
                  <c:v>2.6017206952611311</c:v>
                </c:pt>
                <c:pt idx="211">
                  <c:v>2.549763800419262</c:v>
                </c:pt>
                <c:pt idx="212">
                  <c:v>2.4981803690992659</c:v>
                </c:pt>
                <c:pt idx="213">
                  <c:v>2.4469652032446376</c:v>
                </c:pt>
                <c:pt idx="214">
                  <c:v>2.3961132138158594</c:v>
                </c:pt>
                <c:pt idx="215">
                  <c:v>2.3456194177331486</c:v>
                </c:pt>
                <c:pt idx="216">
                  <c:v>2.2954789349240574</c:v>
                </c:pt>
                <c:pt idx="217">
                  <c:v>2.2456869854718562</c:v>
                </c:pt>
                <c:pt idx="218">
                  <c:v>2.1962388868604603</c:v>
                </c:pt>
                <c:pt idx="219">
                  <c:v>2.14713005131222</c:v>
                </c:pt>
                <c:pt idx="220">
                  <c:v>2.0983559832147605</c:v>
                </c:pt>
                <c:pt idx="221">
                  <c:v>2.0499122766334055</c:v>
                </c:pt>
                <c:pt idx="222">
                  <c:v>2.0017946129058286</c:v>
                </c:pt>
                <c:pt idx="223">
                  <c:v>1.9539987583157252</c:v>
                </c:pt>
                <c:pt idx="224">
                  <c:v>1.9065205618424215</c:v>
                </c:pt>
                <c:pt idx="225">
                  <c:v>1.859355952983567</c:v>
                </c:pt>
                <c:pt idx="226">
                  <c:v>1.4041152192327289</c:v>
                </c:pt>
                <c:pt idx="227">
                  <c:v>0.97628031314613017</c:v>
                </c:pt>
                <c:pt idx="228">
                  <c:v>0.57283359766806896</c:v>
                </c:pt>
                <c:pt idx="229">
                  <c:v>0.19122786208862738</c:v>
                </c:pt>
                <c:pt idx="230">
                  <c:v>-0.17071000207685147</c:v>
                </c:pt>
                <c:pt idx="231">
                  <c:v>-0.51485213544652986</c:v>
                </c:pt>
                <c:pt idx="232">
                  <c:v>-0.84282601856458372</c:v>
                </c:pt>
                <c:pt idx="233">
                  <c:v>-1.1560583769817299</c:v>
                </c:pt>
                <c:pt idx="234">
                  <c:v>-1.4558098120120504</c:v>
                </c:pt>
                <c:pt idx="235">
                  <c:v>-1.7432024040364698</c:v>
                </c:pt>
                <c:pt idx="236">
                  <c:v>-2.0192419251485614</c:v>
                </c:pt>
                <c:pt idx="237">
                  <c:v>-2.2848358691149908</c:v>
                </c:pt>
                <c:pt idx="238">
                  <c:v>-2.5408082008582156</c:v>
                </c:pt>
                <c:pt idx="239">
                  <c:v>-2.7879115067493765</c:v>
                </c:pt>
                <c:pt idx="240">
                  <c:v>-3.0268370654197927</c:v>
                </c:pt>
                <c:pt idx="241">
                  <c:v>-3.2582232392772665</c:v>
                </c:pt>
                <c:pt idx="242">
                  <c:v>-3.4826624975753022</c:v>
                </c:pt>
                <c:pt idx="243">
                  <c:v>-3.7007073144647018</c:v>
                </c:pt>
                <c:pt idx="244">
                  <c:v>-3.9128751341339201</c:v>
                </c:pt>
                <c:pt idx="245">
                  <c:v>-4.119652555771312</c:v>
                </c:pt>
                <c:pt idx="246">
                  <c:v>-4.3214988606687479</c:v>
                </c:pt>
                <c:pt idx="247">
                  <c:v>-4.5188489801623009</c:v>
                </c:pt>
                <c:pt idx="248">
                  <c:v>-4.7121159846742291</c:v>
                </c:pt>
                <c:pt idx="249">
                  <c:v>-4.9016931596999216</c:v>
                </c:pt>
                <c:pt idx="250">
                  <c:v>-5.0879557232874379</c:v>
                </c:pt>
                <c:pt idx="251">
                  <c:v>-5.2712622307168031</c:v>
                </c:pt>
                <c:pt idx="252">
                  <c:v>-5.4519557051888468</c:v>
                </c:pt>
                <c:pt idx="253">
                  <c:v>-5.6303645279825032</c:v>
                </c:pt>
                <c:pt idx="254">
                  <c:v>-5.8068031174225787</c:v>
                </c:pt>
                <c:pt idx="255">
                  <c:v>-5.9815724228678144</c:v>
                </c:pt>
                <c:pt idx="256">
                  <c:v>-6.1549602575763949</c:v>
                </c:pt>
                <c:pt idx="257">
                  <c:v>-6.3272414925643696</c:v>
                </c:pt>
                <c:pt idx="258">
                  <c:v>-6.4986781322945699</c:v>
                </c:pt>
                <c:pt idx="259">
                  <c:v>-6.6695192920959192</c:v>
                </c:pt>
                <c:pt idx="260">
                  <c:v>-6.8400010965033999</c:v>
                </c:pt>
                <c:pt idx="261">
                  <c:v>-7.0103465171301629</c:v>
                </c:pt>
                <c:pt idx="262">
                  <c:v>-7.1807651681491649</c:v>
                </c:pt>
                <c:pt idx="263">
                  <c:v>-7.3514530768967399</c:v>
                </c:pt>
                <c:pt idx="264">
                  <c:v>-7.522592446451716</c:v>
                </c:pt>
                <c:pt idx="265">
                  <c:v>-7.6943514262395309</c:v>
                </c:pt>
                <c:pt idx="266">
                  <c:v>-7.8668839057239959</c:v>
                </c:pt>
                <c:pt idx="267">
                  <c:v>-8.0403293450555982</c:v>
                </c:pt>
                <c:pt idx="268">
                  <c:v>-8.2148126551358818</c:v>
                </c:pt>
                <c:pt idx="269">
                  <c:v>-8.3904441379377044</c:v>
                </c:pt>
                <c:pt idx="270">
                  <c:v>-8.5673194961106844</c:v>
                </c:pt>
                <c:pt idx="271">
                  <c:v>-8.7455199189328319</c:v>
                </c:pt>
                <c:pt idx="272">
                  <c:v>-8.925112249585931</c:v>
                </c:pt>
                <c:pt idx="273">
                  <c:v>-9.1061492365867576</c:v>
                </c:pt>
                <c:pt idx="274">
                  <c:v>-9.2886698700556884</c:v>
                </c:pt>
                <c:pt idx="275">
                  <c:v>-9.4726998014090835</c:v>
                </c:pt>
                <c:pt idx="276">
                  <c:v>-9.6582518430814304</c:v>
                </c:pt>
                <c:pt idx="277">
                  <c:v>-9.8453265430719803</c:v>
                </c:pt>
                <c:pt idx="278">
                  <c:v>-10.033912827517639</c:v>
                </c:pt>
                <c:pt idx="279">
                  <c:v>-10.223988703156849</c:v>
                </c:pt>
                <c:pt idx="280">
                  <c:v>-10.415522010496797</c:v>
                </c:pt>
                <c:pt idx="281">
                  <c:v>-10.608471217744</c:v>
                </c:pt>
                <c:pt idx="282">
                  <c:v>-10.80278624510999</c:v>
                </c:pt>
                <c:pt idx="283">
                  <c:v>-10.998409308951974</c:v>
                </c:pt>
                <c:pt idx="284">
                  <c:v>-11.19527577533429</c:v>
                </c:pt>
                <c:pt idx="285">
                  <c:v>-11.393315012974304</c:v>
                </c:pt>
                <c:pt idx="286">
                  <c:v>-11.592451236131222</c:v>
                </c:pt>
                <c:pt idx="287">
                  <c:v>-11.792604328771109</c:v>
                </c:pt>
                <c:pt idx="288">
                  <c:v>-11.993690642254309</c:v>
                </c:pt>
                <c:pt idx="289">
                  <c:v>-12.19562375980237</c:v>
                </c:pt>
                <c:pt idx="290">
                  <c:v>-12.398315222069629</c:v>
                </c:pt>
                <c:pt idx="291">
                  <c:v>-12.601675209233868</c:v>
                </c:pt>
                <c:pt idx="292">
                  <c:v>-12.805613176097106</c:v>
                </c:pt>
                <c:pt idx="293">
                  <c:v>-13.010038437724383</c:v>
                </c:pt>
                <c:pt idx="294">
                  <c:v>-13.214860704121463</c:v>
                </c:pt>
                <c:pt idx="295">
                  <c:v>-13.419990563345138</c:v>
                </c:pt>
                <c:pt idx="296">
                  <c:v>-13.62533991323922</c:v>
                </c:pt>
                <c:pt idx="297">
                  <c:v>-13.830822342687849</c:v>
                </c:pt>
                <c:pt idx="298">
                  <c:v>-14.036353463872649</c:v>
                </c:pt>
                <c:pt idx="299">
                  <c:v>-14.241851197511028</c:v>
                </c:pt>
                <c:pt idx="300">
                  <c:v>-14.447236013444476</c:v>
                </c:pt>
                <c:pt idx="301">
                  <c:v>-14.652431129241565</c:v>
                </c:pt>
                <c:pt idx="302">
                  <c:v>-14.857362669691131</c:v>
                </c:pt>
                <c:pt idx="303">
                  <c:v>-15.061959790192216</c:v>
                </c:pt>
                <c:pt idx="304">
                  <c:v>-15.266154767110855</c:v>
                </c:pt>
                <c:pt idx="305">
                  <c:v>-15.469883058177594</c:v>
                </c:pt>
                <c:pt idx="306">
                  <c:v>-15.673083335953867</c:v>
                </c:pt>
                <c:pt idx="307">
                  <c:v>-15.875697497308721</c:v>
                </c:pt>
                <c:pt idx="308">
                  <c:v>-16.077670651728809</c:v>
                </c:pt>
                <c:pt idx="309">
                  <c:v>-16.278951091140883</c:v>
                </c:pt>
                <c:pt idx="310">
                  <c:v>-16.479490243765049</c:v>
                </c:pt>
                <c:pt idx="311">
                  <c:v>-16.679242614343995</c:v>
                </c:pt>
                <c:pt idx="312">
                  <c:v>-16.878165712913901</c:v>
                </c:pt>
                <c:pt idx="313">
                  <c:v>-17.076219974101082</c:v>
                </c:pt>
                <c:pt idx="314">
                  <c:v>-17.273368668747725</c:v>
                </c:pt>
                <c:pt idx="315">
                  <c:v>-17.469577809494172</c:v>
                </c:pt>
                <c:pt idx="316">
                  <c:v>-17.664816051775063</c:v>
                </c:pt>
                <c:pt idx="317">
                  <c:v>-17.859054591525084</c:v>
                </c:pt>
                <c:pt idx="318">
                  <c:v>-18.052267060737638</c:v>
                </c:pt>
                <c:pt idx="319">
                  <c:v>-18.244429421877271</c:v>
                </c:pt>
                <c:pt idx="320">
                  <c:v>-18.435519862014985</c:v>
                </c:pt>
                <c:pt idx="321">
                  <c:v>-18.625518687434226</c:v>
                </c:pt>
                <c:pt idx="322">
                  <c:v>-18.814408219344848</c:v>
                </c:pt>
                <c:pt idx="323">
                  <c:v>-19.00217269124191</c:v>
                </c:pt>
                <c:pt idx="324">
                  <c:v>-19.188798148356078</c:v>
                </c:pt>
                <c:pt idx="325">
                  <c:v>-19.374272349561132</c:v>
                </c:pt>
                <c:pt idx="326">
                  <c:v>-19.558584672032588</c:v>
                </c:pt>
                <c:pt idx="327">
                  <c:v>-19.741726018887324</c:v>
                </c:pt>
                <c:pt idx="328">
                  <c:v>-19.923688729978434</c:v>
                </c:pt>
                <c:pt idx="329">
                  <c:v>-20.104466495970506</c:v>
                </c:pt>
                <c:pt idx="330">
                  <c:v>-20.28405427577804</c:v>
                </c:pt>
                <c:pt idx="331">
                  <c:v>-20.462448217413204</c:v>
                </c:pt>
                <c:pt idx="332">
                  <c:v>-20.639645582257764</c:v>
                </c:pt>
                <c:pt idx="333">
                  <c:v>-20.815644672747446</c:v>
                </c:pt>
                <c:pt idx="334">
                  <c:v>-20.990444763434791</c:v>
                </c:pt>
                <c:pt idx="335">
                  <c:v>-21.164046035377723</c:v>
                </c:pt>
                <c:pt idx="336">
                  <c:v>-21.336449513786121</c:v>
                </c:pt>
                <c:pt idx="337">
                  <c:v>-21.507657008846138</c:v>
                </c:pt>
                <c:pt idx="338">
                  <c:v>-21.677671059632424</c:v>
                </c:pt>
                <c:pt idx="339">
                  <c:v>-21.846494881010759</c:v>
                </c:pt>
                <c:pt idx="340">
                  <c:v>-22.014132313428195</c:v>
                </c:pt>
                <c:pt idx="341">
                  <c:v>-22.180587775483623</c:v>
                </c:pt>
                <c:pt idx="342">
                  <c:v>-22.345866219169533</c:v>
                </c:pt>
                <c:pt idx="343">
                  <c:v>-22.509973087674155</c:v>
                </c:pt>
                <c:pt idx="344">
                  <c:v>-22.672914275633197</c:v>
                </c:pt>
                <c:pt idx="345">
                  <c:v>-22.834696091720687</c:v>
                </c:pt>
                <c:pt idx="346">
                  <c:v>-22.995325223470214</c:v>
                </c:pt>
                <c:pt idx="347">
                  <c:v>-23.154808704219189</c:v>
                </c:pt>
                <c:pt idx="348">
                  <c:v>-23.31315388207177</c:v>
                </c:pt>
                <c:pt idx="349">
                  <c:v>-23.47036839077829</c:v>
                </c:pt>
                <c:pt idx="350">
                  <c:v>-23.626460122432505</c:v>
                </c:pt>
                <c:pt idx="351">
                  <c:v>-23.78143720189097</c:v>
                </c:pt>
                <c:pt idx="352">
                  <c:v>-23.935307962822474</c:v>
                </c:pt>
                <c:pt idx="353">
                  <c:v>-24.088080925298868</c:v>
                </c:pt>
                <c:pt idx="354">
                  <c:v>-24.239764774842342</c:v>
                </c:pt>
                <c:pt idx="355">
                  <c:v>-24.390368342847641</c:v>
                </c:pt>
                <c:pt idx="356">
                  <c:v>-24.53990058830156</c:v>
                </c:pt>
                <c:pt idx="357">
                  <c:v>-24.688370580725419</c:v>
                </c:pt>
                <c:pt idx="358">
                  <c:v>-24.835787484269893</c:v>
                </c:pt>
                <c:pt idx="359">
                  <c:v>-24.982160542894842</c:v>
                </c:pt>
                <c:pt idx="360">
                  <c:v>-25.127499066570401</c:v>
                </c:pt>
                <c:pt idx="361">
                  <c:v>-25.271812418438572</c:v>
                </c:pt>
                <c:pt idx="362">
                  <c:v>-25.415110002877878</c:v>
                </c:pt>
                <c:pt idx="363">
                  <c:v>-25.557401254416689</c:v>
                </c:pt>
                <c:pt idx="364">
                  <c:v>-25.698695627443641</c:v>
                </c:pt>
                <c:pt idx="365">
                  <c:v>-25.83900258666651</c:v>
                </c:pt>
                <c:pt idx="366">
                  <c:v>-25.978331598273442</c:v>
                </c:pt>
                <c:pt idx="367">
                  <c:v>-26.116692121753236</c:v>
                </c:pt>
                <c:pt idx="368">
                  <c:v>-26.254093602333555</c:v>
                </c:pt>
                <c:pt idx="369">
                  <c:v>-26.390545463998496</c:v>
                </c:pt>
                <c:pt idx="370">
                  <c:v>-26.526057103049048</c:v>
                </c:pt>
                <c:pt idx="371">
                  <c:v>-26.660637882172185</c:v>
                </c:pt>
                <c:pt idx="372">
                  <c:v>-26.794297124986166</c:v>
                </c:pt>
                <c:pt idx="373">
                  <c:v>-26.927044111031794</c:v>
                </c:pt>
                <c:pt idx="374">
                  <c:v>-27.058888071180878</c:v>
                </c:pt>
                <c:pt idx="375">
                  <c:v>-27.18983818343505</c:v>
                </c:pt>
                <c:pt idx="376">
                  <c:v>-27.319903569089657</c:v>
                </c:pt>
                <c:pt idx="377">
                  <c:v>-27.44909328923891</c:v>
                </c:pt>
                <c:pt idx="378">
                  <c:v>-27.577416341599989</c:v>
                </c:pt>
                <c:pt idx="379">
                  <c:v>-27.704881657635077</c:v>
                </c:pt>
                <c:pt idx="380">
                  <c:v>-27.831498099951677</c:v>
                </c:pt>
                <c:pt idx="381">
                  <c:v>-27.957274459962626</c:v>
                </c:pt>
                <c:pt idx="382">
                  <c:v>-28.082219455788543</c:v>
                </c:pt>
                <c:pt idx="383">
                  <c:v>-28.206341730386303</c:v>
                </c:pt>
                <c:pt idx="384">
                  <c:v>-28.329649849888359</c:v>
                </c:pt>
                <c:pt idx="385">
                  <c:v>-28.452152302138444</c:v>
                </c:pt>
                <c:pt idx="386">
                  <c:v>-28.573857495410376</c:v>
                </c:pt>
                <c:pt idx="387">
                  <c:v>-28.694773757297085</c:v>
                </c:pt>
                <c:pt idx="388">
                  <c:v>-28.814909333758361</c:v>
                </c:pt>
                <c:pt idx="389">
                  <c:v>-28.934272388315968</c:v>
                </c:pt>
                <c:pt idx="390">
                  <c:v>-29.052871001385835</c:v>
                </c:pt>
                <c:pt idx="391">
                  <c:v>-29.170713169737642</c:v>
                </c:pt>
                <c:pt idx="392">
                  <c:v>-29.287806806072567</c:v>
                </c:pt>
                <c:pt idx="393">
                  <c:v>-29.404159738710717</c:v>
                </c:pt>
                <c:pt idx="394">
                  <c:v>-29.519779711380266</c:v>
                </c:pt>
                <c:pt idx="395">
                  <c:v>-29.634674383100648</c:v>
                </c:pt>
                <c:pt idx="396">
                  <c:v>-29.748851328153055</c:v>
                </c:pt>
                <c:pt idx="397">
                  <c:v>-29.862318036131331</c:v>
                </c:pt>
                <c:pt idx="398">
                  <c:v>-29.975081912067473</c:v>
                </c:pt>
                <c:pt idx="399">
                  <c:v>-30.087150276625636</c:v>
                </c:pt>
                <c:pt idx="400">
                  <c:v>-30.198530366359527</c:v>
                </c:pt>
                <c:pt idx="401">
                  <c:v>-30.309229334027993</c:v>
                </c:pt>
                <c:pt idx="402">
                  <c:v>-30.419254248964155</c:v>
                </c:pt>
                <c:pt idx="403">
                  <c:v>-30.5286120974936</c:v>
                </c:pt>
                <c:pt idx="404">
                  <c:v>-30.637309783397697</c:v>
                </c:pt>
                <c:pt idx="405">
                  <c:v>-30.745354128417922</c:v>
                </c:pt>
                <c:pt idx="406">
                  <c:v>-30.852751872797821</c:v>
                </c:pt>
                <c:pt idx="407">
                  <c:v>-30.959509675859088</c:v>
                </c:pt>
                <c:pt idx="408">
                  <c:v>-31.065634116608742</c:v>
                </c:pt>
                <c:pt idx="409">
                  <c:v>-31.171131694374367</c:v>
                </c:pt>
                <c:pt idx="410">
                  <c:v>-31.276008829464725</c:v>
                </c:pt>
                <c:pt idx="411">
                  <c:v>-31.380271863853185</c:v>
                </c:pt>
                <c:pt idx="412">
                  <c:v>-31.483927061881595</c:v>
                </c:pt>
                <c:pt idx="413">
                  <c:v>-31.586980610982287</c:v>
                </c:pt>
                <c:pt idx="414">
                  <c:v>-31.689438622416304</c:v>
                </c:pt>
                <c:pt idx="415">
                  <c:v>-31.791307132025757</c:v>
                </c:pt>
                <c:pt idx="416">
                  <c:v>-31.892592100998577</c:v>
                </c:pt>
                <c:pt idx="417">
                  <c:v>-31.993299416644025</c:v>
                </c:pt>
                <c:pt idx="418">
                  <c:v>-32.09343489317731</c:v>
                </c:pt>
                <c:pt idx="419">
                  <c:v>-32.19300427251197</c:v>
                </c:pt>
                <c:pt idx="420">
                  <c:v>-32.292013225058582</c:v>
                </c:pt>
                <c:pt idx="421">
                  <c:v>-32.39046735052856</c:v>
                </c:pt>
                <c:pt idx="422">
                  <c:v>-32.488372178741969</c:v>
                </c:pt>
                <c:pt idx="423">
                  <c:v>-32.585733170438111</c:v>
                </c:pt>
                <c:pt idx="424">
                  <c:v>-32.682555718088054</c:v>
                </c:pt>
                <c:pt idx="425">
                  <c:v>-32.778845146708036</c:v>
                </c:pt>
                <c:pt idx="426">
                  <c:v>-32.874606714673043</c:v>
                </c:pt>
                <c:pt idx="427">
                  <c:v>-32.969845614529532</c:v>
                </c:pt>
                <c:pt idx="428">
                  <c:v>-33.064566973806869</c:v>
                </c:pt>
                <c:pt idx="429">
                  <c:v>-33.158775855826512</c:v>
                </c:pt>
                <c:pt idx="430">
                  <c:v>-33.252477260508535</c:v>
                </c:pt>
                <c:pt idx="431">
                  <c:v>-33.345676125174805</c:v>
                </c:pt>
                <c:pt idx="432">
                  <c:v>-33.438377325348327</c:v>
                </c:pt>
                <c:pt idx="433">
                  <c:v>-33.530585675548245</c:v>
                </c:pt>
                <c:pt idx="434">
                  <c:v>-33.622305930080067</c:v>
                </c:pt>
                <c:pt idx="435">
                  <c:v>-33.713542783820778</c:v>
                </c:pt>
                <c:pt idx="436">
                  <c:v>-33.80430087299834</c:v>
                </c:pt>
                <c:pt idx="437">
                  <c:v>-33.894584775965342</c:v>
                </c:pt>
                <c:pt idx="438">
                  <c:v>-33.984399013966481</c:v>
                </c:pt>
                <c:pt idx="439">
                  <c:v>-34.07374805189955</c:v>
                </c:pt>
                <c:pt idx="440">
                  <c:v>-34.162636299069781</c:v>
                </c:pt>
                <c:pt idx="441">
                  <c:v>-34.251068109937187</c:v>
                </c:pt>
                <c:pt idx="442">
                  <c:v>-34.339047784856817</c:v>
                </c:pt>
                <c:pt idx="443">
                  <c:v>-34.426579570811697</c:v>
                </c:pt>
                <c:pt idx="444">
                  <c:v>-34.513667662138332</c:v>
                </c:pt>
                <c:pt idx="445">
                  <c:v>-34.600316201244539</c:v>
                </c:pt>
                <c:pt idx="446">
                  <c:v>-34.686529279319643</c:v>
                </c:pt>
                <c:pt idx="447">
                  <c:v>-34.772310937036806</c:v>
                </c:pt>
                <c:pt idx="448">
                  <c:v>-34.857665165247433</c:v>
                </c:pt>
                <c:pt idx="449">
                  <c:v>-34.942595905667616</c:v>
                </c:pt>
                <c:pt idx="450">
                  <c:v>-35.027107051556555</c:v>
                </c:pt>
                <c:pt idx="451">
                  <c:v>-35.111202448386834</c:v>
                </c:pt>
                <c:pt idx="452">
                  <c:v>-35.194885894506626</c:v>
                </c:pt>
                <c:pt idx="453">
                  <c:v>-35.278161141793703</c:v>
                </c:pt>
                <c:pt idx="454">
                  <c:v>-35.361031896301313</c:v>
                </c:pt>
                <c:pt idx="455">
                  <c:v>-35.443501818895854</c:v>
                </c:pt>
                <c:pt idx="456">
                  <c:v>-35.525574525886398</c:v>
                </c:pt>
                <c:pt idx="457">
                  <c:v>-35.607253589646092</c:v>
                </c:pt>
                <c:pt idx="458">
                  <c:v>-35.688542539225331</c:v>
                </c:pt>
                <c:pt idx="459">
                  <c:v>-35.769444860956888</c:v>
                </c:pt>
                <c:pt idx="460">
                  <c:v>-35.849963999052932</c:v>
                </c:pt>
                <c:pt idx="461">
                  <c:v>-35.930103356194024</c:v>
                </c:pt>
                <c:pt idx="462">
                  <c:v>-36.00986629411009</c:v>
                </c:pt>
                <c:pt idx="463">
                  <c:v>-36.089256134153381</c:v>
                </c:pt>
                <c:pt idx="464">
                  <c:v>-36.168276157863644</c:v>
                </c:pt>
                <c:pt idx="465">
                  <c:v>-36.246929607525381</c:v>
                </c:pt>
                <c:pt idx="466">
                  <c:v>-36.32521968671724</c:v>
                </c:pt>
                <c:pt idx="467">
                  <c:v>-36.403149560853812</c:v>
                </c:pt>
                <c:pt idx="468">
                  <c:v>-36.480722357719685</c:v>
                </c:pt>
                <c:pt idx="469">
                  <c:v>-36.557941167995885</c:v>
                </c:pt>
                <c:pt idx="470">
                  <c:v>-36.63480904577888</c:v>
                </c:pt>
                <c:pt idx="471">
                  <c:v>-36.711329009092005</c:v>
                </c:pt>
                <c:pt idx="472">
                  <c:v>-36.787504040389607</c:v>
                </c:pt>
                <c:pt idx="473">
                  <c:v>-36.863337087053857</c:v>
                </c:pt>
                <c:pt idx="474">
                  <c:v>-36.938831061884329</c:v>
                </c:pt>
                <c:pt idx="475">
                  <c:v>-37.013988843580428</c:v>
                </c:pt>
                <c:pt idx="476">
                  <c:v>-37.088813277216786</c:v>
                </c:pt>
                <c:pt idx="477">
                  <c:v>-37.163307174711655</c:v>
                </c:pt>
                <c:pt idx="478">
                  <c:v>-37.237473315288369</c:v>
                </c:pt>
                <c:pt idx="479">
                  <c:v>-37.311314445930066</c:v>
                </c:pt>
                <c:pt idx="480">
                  <c:v>-37.384833281827596</c:v>
                </c:pt>
                <c:pt idx="481">
                  <c:v>-37.458032506820828</c:v>
                </c:pt>
                <c:pt idx="482">
                  <c:v>-37.530914773833359</c:v>
                </c:pt>
                <c:pt idx="483">
                  <c:v>-37.603482705300799</c:v>
                </c:pt>
                <c:pt idx="484">
                  <c:v>-37.67573889359258</c:v>
                </c:pt>
                <c:pt idx="485">
                  <c:v>-37.747685901427531</c:v>
                </c:pt>
                <c:pt idx="486">
                  <c:v>-37.819326262283127</c:v>
                </c:pt>
                <c:pt idx="487">
                  <c:v>-37.890662480798774</c:v>
                </c:pt>
                <c:pt idx="488">
                  <c:v>-37.961697033172804</c:v>
                </c:pt>
                <c:pt idx="489">
                  <c:v>-38.032432367553675</c:v>
                </c:pt>
                <c:pt idx="490">
                  <c:v>-38.102870904425231</c:v>
                </c:pt>
                <c:pt idx="491">
                  <c:v>-38.173015036986101</c:v>
                </c:pt>
                <c:pt idx="492">
                  <c:v>-38.242867131523454</c:v>
                </c:pt>
                <c:pt idx="493">
                  <c:v>-38.312429527781035</c:v>
                </c:pt>
                <c:pt idx="494">
                  <c:v>-38.381704539321746</c:v>
                </c:pt>
                <c:pt idx="495">
                  <c:v>-38.450694453884594</c:v>
                </c:pt>
                <c:pt idx="496">
                  <c:v>-38.519401533736414</c:v>
                </c:pt>
                <c:pt idx="497">
                  <c:v>-38.587828016018129</c:v>
                </c:pt>
                <c:pt idx="498">
                  <c:v>-38.655976113085828</c:v>
                </c:pt>
                <c:pt idx="499">
                  <c:v>-38.72384801284673</c:v>
                </c:pt>
                <c:pt idx="500">
                  <c:v>-38.791445879089949</c:v>
                </c:pt>
                <c:pt idx="501">
                  <c:v>-38.858771851812349</c:v>
                </c:pt>
                <c:pt idx="502">
                  <c:v>-38.925828047539447</c:v>
                </c:pt>
                <c:pt idx="503">
                  <c:v>-38.992616559641412</c:v>
                </c:pt>
                <c:pt idx="504">
                  <c:v>-39.059139458644331</c:v>
                </c:pt>
                <c:pt idx="505">
                  <c:v>-39.125398792536743</c:v>
                </c:pt>
                <c:pt idx="506">
                  <c:v>-39.191396587071566</c:v>
                </c:pt>
                <c:pt idx="507">
                  <c:v>-39.25713484606338</c:v>
                </c:pt>
                <c:pt idx="508">
                  <c:v>-39.322615551681331</c:v>
                </c:pt>
                <c:pt idx="509">
                  <c:v>-39.387840664737503</c:v>
                </c:pt>
                <c:pt idx="510">
                  <c:v>-39.452812124971018</c:v>
                </c:pt>
                <c:pt idx="511">
                  <c:v>-39.517531851327774</c:v>
                </c:pt>
                <c:pt idx="512">
                  <c:v>-39.582001742236031</c:v>
                </c:pt>
                <c:pt idx="513">
                  <c:v>-39.646223675877785</c:v>
                </c:pt>
                <c:pt idx="514">
                  <c:v>-39.710199510456107</c:v>
                </c:pt>
                <c:pt idx="515">
                  <c:v>-39.773931084458397</c:v>
                </c:pt>
                <c:pt idx="516">
                  <c:v>-39.837420216915767</c:v>
                </c:pt>
                <c:pt idx="517">
                  <c:v>-39.900668707658411</c:v>
                </c:pt>
                <c:pt idx="518">
                  <c:v>-39.963678337567224</c:v>
                </c:pt>
                <c:pt idx="519">
                  <c:v>-40.026450868821613</c:v>
                </c:pt>
                <c:pt idx="520">
                  <c:v>-40.088988045143637</c:v>
                </c:pt>
                <c:pt idx="521">
                  <c:v>-40.151291592038412</c:v>
                </c:pt>
                <c:pt idx="522">
                  <c:v>-40.213363217030974</c:v>
                </c:pt>
                <c:pt idx="523">
                  <c:v>-40.275204609899603</c:v>
                </c:pt>
                <c:pt idx="524">
                  <c:v>-40.336817442905627</c:v>
                </c:pt>
                <c:pt idx="525">
                  <c:v>-40.398203371019861</c:v>
                </c:pt>
                <c:pt idx="526">
                  <c:v>-40.459364032145579</c:v>
                </c:pt>
                <c:pt idx="527">
                  <c:v>-40.520301047338279</c:v>
                </c:pt>
                <c:pt idx="528">
                  <c:v>-40.581016021022094</c:v>
                </c:pt>
                <c:pt idx="529">
                  <c:v>-40.641510541203012</c:v>
                </c:pt>
                <c:pt idx="530">
                  <c:v>-40.701786179678983</c:v>
                </c:pt>
                <c:pt idx="531">
                  <c:v>-40.76184449224683</c:v>
                </c:pt>
                <c:pt idx="532">
                  <c:v>-40.821687018906161</c:v>
                </c:pt>
                <c:pt idx="533">
                  <c:v>-40.881315284060307</c:v>
                </c:pt>
                <c:pt idx="534">
                  <c:v>-40.940730796714149</c:v>
                </c:pt>
                <c:pt idx="535">
                  <c:v>-40.99993505066918</c:v>
                </c:pt>
                <c:pt idx="536">
                  <c:v>-41.058929524715623</c:v>
                </c:pt>
                <c:pt idx="537">
                  <c:v>-41.117715682821768</c:v>
                </c:pt>
                <c:pt idx="538">
                  <c:v>-41.176294974320477</c:v>
                </c:pt>
                <c:pt idx="539">
                  <c:v>-41.234668834092993</c:v>
                </c:pt>
                <c:pt idx="540">
                  <c:v>-41.292838682750087</c:v>
                </c:pt>
                <c:pt idx="541">
                  <c:v>-41.350805926810466</c:v>
                </c:pt>
                <c:pt idx="542">
                  <c:v>-41.408571958876664</c:v>
                </c:pt>
                <c:pt idx="543">
                  <c:v>-41.466138157808388</c:v>
                </c:pt>
                <c:pt idx="544">
                  <c:v>-41.523505888893212</c:v>
                </c:pt>
                <c:pt idx="545">
                  <c:v>-41.58067650401496</c:v>
                </c:pt>
                <c:pt idx="546">
                  <c:v>-41.63765134181952</c:v>
                </c:pt>
                <c:pt idx="547">
                  <c:v>-41.69443172787831</c:v>
                </c:pt>
                <c:pt idx="548">
                  <c:v>-41.751018974849394</c:v>
                </c:pt>
                <c:pt idx="549">
                  <c:v>-41.807414382636239</c:v>
                </c:pt>
                <c:pt idx="550">
                  <c:v>-41.863619238544189</c:v>
                </c:pt>
                <c:pt idx="551">
                  <c:v>-41.919634817434698</c:v>
                </c:pt>
                <c:pt idx="552">
                  <c:v>-41.975462381877399</c:v>
                </c:pt>
                <c:pt idx="553">
                  <c:v>-42.031103182299859</c:v>
                </c:pt>
                <c:pt idx="554">
                  <c:v>-42.086558457135339</c:v>
                </c:pt>
                <c:pt idx="555">
                  <c:v>-42.141829432968308</c:v>
                </c:pt>
                <c:pt idx="556">
                  <c:v>-42.196917324678019</c:v>
                </c:pt>
                <c:pt idx="557">
                  <c:v>-42.251823335579921</c:v>
                </c:pt>
                <c:pt idx="558">
                  <c:v>-42.306548657565116</c:v>
                </c:pt>
                <c:pt idx="559">
                  <c:v>-42.361094471237799</c:v>
                </c:pt>
                <c:pt idx="560">
                  <c:v>-42.415461946050847</c:v>
                </c:pt>
                <c:pt idx="561">
                  <c:v>-42.469652240439345</c:v>
                </c:pt>
                <c:pt idx="562">
                  <c:v>-42.523666501952334</c:v>
                </c:pt>
                <c:pt idx="563">
                  <c:v>-42.577505867382648</c:v>
                </c:pt>
                <c:pt idx="564">
                  <c:v>-42.631171462894962</c:v>
                </c:pt>
                <c:pt idx="565">
                  <c:v>-42.684664404152016</c:v>
                </c:pt>
                <c:pt idx="566">
                  <c:v>-42.737985796439048</c:v>
                </c:pt>
                <c:pt idx="567">
                  <c:v>-42.791136734786534</c:v>
                </c:pt>
                <c:pt idx="568">
                  <c:v>-42.844118304091161</c:v>
                </c:pt>
                <c:pt idx="569">
                  <c:v>-42.896931579235172</c:v>
                </c:pt>
                <c:pt idx="570">
                  <c:v>-42.949577625203979</c:v>
                </c:pt>
                <c:pt idx="571">
                  <c:v>-43.002057497202195</c:v>
                </c:pt>
                <c:pt idx="572">
                  <c:v>-43.054372240767989</c:v>
                </c:pt>
                <c:pt idx="573">
                  <c:v>-43.106522891885987</c:v>
                </c:pt>
                <c:pt idx="574">
                  <c:v>-43.15851047709846</c:v>
                </c:pt>
                <c:pt idx="575">
                  <c:v>-43.210336013615049</c:v>
                </c:pt>
                <c:pt idx="576">
                  <c:v>-43.262000509420972</c:v>
                </c:pt>
                <c:pt idx="577">
                  <c:v>-43.313504963383764</c:v>
                </c:pt>
                <c:pt idx="578">
                  <c:v>-43.364850365358535</c:v>
                </c:pt>
                <c:pt idx="579">
                  <c:v>-43.416037696291724</c:v>
                </c:pt>
                <c:pt idx="580">
                  <c:v>-43.467067928323537</c:v>
                </c:pt>
                <c:pt idx="581">
                  <c:v>-43.517942024888931</c:v>
                </c:pt>
                <c:pt idx="582">
                  <c:v>-43.568660940817203</c:v>
                </c:pt>
                <c:pt idx="583">
                  <c:v>-43.619225622430278</c:v>
                </c:pt>
                <c:pt idx="584">
                  <c:v>-43.669637007639615</c:v>
                </c:pt>
                <c:pt idx="585">
                  <c:v>-43.719896026041809</c:v>
                </c:pt>
                <c:pt idx="586">
                  <c:v>-43.770003599012938</c:v>
                </c:pt>
                <c:pt idx="587">
                  <c:v>-43.819960639801536</c:v>
                </c:pt>
                <c:pt idx="588">
                  <c:v>-43.86976805362049</c:v>
                </c:pt>
                <c:pt idx="589">
                  <c:v>-43.919426737737474</c:v>
                </c:pt>
                <c:pt idx="590">
                  <c:v>-43.968937581564369</c:v>
                </c:pt>
                <c:pt idx="591">
                  <c:v>-44.018301466745349</c:v>
                </c:pt>
                <c:pt idx="592">
                  <c:v>-44.067519267243888</c:v>
                </c:pt>
                <c:pt idx="593">
                  <c:v>-44.116591849428481</c:v>
                </c:pt>
                <c:pt idx="594">
                  <c:v>-44.165520072157378</c:v>
                </c:pt>
                <c:pt idx="595">
                  <c:v>-44.214304786862058</c:v>
                </c:pt>
                <c:pt idx="596">
                  <c:v>-44.262946837629677</c:v>
                </c:pt>
                <c:pt idx="597">
                  <c:v>-44.311447061284355</c:v>
                </c:pt>
                <c:pt idx="598">
                  <c:v>-44.35980628746745</c:v>
                </c:pt>
                <c:pt idx="599">
                  <c:v>-44.408025338716747</c:v>
                </c:pt>
                <c:pt idx="600">
                  <c:v>-44.456105030544592</c:v>
                </c:pt>
                <c:pt idx="601">
                  <c:v>-44.504046171515</c:v>
                </c:pt>
                <c:pt idx="602">
                  <c:v>-44.551849563319777</c:v>
                </c:pt>
                <c:pt idx="603">
                  <c:v>-44.599516000853626</c:v>
                </c:pt>
                <c:pt idx="604">
                  <c:v>-44.647046272288236</c:v>
                </c:pt>
                <c:pt idx="605">
                  <c:v>-44.69444115914547</c:v>
                </c:pt>
                <c:pt idx="606">
                  <c:v>-46.9071008945862</c:v>
                </c:pt>
                <c:pt idx="607">
                  <c:v>-48.860486057955974</c:v>
                </c:pt>
                <c:pt idx="608">
                  <c:v>-50.609771127158595</c:v>
                </c:pt>
                <c:pt idx="609">
                  <c:v>-52.194241394291467</c:v>
                </c:pt>
                <c:pt idx="610">
                  <c:v>-53.642819711140739</c:v>
                </c:pt>
                <c:pt idx="611">
                  <c:v>-54.97740337413218</c:v>
                </c:pt>
                <c:pt idx="612">
                  <c:v>-56.214966257411049</c:v>
                </c:pt>
                <c:pt idx="613">
                  <c:v>-57.368932707436343</c:v>
                </c:pt>
                <c:pt idx="614">
                  <c:v>-58.450104639941244</c:v>
                </c:pt>
                <c:pt idx="615">
                  <c:v>-59.467304837776823</c:v>
                </c:pt>
                <c:pt idx="616">
                  <c:v>-60.427834387736077</c:v>
                </c:pt>
                <c:pt idx="617">
                  <c:v>-61.337805057980319</c:v>
                </c:pt>
                <c:pt idx="618">
                  <c:v>-61.688547176851841</c:v>
                </c:pt>
                <c:pt idx="619">
                  <c:v>-62.032124024106345</c:v>
                </c:pt>
                <c:pt idx="620">
                  <c:v>-62.368831596225149</c:v>
                </c:pt>
                <c:pt idx="621">
                  <c:v>-62.698947669751746</c:v>
                </c:pt>
                <c:pt idx="622">
                  <c:v>-63.02273328280841</c:v>
                </c:pt>
                <c:pt idx="623">
                  <c:v>-63.340434068217931</c:v>
                </c:pt>
                <c:pt idx="624">
                  <c:v>-63.652281455739896</c:v>
                </c:pt>
                <c:pt idx="625">
                  <c:v>-63.95849375857086</c:v>
                </c:pt>
                <c:pt idx="626">
                  <c:v>-64.259277157252967</c:v>
                </c:pt>
                <c:pt idx="627">
                  <c:v>-64.55482659242746</c:v>
                </c:pt>
                <c:pt idx="628">
                  <c:v>-64.845326576410059</c:v>
                </c:pt>
                <c:pt idx="629">
                  <c:v>-65.130951932314062</c:v>
                </c:pt>
                <c:pt idx="630">
                  <c:v>-65.41186846837148</c:v>
                </c:pt>
                <c:pt idx="631">
                  <c:v>-65.688233594176381</c:v>
                </c:pt>
                <c:pt idx="632">
                  <c:v>-65.960196884773211</c:v>
                </c:pt>
                <c:pt idx="633">
                  <c:v>-66.22790059781957</c:v>
                </c:pt>
                <c:pt idx="634">
                  <c:v>-66.49148014845035</c:v>
                </c:pt>
                <c:pt idx="635">
                  <c:v>-66.751064545945468</c:v>
                </c:pt>
                <c:pt idx="636">
                  <c:v>-67.006776795846164</c:v>
                </c:pt>
                <c:pt idx="637">
                  <c:v>-67.258734270764194</c:v>
                </c:pt>
                <c:pt idx="638">
                  <c:v>-67.507049052777901</c:v>
                </c:pt>
                <c:pt idx="639">
                  <c:v>-67.751828250000884</c:v>
                </c:pt>
                <c:pt idx="640">
                  <c:v>-67.993174289637665</c:v>
                </c:pt>
                <c:pt idx="641">
                  <c:v>-68.231185189602257</c:v>
                </c:pt>
                <c:pt idx="642">
                  <c:v>-68.465954810563389</c:v>
                </c:pt>
                <c:pt idx="643">
                  <c:v>-68.697573090094281</c:v>
                </c:pt>
                <c:pt idx="644">
                  <c:v>-68.926126260437798</c:v>
                </c:pt>
                <c:pt idx="645">
                  <c:v>-69.151697051251432</c:v>
                </c:pt>
                <c:pt idx="646">
                  <c:v>-69.374364878565075</c:v>
                </c:pt>
                <c:pt idx="647">
                  <c:v>-69.594206021067478</c:v>
                </c:pt>
                <c:pt idx="648">
                  <c:v>-69.811293784733223</c:v>
                </c:pt>
                <c:pt idx="649">
                  <c:v>-70.025698656708627</c:v>
                </c:pt>
                <c:pt idx="650">
                  <c:v>-70.237488449291305</c:v>
                </c:pt>
                <c:pt idx="651">
                  <c:v>-70.446728434762974</c:v>
                </c:pt>
                <c:pt idx="652">
                  <c:v>-70.653481471768259</c:v>
                </c:pt>
                <c:pt idx="653">
                  <c:v>-70.85780812387091</c:v>
                </c:pt>
                <c:pt idx="654">
                  <c:v>-71.059766770864726</c:v>
                </c:pt>
                <c:pt idx="655">
                  <c:v>-71.25941371336701</c:v>
                </c:pt>
                <c:pt idx="656">
                  <c:v>-71.456803271178075</c:v>
                </c:pt>
                <c:pt idx="657">
                  <c:v>-71.651987875849642</c:v>
                </c:pt>
                <c:pt idx="658">
                  <c:v>-71.845018157868964</c:v>
                </c:pt>
                <c:pt idx="659">
                  <c:v>-72.035943028832151</c:v>
                </c:pt>
                <c:pt idx="660">
                  <c:v>-72.224809758950428</c:v>
                </c:pt>
                <c:pt idx="661">
                  <c:v>-72.411664050205275</c:v>
                </c:pt>
                <c:pt idx="662">
                  <c:v>-72.596550105444251</c:v>
                </c:pt>
                <c:pt idx="663">
                  <c:v>-72.779510693686063</c:v>
                </c:pt>
                <c:pt idx="664">
                  <c:v>-72.960587211883279</c:v>
                </c:pt>
                <c:pt idx="665">
                  <c:v>-73.139819743371802</c:v>
                </c:pt>
                <c:pt idx="666">
                  <c:v>-73.317247113219551</c:v>
                </c:pt>
                <c:pt idx="667">
                  <c:v>-73.492906940670494</c:v>
                </c:pt>
              </c:numCache>
            </c:numRef>
          </c:yVal>
          <c:smooth val="1"/>
          <c:extLst>
            <c:ext xmlns:c16="http://schemas.microsoft.com/office/drawing/2014/chart" uri="{C3380CC4-5D6E-409C-BE32-E72D297353CC}">
              <c16:uniqueId val="{00000001-E70F-AA40-BDA2-AC79FB23BB36}"/>
            </c:ext>
          </c:extLst>
        </c:ser>
        <c:dLbls>
          <c:showLegendKey val="0"/>
          <c:showVal val="0"/>
          <c:showCatName val="0"/>
          <c:showSerName val="0"/>
          <c:showPercent val="0"/>
          <c:showBubbleSize val="0"/>
        </c:dLbls>
        <c:axId val="183506432"/>
        <c:axId val="183508352"/>
      </c:scatterChart>
      <c:scatterChart>
        <c:scatterStyle val="lineMarker"/>
        <c:varyColors val="0"/>
        <c:ser>
          <c:idx val="1"/>
          <c:order val="1"/>
          <c:tx>
            <c:v>PhaseMargin</c:v>
          </c:tx>
          <c:spPr>
            <a:ln w="12700">
              <a:solidFill>
                <a:srgbClr val="000000"/>
              </a:solidFill>
              <a:prstDash val="lgDash"/>
            </a:ln>
          </c:spPr>
          <c:marker>
            <c:symbol val="square"/>
            <c:size val="3"/>
            <c:spPr>
              <a:noFill/>
              <a:ln w="9525">
                <a:noFill/>
              </a:ln>
            </c:spPr>
          </c:marker>
          <c:xVal>
            <c:numRef>
              <c:f>'Bode Plots Calculations'!$A$9:$A$676</c:f>
              <c:numCache>
                <c:formatCode>General</c:formatCode>
                <c:ptCount val="668"/>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1500</c:v>
                </c:pt>
                <c:pt idx="29">
                  <c:v>2000</c:v>
                </c:pt>
                <c:pt idx="30">
                  <c:v>2500</c:v>
                </c:pt>
                <c:pt idx="31">
                  <c:v>3000</c:v>
                </c:pt>
                <c:pt idx="32">
                  <c:v>3500</c:v>
                </c:pt>
                <c:pt idx="33">
                  <c:v>4000</c:v>
                </c:pt>
                <c:pt idx="34">
                  <c:v>4500</c:v>
                </c:pt>
                <c:pt idx="35">
                  <c:v>5000</c:v>
                </c:pt>
                <c:pt idx="36">
                  <c:v>5500</c:v>
                </c:pt>
                <c:pt idx="37">
                  <c:v>6000</c:v>
                </c:pt>
                <c:pt idx="38">
                  <c:v>6500</c:v>
                </c:pt>
                <c:pt idx="39">
                  <c:v>7000</c:v>
                </c:pt>
                <c:pt idx="40">
                  <c:v>7500</c:v>
                </c:pt>
                <c:pt idx="41">
                  <c:v>8000</c:v>
                </c:pt>
                <c:pt idx="42">
                  <c:v>8500</c:v>
                </c:pt>
                <c:pt idx="43">
                  <c:v>9000</c:v>
                </c:pt>
                <c:pt idx="44">
                  <c:v>9500</c:v>
                </c:pt>
                <c:pt idx="45">
                  <c:v>10000</c:v>
                </c:pt>
                <c:pt idx="46">
                  <c:v>10500</c:v>
                </c:pt>
                <c:pt idx="47">
                  <c:v>11000</c:v>
                </c:pt>
                <c:pt idx="48">
                  <c:v>11500</c:v>
                </c:pt>
                <c:pt idx="49">
                  <c:v>12000</c:v>
                </c:pt>
                <c:pt idx="50">
                  <c:v>12500</c:v>
                </c:pt>
                <c:pt idx="51">
                  <c:v>13000</c:v>
                </c:pt>
                <c:pt idx="52">
                  <c:v>13500</c:v>
                </c:pt>
                <c:pt idx="53">
                  <c:v>14000</c:v>
                </c:pt>
                <c:pt idx="54">
                  <c:v>14500</c:v>
                </c:pt>
                <c:pt idx="55">
                  <c:v>15000</c:v>
                </c:pt>
                <c:pt idx="56">
                  <c:v>15500</c:v>
                </c:pt>
                <c:pt idx="57">
                  <c:v>16000</c:v>
                </c:pt>
                <c:pt idx="58">
                  <c:v>16500</c:v>
                </c:pt>
                <c:pt idx="59">
                  <c:v>17000</c:v>
                </c:pt>
                <c:pt idx="60">
                  <c:v>17500</c:v>
                </c:pt>
                <c:pt idx="61">
                  <c:v>18000</c:v>
                </c:pt>
                <c:pt idx="62">
                  <c:v>18500</c:v>
                </c:pt>
                <c:pt idx="63">
                  <c:v>19000</c:v>
                </c:pt>
                <c:pt idx="64">
                  <c:v>19500</c:v>
                </c:pt>
                <c:pt idx="65">
                  <c:v>20000</c:v>
                </c:pt>
                <c:pt idx="66">
                  <c:v>20500</c:v>
                </c:pt>
                <c:pt idx="67">
                  <c:v>21000</c:v>
                </c:pt>
                <c:pt idx="68">
                  <c:v>21500</c:v>
                </c:pt>
                <c:pt idx="69">
                  <c:v>22000</c:v>
                </c:pt>
                <c:pt idx="70">
                  <c:v>22500</c:v>
                </c:pt>
                <c:pt idx="71">
                  <c:v>23000</c:v>
                </c:pt>
                <c:pt idx="72">
                  <c:v>23500</c:v>
                </c:pt>
                <c:pt idx="73">
                  <c:v>24000</c:v>
                </c:pt>
                <c:pt idx="74">
                  <c:v>24500</c:v>
                </c:pt>
                <c:pt idx="75">
                  <c:v>25000</c:v>
                </c:pt>
                <c:pt idx="76">
                  <c:v>25500</c:v>
                </c:pt>
                <c:pt idx="77">
                  <c:v>26000</c:v>
                </c:pt>
                <c:pt idx="78">
                  <c:v>26500</c:v>
                </c:pt>
                <c:pt idx="79">
                  <c:v>27000</c:v>
                </c:pt>
                <c:pt idx="80">
                  <c:v>27500</c:v>
                </c:pt>
                <c:pt idx="81">
                  <c:v>28000</c:v>
                </c:pt>
                <c:pt idx="82">
                  <c:v>28500</c:v>
                </c:pt>
                <c:pt idx="83">
                  <c:v>29000</c:v>
                </c:pt>
                <c:pt idx="84">
                  <c:v>29500</c:v>
                </c:pt>
                <c:pt idx="85">
                  <c:v>30000</c:v>
                </c:pt>
                <c:pt idx="86">
                  <c:v>30500</c:v>
                </c:pt>
                <c:pt idx="87">
                  <c:v>31000</c:v>
                </c:pt>
                <c:pt idx="88">
                  <c:v>31500</c:v>
                </c:pt>
                <c:pt idx="89">
                  <c:v>32000</c:v>
                </c:pt>
                <c:pt idx="90">
                  <c:v>32500</c:v>
                </c:pt>
                <c:pt idx="91">
                  <c:v>33000</c:v>
                </c:pt>
                <c:pt idx="92">
                  <c:v>33500</c:v>
                </c:pt>
                <c:pt idx="93">
                  <c:v>34000</c:v>
                </c:pt>
                <c:pt idx="94">
                  <c:v>34500</c:v>
                </c:pt>
                <c:pt idx="95">
                  <c:v>35000</c:v>
                </c:pt>
                <c:pt idx="96">
                  <c:v>35500</c:v>
                </c:pt>
                <c:pt idx="97">
                  <c:v>36000</c:v>
                </c:pt>
                <c:pt idx="98">
                  <c:v>36500</c:v>
                </c:pt>
                <c:pt idx="99">
                  <c:v>37000</c:v>
                </c:pt>
                <c:pt idx="100">
                  <c:v>37500</c:v>
                </c:pt>
                <c:pt idx="101">
                  <c:v>38000</c:v>
                </c:pt>
                <c:pt idx="102">
                  <c:v>38500</c:v>
                </c:pt>
                <c:pt idx="103">
                  <c:v>39000</c:v>
                </c:pt>
                <c:pt idx="104">
                  <c:v>39500</c:v>
                </c:pt>
                <c:pt idx="105">
                  <c:v>40000</c:v>
                </c:pt>
                <c:pt idx="106">
                  <c:v>40500</c:v>
                </c:pt>
                <c:pt idx="107">
                  <c:v>41000</c:v>
                </c:pt>
                <c:pt idx="108">
                  <c:v>41500</c:v>
                </c:pt>
                <c:pt idx="109">
                  <c:v>42000</c:v>
                </c:pt>
                <c:pt idx="110">
                  <c:v>42500</c:v>
                </c:pt>
                <c:pt idx="111">
                  <c:v>43000</c:v>
                </c:pt>
                <c:pt idx="112">
                  <c:v>43500</c:v>
                </c:pt>
                <c:pt idx="113">
                  <c:v>44000</c:v>
                </c:pt>
                <c:pt idx="114">
                  <c:v>44500</c:v>
                </c:pt>
                <c:pt idx="115">
                  <c:v>45000</c:v>
                </c:pt>
                <c:pt idx="116">
                  <c:v>45500</c:v>
                </c:pt>
                <c:pt idx="117">
                  <c:v>46000</c:v>
                </c:pt>
                <c:pt idx="118">
                  <c:v>46500</c:v>
                </c:pt>
                <c:pt idx="119">
                  <c:v>47000</c:v>
                </c:pt>
                <c:pt idx="120">
                  <c:v>47500</c:v>
                </c:pt>
                <c:pt idx="121">
                  <c:v>48000</c:v>
                </c:pt>
                <c:pt idx="122">
                  <c:v>48500</c:v>
                </c:pt>
                <c:pt idx="123">
                  <c:v>49000</c:v>
                </c:pt>
                <c:pt idx="124">
                  <c:v>49500</c:v>
                </c:pt>
                <c:pt idx="125">
                  <c:v>50000</c:v>
                </c:pt>
                <c:pt idx="126">
                  <c:v>50500</c:v>
                </c:pt>
                <c:pt idx="127">
                  <c:v>51000</c:v>
                </c:pt>
                <c:pt idx="128">
                  <c:v>51500</c:v>
                </c:pt>
                <c:pt idx="129">
                  <c:v>52000</c:v>
                </c:pt>
                <c:pt idx="130">
                  <c:v>52500</c:v>
                </c:pt>
                <c:pt idx="131">
                  <c:v>53000</c:v>
                </c:pt>
                <c:pt idx="132">
                  <c:v>53500</c:v>
                </c:pt>
                <c:pt idx="133">
                  <c:v>54000</c:v>
                </c:pt>
                <c:pt idx="134">
                  <c:v>54500</c:v>
                </c:pt>
                <c:pt idx="135">
                  <c:v>55000</c:v>
                </c:pt>
                <c:pt idx="136">
                  <c:v>55500</c:v>
                </c:pt>
                <c:pt idx="137">
                  <c:v>56000</c:v>
                </c:pt>
                <c:pt idx="138">
                  <c:v>56500</c:v>
                </c:pt>
                <c:pt idx="139">
                  <c:v>57000</c:v>
                </c:pt>
                <c:pt idx="140">
                  <c:v>57500</c:v>
                </c:pt>
                <c:pt idx="141">
                  <c:v>58000</c:v>
                </c:pt>
                <c:pt idx="142">
                  <c:v>58500</c:v>
                </c:pt>
                <c:pt idx="143">
                  <c:v>59000</c:v>
                </c:pt>
                <c:pt idx="144">
                  <c:v>59500</c:v>
                </c:pt>
                <c:pt idx="145">
                  <c:v>60000</c:v>
                </c:pt>
                <c:pt idx="146">
                  <c:v>60500</c:v>
                </c:pt>
                <c:pt idx="147">
                  <c:v>61000</c:v>
                </c:pt>
                <c:pt idx="148">
                  <c:v>61500</c:v>
                </c:pt>
                <c:pt idx="149">
                  <c:v>62000</c:v>
                </c:pt>
                <c:pt idx="150">
                  <c:v>62500</c:v>
                </c:pt>
                <c:pt idx="151">
                  <c:v>63000</c:v>
                </c:pt>
                <c:pt idx="152">
                  <c:v>63500</c:v>
                </c:pt>
                <c:pt idx="153">
                  <c:v>64000</c:v>
                </c:pt>
                <c:pt idx="154">
                  <c:v>64500</c:v>
                </c:pt>
                <c:pt idx="155">
                  <c:v>65000</c:v>
                </c:pt>
                <c:pt idx="156">
                  <c:v>65500</c:v>
                </c:pt>
                <c:pt idx="157">
                  <c:v>66000</c:v>
                </c:pt>
                <c:pt idx="158">
                  <c:v>66500</c:v>
                </c:pt>
                <c:pt idx="159">
                  <c:v>67000</c:v>
                </c:pt>
                <c:pt idx="160">
                  <c:v>67500</c:v>
                </c:pt>
                <c:pt idx="161">
                  <c:v>68000</c:v>
                </c:pt>
                <c:pt idx="162">
                  <c:v>68500</c:v>
                </c:pt>
                <c:pt idx="163">
                  <c:v>69000</c:v>
                </c:pt>
                <c:pt idx="164">
                  <c:v>69500</c:v>
                </c:pt>
                <c:pt idx="165">
                  <c:v>70000</c:v>
                </c:pt>
                <c:pt idx="166">
                  <c:v>70500</c:v>
                </c:pt>
                <c:pt idx="167">
                  <c:v>71000</c:v>
                </c:pt>
                <c:pt idx="168">
                  <c:v>71500</c:v>
                </c:pt>
                <c:pt idx="169">
                  <c:v>72000</c:v>
                </c:pt>
                <c:pt idx="170">
                  <c:v>72500</c:v>
                </c:pt>
                <c:pt idx="171">
                  <c:v>73000</c:v>
                </c:pt>
                <c:pt idx="172">
                  <c:v>73500</c:v>
                </c:pt>
                <c:pt idx="173">
                  <c:v>74000</c:v>
                </c:pt>
                <c:pt idx="174">
                  <c:v>74500</c:v>
                </c:pt>
                <c:pt idx="175">
                  <c:v>75000</c:v>
                </c:pt>
                <c:pt idx="176">
                  <c:v>75500</c:v>
                </c:pt>
                <c:pt idx="177">
                  <c:v>76000</c:v>
                </c:pt>
                <c:pt idx="178">
                  <c:v>76500</c:v>
                </c:pt>
                <c:pt idx="179">
                  <c:v>77000</c:v>
                </c:pt>
                <c:pt idx="180">
                  <c:v>77500</c:v>
                </c:pt>
                <c:pt idx="181">
                  <c:v>78000</c:v>
                </c:pt>
                <c:pt idx="182">
                  <c:v>78500</c:v>
                </c:pt>
                <c:pt idx="183">
                  <c:v>79000</c:v>
                </c:pt>
                <c:pt idx="184">
                  <c:v>79500</c:v>
                </c:pt>
                <c:pt idx="185">
                  <c:v>80000</c:v>
                </c:pt>
                <c:pt idx="186">
                  <c:v>80500</c:v>
                </c:pt>
                <c:pt idx="187">
                  <c:v>81000</c:v>
                </c:pt>
                <c:pt idx="188">
                  <c:v>81500</c:v>
                </c:pt>
                <c:pt idx="189">
                  <c:v>82000</c:v>
                </c:pt>
                <c:pt idx="190">
                  <c:v>82500</c:v>
                </c:pt>
                <c:pt idx="191">
                  <c:v>83000</c:v>
                </c:pt>
                <c:pt idx="192">
                  <c:v>83500</c:v>
                </c:pt>
                <c:pt idx="193">
                  <c:v>84000</c:v>
                </c:pt>
                <c:pt idx="194">
                  <c:v>84500</c:v>
                </c:pt>
                <c:pt idx="195">
                  <c:v>85000</c:v>
                </c:pt>
                <c:pt idx="196">
                  <c:v>85500</c:v>
                </c:pt>
                <c:pt idx="197">
                  <c:v>86000</c:v>
                </c:pt>
                <c:pt idx="198">
                  <c:v>86500</c:v>
                </c:pt>
                <c:pt idx="199">
                  <c:v>87000</c:v>
                </c:pt>
                <c:pt idx="200">
                  <c:v>87500</c:v>
                </c:pt>
                <c:pt idx="201">
                  <c:v>88000</c:v>
                </c:pt>
                <c:pt idx="202">
                  <c:v>88500</c:v>
                </c:pt>
                <c:pt idx="203">
                  <c:v>89000</c:v>
                </c:pt>
                <c:pt idx="204">
                  <c:v>89500</c:v>
                </c:pt>
                <c:pt idx="205">
                  <c:v>90000</c:v>
                </c:pt>
                <c:pt idx="206">
                  <c:v>90500</c:v>
                </c:pt>
                <c:pt idx="207">
                  <c:v>91000</c:v>
                </c:pt>
                <c:pt idx="208">
                  <c:v>91500</c:v>
                </c:pt>
                <c:pt idx="209">
                  <c:v>92000</c:v>
                </c:pt>
                <c:pt idx="210">
                  <c:v>92500</c:v>
                </c:pt>
                <c:pt idx="211">
                  <c:v>93000</c:v>
                </c:pt>
                <c:pt idx="212">
                  <c:v>93500</c:v>
                </c:pt>
                <c:pt idx="213">
                  <c:v>94000</c:v>
                </c:pt>
                <c:pt idx="214">
                  <c:v>94500</c:v>
                </c:pt>
                <c:pt idx="215">
                  <c:v>95000</c:v>
                </c:pt>
                <c:pt idx="216">
                  <c:v>95500</c:v>
                </c:pt>
                <c:pt idx="217">
                  <c:v>96000</c:v>
                </c:pt>
                <c:pt idx="218">
                  <c:v>96500</c:v>
                </c:pt>
                <c:pt idx="219">
                  <c:v>97000</c:v>
                </c:pt>
                <c:pt idx="220">
                  <c:v>97500</c:v>
                </c:pt>
                <c:pt idx="221">
                  <c:v>98000</c:v>
                </c:pt>
                <c:pt idx="222">
                  <c:v>98500</c:v>
                </c:pt>
                <c:pt idx="223">
                  <c:v>99000</c:v>
                </c:pt>
                <c:pt idx="224">
                  <c:v>99500</c:v>
                </c:pt>
                <c:pt idx="225">
                  <c:v>100000</c:v>
                </c:pt>
                <c:pt idx="226">
                  <c:v>105000</c:v>
                </c:pt>
                <c:pt idx="227">
                  <c:v>110000</c:v>
                </c:pt>
                <c:pt idx="228">
                  <c:v>115000</c:v>
                </c:pt>
                <c:pt idx="229">
                  <c:v>120000</c:v>
                </c:pt>
                <c:pt idx="230">
                  <c:v>125000</c:v>
                </c:pt>
                <c:pt idx="231">
                  <c:v>130000</c:v>
                </c:pt>
                <c:pt idx="232">
                  <c:v>135000</c:v>
                </c:pt>
                <c:pt idx="233">
                  <c:v>140000</c:v>
                </c:pt>
                <c:pt idx="234">
                  <c:v>145000</c:v>
                </c:pt>
                <c:pt idx="235">
                  <c:v>150000</c:v>
                </c:pt>
                <c:pt idx="236">
                  <c:v>155000</c:v>
                </c:pt>
                <c:pt idx="237">
                  <c:v>160000</c:v>
                </c:pt>
                <c:pt idx="238">
                  <c:v>165000</c:v>
                </c:pt>
                <c:pt idx="239">
                  <c:v>170000</c:v>
                </c:pt>
                <c:pt idx="240">
                  <c:v>175000</c:v>
                </c:pt>
                <c:pt idx="241">
                  <c:v>180000</c:v>
                </c:pt>
                <c:pt idx="242">
                  <c:v>185000</c:v>
                </c:pt>
                <c:pt idx="243">
                  <c:v>190000</c:v>
                </c:pt>
                <c:pt idx="244">
                  <c:v>195000</c:v>
                </c:pt>
                <c:pt idx="245">
                  <c:v>200000</c:v>
                </c:pt>
                <c:pt idx="246">
                  <c:v>205000</c:v>
                </c:pt>
                <c:pt idx="247">
                  <c:v>210000</c:v>
                </c:pt>
                <c:pt idx="248">
                  <c:v>215000</c:v>
                </c:pt>
                <c:pt idx="249">
                  <c:v>220000</c:v>
                </c:pt>
                <c:pt idx="250">
                  <c:v>225000</c:v>
                </c:pt>
                <c:pt idx="251">
                  <c:v>230000</c:v>
                </c:pt>
                <c:pt idx="252">
                  <c:v>235000</c:v>
                </c:pt>
                <c:pt idx="253">
                  <c:v>240000</c:v>
                </c:pt>
                <c:pt idx="254">
                  <c:v>245000</c:v>
                </c:pt>
                <c:pt idx="255">
                  <c:v>250000</c:v>
                </c:pt>
                <c:pt idx="256">
                  <c:v>255000</c:v>
                </c:pt>
                <c:pt idx="257">
                  <c:v>260000</c:v>
                </c:pt>
                <c:pt idx="258">
                  <c:v>265000</c:v>
                </c:pt>
                <c:pt idx="259">
                  <c:v>270000</c:v>
                </c:pt>
                <c:pt idx="260">
                  <c:v>275000</c:v>
                </c:pt>
                <c:pt idx="261">
                  <c:v>280000</c:v>
                </c:pt>
                <c:pt idx="262">
                  <c:v>285000</c:v>
                </c:pt>
                <c:pt idx="263">
                  <c:v>290000</c:v>
                </c:pt>
                <c:pt idx="264">
                  <c:v>295000</c:v>
                </c:pt>
                <c:pt idx="265">
                  <c:v>300000</c:v>
                </c:pt>
                <c:pt idx="266">
                  <c:v>305000</c:v>
                </c:pt>
                <c:pt idx="267">
                  <c:v>310000</c:v>
                </c:pt>
                <c:pt idx="268">
                  <c:v>315000</c:v>
                </c:pt>
                <c:pt idx="269">
                  <c:v>320000</c:v>
                </c:pt>
                <c:pt idx="270">
                  <c:v>325000</c:v>
                </c:pt>
                <c:pt idx="271">
                  <c:v>330000</c:v>
                </c:pt>
                <c:pt idx="272">
                  <c:v>335000</c:v>
                </c:pt>
                <c:pt idx="273">
                  <c:v>340000</c:v>
                </c:pt>
                <c:pt idx="274">
                  <c:v>345000</c:v>
                </c:pt>
                <c:pt idx="275">
                  <c:v>350000</c:v>
                </c:pt>
                <c:pt idx="276">
                  <c:v>355000</c:v>
                </c:pt>
                <c:pt idx="277">
                  <c:v>360000</c:v>
                </c:pt>
                <c:pt idx="278">
                  <c:v>365000</c:v>
                </c:pt>
                <c:pt idx="279">
                  <c:v>370000</c:v>
                </c:pt>
                <c:pt idx="280">
                  <c:v>375000</c:v>
                </c:pt>
                <c:pt idx="281">
                  <c:v>380000</c:v>
                </c:pt>
                <c:pt idx="282">
                  <c:v>385000</c:v>
                </c:pt>
                <c:pt idx="283">
                  <c:v>390000</c:v>
                </c:pt>
                <c:pt idx="284">
                  <c:v>395000</c:v>
                </c:pt>
                <c:pt idx="285">
                  <c:v>400000</c:v>
                </c:pt>
                <c:pt idx="286">
                  <c:v>405000</c:v>
                </c:pt>
                <c:pt idx="287">
                  <c:v>410000</c:v>
                </c:pt>
                <c:pt idx="288">
                  <c:v>415000</c:v>
                </c:pt>
                <c:pt idx="289">
                  <c:v>420000</c:v>
                </c:pt>
                <c:pt idx="290">
                  <c:v>425000</c:v>
                </c:pt>
                <c:pt idx="291">
                  <c:v>430000</c:v>
                </c:pt>
                <c:pt idx="292">
                  <c:v>435000</c:v>
                </c:pt>
                <c:pt idx="293">
                  <c:v>440000</c:v>
                </c:pt>
                <c:pt idx="294">
                  <c:v>445000</c:v>
                </c:pt>
                <c:pt idx="295">
                  <c:v>450000</c:v>
                </c:pt>
                <c:pt idx="296">
                  <c:v>455000</c:v>
                </c:pt>
                <c:pt idx="297">
                  <c:v>460000</c:v>
                </c:pt>
                <c:pt idx="298">
                  <c:v>465000</c:v>
                </c:pt>
                <c:pt idx="299">
                  <c:v>470000</c:v>
                </c:pt>
                <c:pt idx="300">
                  <c:v>475000</c:v>
                </c:pt>
                <c:pt idx="301">
                  <c:v>480000</c:v>
                </c:pt>
                <c:pt idx="302">
                  <c:v>485000</c:v>
                </c:pt>
                <c:pt idx="303">
                  <c:v>490000</c:v>
                </c:pt>
                <c:pt idx="304">
                  <c:v>495000</c:v>
                </c:pt>
                <c:pt idx="305">
                  <c:v>500000</c:v>
                </c:pt>
                <c:pt idx="306">
                  <c:v>505000</c:v>
                </c:pt>
                <c:pt idx="307">
                  <c:v>510000</c:v>
                </c:pt>
                <c:pt idx="308">
                  <c:v>515000</c:v>
                </c:pt>
                <c:pt idx="309">
                  <c:v>520000</c:v>
                </c:pt>
                <c:pt idx="310">
                  <c:v>525000</c:v>
                </c:pt>
                <c:pt idx="311">
                  <c:v>530000</c:v>
                </c:pt>
                <c:pt idx="312">
                  <c:v>535000</c:v>
                </c:pt>
                <c:pt idx="313">
                  <c:v>540000</c:v>
                </c:pt>
                <c:pt idx="314">
                  <c:v>545000</c:v>
                </c:pt>
                <c:pt idx="315">
                  <c:v>550000</c:v>
                </c:pt>
                <c:pt idx="316">
                  <c:v>555000</c:v>
                </c:pt>
                <c:pt idx="317">
                  <c:v>560000</c:v>
                </c:pt>
                <c:pt idx="318">
                  <c:v>565000</c:v>
                </c:pt>
                <c:pt idx="319">
                  <c:v>570000</c:v>
                </c:pt>
                <c:pt idx="320">
                  <c:v>575000</c:v>
                </c:pt>
                <c:pt idx="321">
                  <c:v>580000</c:v>
                </c:pt>
                <c:pt idx="322">
                  <c:v>585000</c:v>
                </c:pt>
                <c:pt idx="323">
                  <c:v>590000</c:v>
                </c:pt>
                <c:pt idx="324">
                  <c:v>595000</c:v>
                </c:pt>
                <c:pt idx="325">
                  <c:v>600000</c:v>
                </c:pt>
                <c:pt idx="326">
                  <c:v>605000</c:v>
                </c:pt>
                <c:pt idx="327">
                  <c:v>610000</c:v>
                </c:pt>
                <c:pt idx="328">
                  <c:v>615000</c:v>
                </c:pt>
                <c:pt idx="329">
                  <c:v>620000</c:v>
                </c:pt>
                <c:pt idx="330">
                  <c:v>625000</c:v>
                </c:pt>
                <c:pt idx="331">
                  <c:v>630000</c:v>
                </c:pt>
                <c:pt idx="332">
                  <c:v>635000</c:v>
                </c:pt>
                <c:pt idx="333">
                  <c:v>640000</c:v>
                </c:pt>
                <c:pt idx="334">
                  <c:v>645000</c:v>
                </c:pt>
                <c:pt idx="335">
                  <c:v>650000</c:v>
                </c:pt>
                <c:pt idx="336">
                  <c:v>655000</c:v>
                </c:pt>
                <c:pt idx="337">
                  <c:v>660000</c:v>
                </c:pt>
                <c:pt idx="338">
                  <c:v>665000</c:v>
                </c:pt>
                <c:pt idx="339">
                  <c:v>670000</c:v>
                </c:pt>
                <c:pt idx="340">
                  <c:v>675000</c:v>
                </c:pt>
                <c:pt idx="341">
                  <c:v>680000</c:v>
                </c:pt>
                <c:pt idx="342">
                  <c:v>685000</c:v>
                </c:pt>
                <c:pt idx="343">
                  <c:v>690000</c:v>
                </c:pt>
                <c:pt idx="344">
                  <c:v>695000</c:v>
                </c:pt>
                <c:pt idx="345">
                  <c:v>700000</c:v>
                </c:pt>
                <c:pt idx="346">
                  <c:v>705000</c:v>
                </c:pt>
                <c:pt idx="347">
                  <c:v>710000</c:v>
                </c:pt>
                <c:pt idx="348">
                  <c:v>715000</c:v>
                </c:pt>
                <c:pt idx="349">
                  <c:v>720000</c:v>
                </c:pt>
                <c:pt idx="350">
                  <c:v>725000</c:v>
                </c:pt>
                <c:pt idx="351">
                  <c:v>730000</c:v>
                </c:pt>
                <c:pt idx="352">
                  <c:v>735000</c:v>
                </c:pt>
                <c:pt idx="353">
                  <c:v>740000</c:v>
                </c:pt>
                <c:pt idx="354">
                  <c:v>745000</c:v>
                </c:pt>
                <c:pt idx="355">
                  <c:v>750000</c:v>
                </c:pt>
                <c:pt idx="356">
                  <c:v>755000</c:v>
                </c:pt>
                <c:pt idx="357">
                  <c:v>760000</c:v>
                </c:pt>
                <c:pt idx="358">
                  <c:v>765000</c:v>
                </c:pt>
                <c:pt idx="359">
                  <c:v>770000</c:v>
                </c:pt>
                <c:pt idx="360">
                  <c:v>775000</c:v>
                </c:pt>
                <c:pt idx="361">
                  <c:v>780000</c:v>
                </c:pt>
                <c:pt idx="362">
                  <c:v>785000</c:v>
                </c:pt>
                <c:pt idx="363">
                  <c:v>790000</c:v>
                </c:pt>
                <c:pt idx="364">
                  <c:v>795000</c:v>
                </c:pt>
                <c:pt idx="365">
                  <c:v>800000</c:v>
                </c:pt>
                <c:pt idx="366">
                  <c:v>805000</c:v>
                </c:pt>
                <c:pt idx="367">
                  <c:v>810000</c:v>
                </c:pt>
                <c:pt idx="368">
                  <c:v>815000</c:v>
                </c:pt>
                <c:pt idx="369">
                  <c:v>820000</c:v>
                </c:pt>
                <c:pt idx="370">
                  <c:v>825000</c:v>
                </c:pt>
                <c:pt idx="371">
                  <c:v>830000</c:v>
                </c:pt>
                <c:pt idx="372">
                  <c:v>835000</c:v>
                </c:pt>
                <c:pt idx="373">
                  <c:v>840000</c:v>
                </c:pt>
                <c:pt idx="374">
                  <c:v>845000</c:v>
                </c:pt>
                <c:pt idx="375">
                  <c:v>850000</c:v>
                </c:pt>
                <c:pt idx="376">
                  <c:v>855000</c:v>
                </c:pt>
                <c:pt idx="377">
                  <c:v>860000</c:v>
                </c:pt>
                <c:pt idx="378">
                  <c:v>865000</c:v>
                </c:pt>
                <c:pt idx="379">
                  <c:v>870000</c:v>
                </c:pt>
                <c:pt idx="380">
                  <c:v>875000</c:v>
                </c:pt>
                <c:pt idx="381">
                  <c:v>880000</c:v>
                </c:pt>
                <c:pt idx="382">
                  <c:v>885000</c:v>
                </c:pt>
                <c:pt idx="383">
                  <c:v>890000</c:v>
                </c:pt>
                <c:pt idx="384">
                  <c:v>895000</c:v>
                </c:pt>
                <c:pt idx="385">
                  <c:v>900000</c:v>
                </c:pt>
                <c:pt idx="386">
                  <c:v>905000</c:v>
                </c:pt>
                <c:pt idx="387">
                  <c:v>910000</c:v>
                </c:pt>
                <c:pt idx="388">
                  <c:v>915000</c:v>
                </c:pt>
                <c:pt idx="389">
                  <c:v>920000</c:v>
                </c:pt>
                <c:pt idx="390">
                  <c:v>925000</c:v>
                </c:pt>
                <c:pt idx="391">
                  <c:v>930000</c:v>
                </c:pt>
                <c:pt idx="392">
                  <c:v>935000</c:v>
                </c:pt>
                <c:pt idx="393">
                  <c:v>940000</c:v>
                </c:pt>
                <c:pt idx="394">
                  <c:v>945000</c:v>
                </c:pt>
                <c:pt idx="395">
                  <c:v>950000</c:v>
                </c:pt>
                <c:pt idx="396">
                  <c:v>955000</c:v>
                </c:pt>
                <c:pt idx="397">
                  <c:v>960000</c:v>
                </c:pt>
                <c:pt idx="398">
                  <c:v>965000</c:v>
                </c:pt>
                <c:pt idx="399">
                  <c:v>970000</c:v>
                </c:pt>
                <c:pt idx="400">
                  <c:v>975000</c:v>
                </c:pt>
                <c:pt idx="401">
                  <c:v>980000</c:v>
                </c:pt>
                <c:pt idx="402">
                  <c:v>985000</c:v>
                </c:pt>
                <c:pt idx="403">
                  <c:v>990000</c:v>
                </c:pt>
                <c:pt idx="404">
                  <c:v>995000</c:v>
                </c:pt>
                <c:pt idx="405">
                  <c:v>1000000</c:v>
                </c:pt>
                <c:pt idx="406">
                  <c:v>1005000</c:v>
                </c:pt>
                <c:pt idx="407">
                  <c:v>1010000</c:v>
                </c:pt>
                <c:pt idx="408">
                  <c:v>1015000</c:v>
                </c:pt>
                <c:pt idx="409">
                  <c:v>1020000</c:v>
                </c:pt>
                <c:pt idx="410">
                  <c:v>1025000</c:v>
                </c:pt>
                <c:pt idx="411">
                  <c:v>1030000</c:v>
                </c:pt>
                <c:pt idx="412">
                  <c:v>1035000</c:v>
                </c:pt>
                <c:pt idx="413">
                  <c:v>1040000</c:v>
                </c:pt>
                <c:pt idx="414">
                  <c:v>1045000</c:v>
                </c:pt>
                <c:pt idx="415">
                  <c:v>1050000</c:v>
                </c:pt>
                <c:pt idx="416">
                  <c:v>1055000</c:v>
                </c:pt>
                <c:pt idx="417">
                  <c:v>1060000</c:v>
                </c:pt>
                <c:pt idx="418">
                  <c:v>1065000</c:v>
                </c:pt>
                <c:pt idx="419">
                  <c:v>1070000</c:v>
                </c:pt>
                <c:pt idx="420">
                  <c:v>1075000</c:v>
                </c:pt>
                <c:pt idx="421">
                  <c:v>1080000</c:v>
                </c:pt>
                <c:pt idx="422">
                  <c:v>1085000</c:v>
                </c:pt>
                <c:pt idx="423">
                  <c:v>1090000</c:v>
                </c:pt>
                <c:pt idx="424">
                  <c:v>1095000</c:v>
                </c:pt>
                <c:pt idx="425">
                  <c:v>1100000</c:v>
                </c:pt>
                <c:pt idx="426">
                  <c:v>1105000</c:v>
                </c:pt>
                <c:pt idx="427">
                  <c:v>1110000</c:v>
                </c:pt>
                <c:pt idx="428">
                  <c:v>1115000</c:v>
                </c:pt>
                <c:pt idx="429">
                  <c:v>1120000</c:v>
                </c:pt>
                <c:pt idx="430">
                  <c:v>1125000</c:v>
                </c:pt>
                <c:pt idx="431">
                  <c:v>1130000</c:v>
                </c:pt>
                <c:pt idx="432">
                  <c:v>1135000</c:v>
                </c:pt>
                <c:pt idx="433">
                  <c:v>1140000</c:v>
                </c:pt>
                <c:pt idx="434">
                  <c:v>1145000</c:v>
                </c:pt>
                <c:pt idx="435">
                  <c:v>1150000</c:v>
                </c:pt>
                <c:pt idx="436">
                  <c:v>1155000</c:v>
                </c:pt>
                <c:pt idx="437">
                  <c:v>1160000</c:v>
                </c:pt>
                <c:pt idx="438">
                  <c:v>1165000</c:v>
                </c:pt>
                <c:pt idx="439">
                  <c:v>1170000</c:v>
                </c:pt>
                <c:pt idx="440">
                  <c:v>1175000</c:v>
                </c:pt>
                <c:pt idx="441">
                  <c:v>1180000</c:v>
                </c:pt>
                <c:pt idx="442">
                  <c:v>1185000</c:v>
                </c:pt>
                <c:pt idx="443">
                  <c:v>1190000</c:v>
                </c:pt>
                <c:pt idx="444">
                  <c:v>1195000</c:v>
                </c:pt>
                <c:pt idx="445">
                  <c:v>1200000</c:v>
                </c:pt>
                <c:pt idx="446">
                  <c:v>1205000</c:v>
                </c:pt>
                <c:pt idx="447">
                  <c:v>1210000</c:v>
                </c:pt>
                <c:pt idx="448">
                  <c:v>1215000</c:v>
                </c:pt>
                <c:pt idx="449">
                  <c:v>1220000</c:v>
                </c:pt>
                <c:pt idx="450">
                  <c:v>1225000</c:v>
                </c:pt>
                <c:pt idx="451">
                  <c:v>1230000</c:v>
                </c:pt>
                <c:pt idx="452">
                  <c:v>1235000</c:v>
                </c:pt>
                <c:pt idx="453">
                  <c:v>1240000</c:v>
                </c:pt>
                <c:pt idx="454">
                  <c:v>1245000</c:v>
                </c:pt>
                <c:pt idx="455">
                  <c:v>1250000</c:v>
                </c:pt>
                <c:pt idx="456">
                  <c:v>1255000</c:v>
                </c:pt>
                <c:pt idx="457">
                  <c:v>1260000</c:v>
                </c:pt>
                <c:pt idx="458">
                  <c:v>1265000</c:v>
                </c:pt>
                <c:pt idx="459">
                  <c:v>1270000</c:v>
                </c:pt>
                <c:pt idx="460">
                  <c:v>1275000</c:v>
                </c:pt>
                <c:pt idx="461">
                  <c:v>1280000</c:v>
                </c:pt>
                <c:pt idx="462">
                  <c:v>1285000</c:v>
                </c:pt>
                <c:pt idx="463">
                  <c:v>1290000</c:v>
                </c:pt>
                <c:pt idx="464">
                  <c:v>1295000</c:v>
                </c:pt>
                <c:pt idx="465">
                  <c:v>1300000</c:v>
                </c:pt>
                <c:pt idx="466">
                  <c:v>1305000</c:v>
                </c:pt>
                <c:pt idx="467">
                  <c:v>1310000</c:v>
                </c:pt>
                <c:pt idx="468">
                  <c:v>1315000</c:v>
                </c:pt>
                <c:pt idx="469">
                  <c:v>1320000</c:v>
                </c:pt>
                <c:pt idx="470">
                  <c:v>1325000</c:v>
                </c:pt>
                <c:pt idx="471">
                  <c:v>1330000</c:v>
                </c:pt>
                <c:pt idx="472">
                  <c:v>1335000</c:v>
                </c:pt>
                <c:pt idx="473">
                  <c:v>1340000</c:v>
                </c:pt>
                <c:pt idx="474">
                  <c:v>1345000</c:v>
                </c:pt>
                <c:pt idx="475">
                  <c:v>1350000</c:v>
                </c:pt>
                <c:pt idx="476">
                  <c:v>1355000</c:v>
                </c:pt>
                <c:pt idx="477">
                  <c:v>1360000</c:v>
                </c:pt>
                <c:pt idx="478">
                  <c:v>1365000</c:v>
                </c:pt>
                <c:pt idx="479">
                  <c:v>1370000</c:v>
                </c:pt>
                <c:pt idx="480">
                  <c:v>1375000</c:v>
                </c:pt>
                <c:pt idx="481">
                  <c:v>1380000</c:v>
                </c:pt>
                <c:pt idx="482">
                  <c:v>1385000</c:v>
                </c:pt>
                <c:pt idx="483">
                  <c:v>1390000</c:v>
                </c:pt>
                <c:pt idx="484">
                  <c:v>1395000</c:v>
                </c:pt>
                <c:pt idx="485">
                  <c:v>1400000</c:v>
                </c:pt>
                <c:pt idx="486">
                  <c:v>1405000</c:v>
                </c:pt>
                <c:pt idx="487">
                  <c:v>1410000</c:v>
                </c:pt>
                <c:pt idx="488">
                  <c:v>1415000</c:v>
                </c:pt>
                <c:pt idx="489">
                  <c:v>1420000</c:v>
                </c:pt>
                <c:pt idx="490">
                  <c:v>1425000</c:v>
                </c:pt>
                <c:pt idx="491">
                  <c:v>1430000</c:v>
                </c:pt>
                <c:pt idx="492">
                  <c:v>1435000</c:v>
                </c:pt>
                <c:pt idx="493">
                  <c:v>1440000</c:v>
                </c:pt>
                <c:pt idx="494">
                  <c:v>1445000</c:v>
                </c:pt>
                <c:pt idx="495">
                  <c:v>1450000</c:v>
                </c:pt>
                <c:pt idx="496">
                  <c:v>1455000</c:v>
                </c:pt>
                <c:pt idx="497">
                  <c:v>1460000</c:v>
                </c:pt>
                <c:pt idx="498">
                  <c:v>1465000</c:v>
                </c:pt>
                <c:pt idx="499">
                  <c:v>1470000</c:v>
                </c:pt>
                <c:pt idx="500">
                  <c:v>1475000</c:v>
                </c:pt>
                <c:pt idx="501">
                  <c:v>1480000</c:v>
                </c:pt>
                <c:pt idx="502">
                  <c:v>1485000</c:v>
                </c:pt>
                <c:pt idx="503">
                  <c:v>1490000</c:v>
                </c:pt>
                <c:pt idx="504">
                  <c:v>1495000</c:v>
                </c:pt>
                <c:pt idx="505">
                  <c:v>1500000</c:v>
                </c:pt>
                <c:pt idx="506">
                  <c:v>1505000</c:v>
                </c:pt>
                <c:pt idx="507">
                  <c:v>1510000</c:v>
                </c:pt>
                <c:pt idx="508">
                  <c:v>1515000</c:v>
                </c:pt>
                <c:pt idx="509">
                  <c:v>1520000</c:v>
                </c:pt>
                <c:pt idx="510">
                  <c:v>1525000</c:v>
                </c:pt>
                <c:pt idx="511">
                  <c:v>1530000</c:v>
                </c:pt>
                <c:pt idx="512">
                  <c:v>1535000</c:v>
                </c:pt>
                <c:pt idx="513">
                  <c:v>1540000</c:v>
                </c:pt>
                <c:pt idx="514">
                  <c:v>1545000</c:v>
                </c:pt>
                <c:pt idx="515">
                  <c:v>1550000</c:v>
                </c:pt>
                <c:pt idx="516">
                  <c:v>1555000</c:v>
                </c:pt>
                <c:pt idx="517">
                  <c:v>1560000</c:v>
                </c:pt>
                <c:pt idx="518">
                  <c:v>1565000</c:v>
                </c:pt>
                <c:pt idx="519">
                  <c:v>1570000</c:v>
                </c:pt>
                <c:pt idx="520">
                  <c:v>1575000</c:v>
                </c:pt>
                <c:pt idx="521">
                  <c:v>1580000</c:v>
                </c:pt>
                <c:pt idx="522">
                  <c:v>1585000</c:v>
                </c:pt>
                <c:pt idx="523">
                  <c:v>1590000</c:v>
                </c:pt>
                <c:pt idx="524">
                  <c:v>1595000</c:v>
                </c:pt>
                <c:pt idx="525">
                  <c:v>1600000</c:v>
                </c:pt>
                <c:pt idx="526">
                  <c:v>1605000</c:v>
                </c:pt>
                <c:pt idx="527">
                  <c:v>1610000</c:v>
                </c:pt>
                <c:pt idx="528">
                  <c:v>1615000</c:v>
                </c:pt>
                <c:pt idx="529">
                  <c:v>1620000</c:v>
                </c:pt>
                <c:pt idx="530">
                  <c:v>1625000</c:v>
                </c:pt>
                <c:pt idx="531">
                  <c:v>1630000</c:v>
                </c:pt>
                <c:pt idx="532">
                  <c:v>1635000</c:v>
                </c:pt>
                <c:pt idx="533">
                  <c:v>1640000</c:v>
                </c:pt>
                <c:pt idx="534">
                  <c:v>1645000</c:v>
                </c:pt>
                <c:pt idx="535">
                  <c:v>1650000</c:v>
                </c:pt>
                <c:pt idx="536">
                  <c:v>1655000</c:v>
                </c:pt>
                <c:pt idx="537">
                  <c:v>1660000</c:v>
                </c:pt>
                <c:pt idx="538">
                  <c:v>1665000</c:v>
                </c:pt>
                <c:pt idx="539">
                  <c:v>1670000</c:v>
                </c:pt>
                <c:pt idx="540">
                  <c:v>1675000</c:v>
                </c:pt>
                <c:pt idx="541">
                  <c:v>1680000</c:v>
                </c:pt>
                <c:pt idx="542">
                  <c:v>1685000</c:v>
                </c:pt>
                <c:pt idx="543">
                  <c:v>1690000</c:v>
                </c:pt>
                <c:pt idx="544">
                  <c:v>1695000</c:v>
                </c:pt>
                <c:pt idx="545">
                  <c:v>1700000</c:v>
                </c:pt>
                <c:pt idx="546">
                  <c:v>1705000</c:v>
                </c:pt>
                <c:pt idx="547">
                  <c:v>1710000</c:v>
                </c:pt>
                <c:pt idx="548">
                  <c:v>1715000</c:v>
                </c:pt>
                <c:pt idx="549">
                  <c:v>1720000</c:v>
                </c:pt>
                <c:pt idx="550">
                  <c:v>1725000</c:v>
                </c:pt>
                <c:pt idx="551">
                  <c:v>1730000</c:v>
                </c:pt>
                <c:pt idx="552">
                  <c:v>1735000</c:v>
                </c:pt>
                <c:pt idx="553">
                  <c:v>1740000</c:v>
                </c:pt>
                <c:pt idx="554">
                  <c:v>1745000</c:v>
                </c:pt>
                <c:pt idx="555">
                  <c:v>1750000</c:v>
                </c:pt>
                <c:pt idx="556">
                  <c:v>1755000</c:v>
                </c:pt>
                <c:pt idx="557">
                  <c:v>1760000</c:v>
                </c:pt>
                <c:pt idx="558">
                  <c:v>1765000</c:v>
                </c:pt>
                <c:pt idx="559">
                  <c:v>1770000</c:v>
                </c:pt>
                <c:pt idx="560">
                  <c:v>1775000</c:v>
                </c:pt>
                <c:pt idx="561">
                  <c:v>1780000</c:v>
                </c:pt>
                <c:pt idx="562">
                  <c:v>1785000</c:v>
                </c:pt>
                <c:pt idx="563">
                  <c:v>1790000</c:v>
                </c:pt>
                <c:pt idx="564">
                  <c:v>1795000</c:v>
                </c:pt>
                <c:pt idx="565">
                  <c:v>1800000</c:v>
                </c:pt>
                <c:pt idx="566">
                  <c:v>1805000</c:v>
                </c:pt>
                <c:pt idx="567">
                  <c:v>1810000</c:v>
                </c:pt>
                <c:pt idx="568">
                  <c:v>1815000</c:v>
                </c:pt>
                <c:pt idx="569">
                  <c:v>1820000</c:v>
                </c:pt>
                <c:pt idx="570">
                  <c:v>1825000</c:v>
                </c:pt>
                <c:pt idx="571">
                  <c:v>1830000</c:v>
                </c:pt>
                <c:pt idx="572">
                  <c:v>1835000</c:v>
                </c:pt>
                <c:pt idx="573">
                  <c:v>1840000</c:v>
                </c:pt>
                <c:pt idx="574">
                  <c:v>1845000</c:v>
                </c:pt>
                <c:pt idx="575">
                  <c:v>1850000</c:v>
                </c:pt>
                <c:pt idx="576">
                  <c:v>1855000</c:v>
                </c:pt>
                <c:pt idx="577">
                  <c:v>1860000</c:v>
                </c:pt>
                <c:pt idx="578">
                  <c:v>1865000</c:v>
                </c:pt>
                <c:pt idx="579">
                  <c:v>1870000</c:v>
                </c:pt>
                <c:pt idx="580">
                  <c:v>1875000</c:v>
                </c:pt>
                <c:pt idx="581">
                  <c:v>1880000</c:v>
                </c:pt>
                <c:pt idx="582">
                  <c:v>1885000</c:v>
                </c:pt>
                <c:pt idx="583">
                  <c:v>1890000</c:v>
                </c:pt>
                <c:pt idx="584">
                  <c:v>1895000</c:v>
                </c:pt>
                <c:pt idx="585">
                  <c:v>1900000</c:v>
                </c:pt>
                <c:pt idx="586">
                  <c:v>1905000</c:v>
                </c:pt>
                <c:pt idx="587">
                  <c:v>1910000</c:v>
                </c:pt>
                <c:pt idx="588">
                  <c:v>1915000</c:v>
                </c:pt>
                <c:pt idx="589">
                  <c:v>1920000</c:v>
                </c:pt>
                <c:pt idx="590">
                  <c:v>1925000</c:v>
                </c:pt>
                <c:pt idx="591">
                  <c:v>1930000</c:v>
                </c:pt>
                <c:pt idx="592">
                  <c:v>1935000</c:v>
                </c:pt>
                <c:pt idx="593">
                  <c:v>1940000</c:v>
                </c:pt>
                <c:pt idx="594">
                  <c:v>1945000</c:v>
                </c:pt>
                <c:pt idx="595">
                  <c:v>1950000</c:v>
                </c:pt>
                <c:pt idx="596">
                  <c:v>1955000</c:v>
                </c:pt>
                <c:pt idx="597">
                  <c:v>1960000</c:v>
                </c:pt>
                <c:pt idx="598">
                  <c:v>1965000</c:v>
                </c:pt>
                <c:pt idx="599">
                  <c:v>1970000</c:v>
                </c:pt>
                <c:pt idx="600">
                  <c:v>1975000</c:v>
                </c:pt>
                <c:pt idx="601">
                  <c:v>1980000</c:v>
                </c:pt>
                <c:pt idx="602">
                  <c:v>1985000</c:v>
                </c:pt>
                <c:pt idx="603">
                  <c:v>1990000</c:v>
                </c:pt>
                <c:pt idx="604">
                  <c:v>1995000</c:v>
                </c:pt>
                <c:pt idx="605">
                  <c:v>2000000</c:v>
                </c:pt>
                <c:pt idx="606">
                  <c:v>2250000</c:v>
                </c:pt>
                <c:pt idx="607">
                  <c:v>2500000</c:v>
                </c:pt>
                <c:pt idx="608">
                  <c:v>2750000</c:v>
                </c:pt>
                <c:pt idx="609">
                  <c:v>3000000</c:v>
                </c:pt>
                <c:pt idx="610">
                  <c:v>3250000</c:v>
                </c:pt>
                <c:pt idx="611">
                  <c:v>3500000</c:v>
                </c:pt>
                <c:pt idx="612">
                  <c:v>3750000</c:v>
                </c:pt>
                <c:pt idx="613">
                  <c:v>4000000</c:v>
                </c:pt>
                <c:pt idx="614">
                  <c:v>4250000</c:v>
                </c:pt>
                <c:pt idx="615">
                  <c:v>4500000</c:v>
                </c:pt>
                <c:pt idx="616">
                  <c:v>4750000</c:v>
                </c:pt>
                <c:pt idx="617">
                  <c:v>5000000</c:v>
                </c:pt>
                <c:pt idx="618">
                  <c:v>5100000</c:v>
                </c:pt>
                <c:pt idx="619">
                  <c:v>5200000</c:v>
                </c:pt>
                <c:pt idx="620">
                  <c:v>5300000</c:v>
                </c:pt>
                <c:pt idx="621">
                  <c:v>5400000</c:v>
                </c:pt>
                <c:pt idx="622">
                  <c:v>5500000</c:v>
                </c:pt>
                <c:pt idx="623">
                  <c:v>5600000</c:v>
                </c:pt>
                <c:pt idx="624">
                  <c:v>5700000</c:v>
                </c:pt>
                <c:pt idx="625">
                  <c:v>5800000</c:v>
                </c:pt>
                <c:pt idx="626">
                  <c:v>5900000</c:v>
                </c:pt>
                <c:pt idx="627">
                  <c:v>6000000</c:v>
                </c:pt>
                <c:pt idx="628">
                  <c:v>6100000</c:v>
                </c:pt>
                <c:pt idx="629">
                  <c:v>6200000</c:v>
                </c:pt>
                <c:pt idx="630">
                  <c:v>6300000</c:v>
                </c:pt>
                <c:pt idx="631">
                  <c:v>6400000</c:v>
                </c:pt>
                <c:pt idx="632">
                  <c:v>6500000</c:v>
                </c:pt>
                <c:pt idx="633">
                  <c:v>6600000</c:v>
                </c:pt>
                <c:pt idx="634">
                  <c:v>6700000</c:v>
                </c:pt>
                <c:pt idx="635">
                  <c:v>6800000</c:v>
                </c:pt>
                <c:pt idx="636">
                  <c:v>6900000</c:v>
                </c:pt>
                <c:pt idx="637">
                  <c:v>7000000</c:v>
                </c:pt>
                <c:pt idx="638">
                  <c:v>7100000</c:v>
                </c:pt>
                <c:pt idx="639">
                  <c:v>7200000</c:v>
                </c:pt>
                <c:pt idx="640">
                  <c:v>7300000</c:v>
                </c:pt>
                <c:pt idx="641">
                  <c:v>7400000</c:v>
                </c:pt>
                <c:pt idx="642">
                  <c:v>7500000</c:v>
                </c:pt>
                <c:pt idx="643">
                  <c:v>7600000</c:v>
                </c:pt>
                <c:pt idx="644">
                  <c:v>7700000</c:v>
                </c:pt>
                <c:pt idx="645">
                  <c:v>7800000</c:v>
                </c:pt>
                <c:pt idx="646">
                  <c:v>7900000</c:v>
                </c:pt>
                <c:pt idx="647">
                  <c:v>8000000</c:v>
                </c:pt>
                <c:pt idx="648">
                  <c:v>8100000</c:v>
                </c:pt>
                <c:pt idx="649">
                  <c:v>8200000</c:v>
                </c:pt>
                <c:pt idx="650">
                  <c:v>8300000</c:v>
                </c:pt>
                <c:pt idx="651">
                  <c:v>8400000</c:v>
                </c:pt>
                <c:pt idx="652">
                  <c:v>8500000</c:v>
                </c:pt>
                <c:pt idx="653">
                  <c:v>8600000</c:v>
                </c:pt>
                <c:pt idx="654">
                  <c:v>8700000</c:v>
                </c:pt>
                <c:pt idx="655">
                  <c:v>8800000</c:v>
                </c:pt>
                <c:pt idx="656">
                  <c:v>8900000</c:v>
                </c:pt>
                <c:pt idx="657">
                  <c:v>9000000</c:v>
                </c:pt>
                <c:pt idx="658">
                  <c:v>9100000</c:v>
                </c:pt>
                <c:pt idx="659">
                  <c:v>9200000</c:v>
                </c:pt>
                <c:pt idx="660">
                  <c:v>9300000</c:v>
                </c:pt>
                <c:pt idx="661">
                  <c:v>9400000</c:v>
                </c:pt>
                <c:pt idx="662">
                  <c:v>9500000</c:v>
                </c:pt>
                <c:pt idx="663">
                  <c:v>9600000</c:v>
                </c:pt>
                <c:pt idx="664">
                  <c:v>9700000</c:v>
                </c:pt>
                <c:pt idx="665">
                  <c:v>9800000</c:v>
                </c:pt>
                <c:pt idx="666">
                  <c:v>9900000</c:v>
                </c:pt>
                <c:pt idx="667">
                  <c:v>10000000</c:v>
                </c:pt>
              </c:numCache>
            </c:numRef>
          </c:xVal>
          <c:yVal>
            <c:numRef>
              <c:f>'Bode Plots Calculations'!$Z$9:$Z$676</c:f>
              <c:numCache>
                <c:formatCode>General</c:formatCode>
                <c:ptCount val="668"/>
                <c:pt idx="0">
                  <c:v>90.009513554834001</c:v>
                </c:pt>
                <c:pt idx="1">
                  <c:v>90.019027109396873</c:v>
                </c:pt>
                <c:pt idx="2">
                  <c:v>90.028540663417431</c:v>
                </c:pt>
                <c:pt idx="3">
                  <c:v>90.038054216624545</c:v>
                </c:pt>
                <c:pt idx="4">
                  <c:v>90.047567768747058</c:v>
                </c:pt>
                <c:pt idx="5">
                  <c:v>90.057081319513841</c:v>
                </c:pt>
                <c:pt idx="6">
                  <c:v>90.066594868653752</c:v>
                </c:pt>
                <c:pt idx="7">
                  <c:v>90.076108415895618</c:v>
                </c:pt>
                <c:pt idx="8">
                  <c:v>90.085621960968311</c:v>
                </c:pt>
                <c:pt idx="9">
                  <c:v>90.095135503600659</c:v>
                </c:pt>
                <c:pt idx="10">
                  <c:v>90.190270736054586</c:v>
                </c:pt>
                <c:pt idx="11">
                  <c:v>90.285405426219896</c:v>
                </c:pt>
                <c:pt idx="12">
                  <c:v>90.38053930296438</c:v>
                </c:pt>
                <c:pt idx="13">
                  <c:v>90.475672095170424</c:v>
                </c:pt>
                <c:pt idx="14">
                  <c:v>90.570803531739713</c:v>
                </c:pt>
                <c:pt idx="15">
                  <c:v>90.665933341598219</c:v>
                </c:pt>
                <c:pt idx="16">
                  <c:v>90.761061253700973</c:v>
                </c:pt>
                <c:pt idx="17">
                  <c:v>90.856186997036929</c:v>
                </c:pt>
                <c:pt idx="18">
                  <c:v>90.951310300633779</c:v>
                </c:pt>
                <c:pt idx="19">
                  <c:v>91.902349574433728</c:v>
                </c:pt>
                <c:pt idx="20">
                  <c:v>92.852847278451847</c:v>
                </c:pt>
                <c:pt idx="21">
                  <c:v>93.802533835112428</c:v>
                </c:pt>
                <c:pt idx="22">
                  <c:v>94.751141108921985</c:v>
                </c:pt>
                <c:pt idx="23">
                  <c:v>95.698402876069025</c:v>
                </c:pt>
                <c:pt idx="24">
                  <c:v>96.644055284645347</c:v>
                </c:pt>
                <c:pt idx="25">
                  <c:v>97.587837303304966</c:v>
                </c:pt>
                <c:pt idx="26">
                  <c:v>98.529491156281722</c:v>
                </c:pt>
                <c:pt idx="27">
                  <c:v>99.468762742806547</c:v>
                </c:pt>
                <c:pt idx="28">
                  <c:v>104.12079939667228</c:v>
                </c:pt>
                <c:pt idx="29">
                  <c:v>108.67792222597359</c:v>
                </c:pt>
                <c:pt idx="30">
                  <c:v>113.11451544578762</c:v>
                </c:pt>
                <c:pt idx="31">
                  <c:v>117.40927204028998</c:v>
                </c:pt>
                <c:pt idx="32">
                  <c:v>121.54540099643151</c:v>
                </c:pt>
                <c:pt idx="33">
                  <c:v>125.51049378899141</c:v>
                </c:pt>
                <c:pt idx="34">
                  <c:v>129.29613210278654</c:v>
                </c:pt>
                <c:pt idx="35">
                  <c:v>132.89733009099476</c:v>
                </c:pt>
                <c:pt idx="36">
                  <c:v>136.31189750852735</c:v>
                </c:pt>
                <c:pt idx="37">
                  <c:v>139.53979225826546</c:v>
                </c:pt>
                <c:pt idx="38">
                  <c:v>142.58250932441555</c:v>
                </c:pt>
                <c:pt idx="39">
                  <c:v>145.44253277591594</c:v>
                </c:pt>
                <c:pt idx="40">
                  <c:v>148.12286115751888</c:v>
                </c:pt>
                <c:pt idx="41">
                  <c:v>150.62660489099699</c:v>
                </c:pt>
                <c:pt idx="42">
                  <c:v>152.95664684733094</c:v>
                </c:pt>
                <c:pt idx="43">
                  <c:v>155.11535305015241</c:v>
                </c:pt>
                <c:pt idx="44">
                  <c:v>157.10431845477731</c:v>
                </c:pt>
                <c:pt idx="45">
                  <c:v>158.92413196140404</c:v>
                </c:pt>
                <c:pt idx="46">
                  <c:v>160.57414451138564</c:v>
                </c:pt>
                <c:pt idx="47">
                  <c:v>162.05222372340916</c:v>
                </c:pt>
                <c:pt idx="48">
                  <c:v>163.35447764972366</c:v>
                </c:pt>
                <c:pt idx="49">
                  <c:v>164.4749285838169</c:v>
                </c:pt>
                <c:pt idx="50">
                  <c:v>165.4051152364527</c:v>
                </c:pt>
                <c:pt idx="51">
                  <c:v>166.13359793969823</c:v>
                </c:pt>
                <c:pt idx="52">
                  <c:v>166.64533698401263</c:v>
                </c:pt>
                <c:pt idx="53">
                  <c:v>166.92090937573369</c:v>
                </c:pt>
                <c:pt idx="54">
                  <c:v>166.93552592506794</c:v>
                </c:pt>
                <c:pt idx="55">
                  <c:v>166.65781261002797</c:v>
                </c:pt>
                <c:pt idx="56">
                  <c:v>166.04833622969036</c:v>
                </c:pt>
                <c:pt idx="57">
                  <c:v>165.05790224502763</c:v>
                </c:pt>
                <c:pt idx="58">
                  <c:v>163.625767324246</c:v>
                </c:pt>
                <c:pt idx="59">
                  <c:v>161.67815462473649</c:v>
                </c:pt>
                <c:pt idx="60">
                  <c:v>159.12794153828003</c:v>
                </c:pt>
                <c:pt idx="61">
                  <c:v>155.87724166987235</c:v>
                </c:pt>
                <c:pt idx="62">
                  <c:v>151.82587400833521</c:v>
                </c:pt>
                <c:pt idx="63">
                  <c:v>146.88997483825901</c:v>
                </c:pt>
                <c:pt idx="64">
                  <c:v>141.03452452899583</c:v>
                </c:pt>
                <c:pt idx="65">
                  <c:v>134.31764049913807</c:v>
                </c:pt>
                <c:pt idx="66">
                  <c:v>126.93013679302067</c:v>
                </c:pt>
                <c:pt idx="67">
                  <c:v>119.19842902935369</c:v>
                </c:pt>
                <c:pt idx="68">
                  <c:v>111.52609177595224</c:v>
                </c:pt>
                <c:pt idx="69">
                  <c:v>104.29206914294309</c:v>
                </c:pt>
                <c:pt idx="70">
                  <c:v>97.763251605235439</c:v>
                </c:pt>
                <c:pt idx="71">
                  <c:v>92.065327982512059</c:v>
                </c:pt>
                <c:pt idx="72">
                  <c:v>87.206963851146782</c:v>
                </c:pt>
                <c:pt idx="73">
                  <c:v>83.124765777105523</c:v>
                </c:pt>
                <c:pt idx="74">
                  <c:v>79.723130952539023</c:v>
                </c:pt>
                <c:pt idx="75">
                  <c:v>76.900076729849346</c:v>
                </c:pt>
                <c:pt idx="76">
                  <c:v>74.560593364513139</c:v>
                </c:pt>
                <c:pt idx="77">
                  <c:v>72.621924766460893</c:v>
                </c:pt>
                <c:pt idx="78">
                  <c:v>71.014519143495548</c:v>
                </c:pt>
                <c:pt idx="79">
                  <c:v>69.681012580629769</c:v>
                </c:pt>
                <c:pt idx="80">
                  <c:v>68.574520529694922</c:v>
                </c:pt>
                <c:pt idx="81">
                  <c:v>67.656847077376099</c:v>
                </c:pt>
                <c:pt idx="82">
                  <c:v>66.896865026136382</c:v>
                </c:pt>
                <c:pt idx="83">
                  <c:v>66.269145210339531</c:v>
                </c:pt>
                <c:pt idx="84">
                  <c:v>65.752835679866976</c:v>
                </c:pt>
                <c:pt idx="85">
                  <c:v>65.330761472921523</c:v>
                </c:pt>
                <c:pt idx="86">
                  <c:v>64.988707935338894</c:v>
                </c:pt>
                <c:pt idx="87">
                  <c:v>64.714852140033216</c:v>
                </c:pt>
                <c:pt idx="88">
                  <c:v>64.499311871434742</c:v>
                </c:pt>
                <c:pt idx="89">
                  <c:v>64.333787174987194</c:v>
                </c:pt>
                <c:pt idx="90">
                  <c:v>64.21127454857907</c:v>
                </c:pt>
                <c:pt idx="91">
                  <c:v>64.125838127801728</c:v>
                </c:pt>
                <c:pt idx="92">
                  <c:v>64.072425665005071</c:v>
                </c:pt>
                <c:pt idx="93">
                  <c:v>64.046719818937902</c:v>
                </c:pt>
                <c:pt idx="94">
                  <c:v>64.045017385203735</c:v>
                </c:pt>
                <c:pt idx="95">
                  <c:v>64.064130731111746</c:v>
                </c:pt>
                <c:pt idx="96">
                  <c:v>64.101306957444891</c:v>
                </c:pt>
                <c:pt idx="97">
                  <c:v>64.154161279885543</c:v>
                </c:pt>
                <c:pt idx="98">
                  <c:v>64.220621871657883</c:v>
                </c:pt>
                <c:pt idx="99">
                  <c:v>64.298883988407425</c:v>
                </c:pt>
                <c:pt idx="100">
                  <c:v>64.387371646236119</c:v>
                </c:pt>
                <c:pt idx="101">
                  <c:v>64.484705474468143</c:v>
                </c:pt>
                <c:pt idx="102">
                  <c:v>64.589675639151636</c:v>
                </c:pt>
                <c:pt idx="103">
                  <c:v>64.701218949021225</c:v>
                </c:pt>
                <c:pt idx="104">
                  <c:v>64.818399425957935</c:v>
                </c:pt>
                <c:pt idx="105">
                  <c:v>64.940391757053902</c:v>
                </c:pt>
                <c:pt idx="106">
                  <c:v>65.066467152988082</c:v>
                </c:pt>
                <c:pt idx="107">
                  <c:v>65.195981223512121</c:v>
                </c:pt>
                <c:pt idx="108">
                  <c:v>65.328363550032464</c:v>
                </c:pt>
                <c:pt idx="109">
                  <c:v>65.463108691111216</c:v>
                </c:pt>
                <c:pt idx="110">
                  <c:v>65.599768401959366</c:v>
                </c:pt>
                <c:pt idx="111">
                  <c:v>65.737944885820639</c:v>
                </c:pt>
                <c:pt idx="112">
                  <c:v>65.877284925222725</c:v>
                </c:pt>
                <c:pt idx="113">
                  <c:v>66.017474765744964</c:v>
                </c:pt>
                <c:pt idx="114">
                  <c:v>66.15823564525752</c:v>
                </c:pt>
                <c:pt idx="115">
                  <c:v>66.299319878363477</c:v>
                </c:pt>
                <c:pt idx="116">
                  <c:v>66.44050741968384</c:v>
                </c:pt>
                <c:pt idx="117">
                  <c:v>66.581602841195746</c:v>
                </c:pt>
                <c:pt idx="118">
                  <c:v>66.722432668489262</c:v>
                </c:pt>
                <c:pt idx="119">
                  <c:v>66.862843028893707</c:v>
                </c:pt>
                <c:pt idx="120">
                  <c:v>67.002697571215037</c:v>
                </c:pt>
                <c:pt idx="121">
                  <c:v>67.141875622544163</c:v>
                </c:pt>
                <c:pt idx="122">
                  <c:v>67.280270552428959</c:v>
                </c:pt>
                <c:pt idx="123">
                  <c:v>67.417788318796738</c:v>
                </c:pt>
                <c:pt idx="124">
                  <c:v>67.554346173489691</c:v>
                </c:pt>
                <c:pt idx="125">
                  <c:v>67.689871508239165</c:v>
                </c:pt>
                <c:pt idx="126">
                  <c:v>67.824300824432228</c:v>
                </c:pt>
                <c:pt idx="127">
                  <c:v>67.957578812189084</c:v>
                </c:pt>
                <c:pt idx="128">
                  <c:v>68.089657526126899</c:v>
                </c:pt>
                <c:pt idx="129">
                  <c:v>68.220495646782894</c:v>
                </c:pt>
                <c:pt idx="130">
                  <c:v>68.350057818045684</c:v>
                </c:pt>
                <c:pt idx="131">
                  <c:v>68.478314052133939</c:v>
                </c:pt>
                <c:pt idx="132">
                  <c:v>68.605239194689361</c:v>
                </c:pt>
                <c:pt idx="133">
                  <c:v>68.730812443444563</c:v>
                </c:pt>
                <c:pt idx="134">
                  <c:v>68.855016914702247</c:v>
                </c:pt>
                <c:pt idx="135">
                  <c:v>68.977839252536739</c:v>
                </c:pt>
                <c:pt idx="136">
                  <c:v>69.099269276219914</c:v>
                </c:pt>
                <c:pt idx="137">
                  <c:v>69.219299661885955</c:v>
                </c:pt>
                <c:pt idx="138">
                  <c:v>69.33792565490343</c:v>
                </c:pt>
                <c:pt idx="139">
                  <c:v>69.455144809815579</c:v>
                </c:pt>
                <c:pt idx="140">
                  <c:v>69.57095675505856</c:v>
                </c:pt>
                <c:pt idx="141">
                  <c:v>69.685362979973107</c:v>
                </c:pt>
                <c:pt idx="142">
                  <c:v>69.798366641892571</c:v>
                </c:pt>
                <c:pt idx="143">
                  <c:v>69.909972391330598</c:v>
                </c:pt>
                <c:pt idx="144">
                  <c:v>70.020186213498235</c:v>
                </c:pt>
                <c:pt idx="145">
                  <c:v>70.129015284569391</c:v>
                </c:pt>
                <c:pt idx="146">
                  <c:v>70.236467841276308</c:v>
                </c:pt>
                <c:pt idx="147">
                  <c:v>70.342553062562288</c:v>
                </c:pt>
                <c:pt idx="148">
                  <c:v>70.447280962151268</c:v>
                </c:pt>
                <c:pt idx="149">
                  <c:v>70.550662291006731</c:v>
                </c:pt>
                <c:pt idx="150">
                  <c:v>70.652708448756897</c:v>
                </c:pt>
                <c:pt idx="151">
                  <c:v>70.753431403253998</c:v>
                </c:pt>
                <c:pt idx="152">
                  <c:v>70.852843617518758</c:v>
                </c:pt>
                <c:pt idx="153">
                  <c:v>70.950957983392101</c:v>
                </c:pt>
                <c:pt idx="154">
                  <c:v>71.04778776128498</c:v>
                </c:pt>
                <c:pt idx="155">
                  <c:v>71.143346525472509</c:v>
                </c:pt>
                <c:pt idx="156">
                  <c:v>71.237648114433384</c:v>
                </c:pt>
                <c:pt idx="157">
                  <c:v>71.330706585782835</c:v>
                </c:pt>
                <c:pt idx="158">
                  <c:v>71.422536175388757</c:v>
                </c:pt>
                <c:pt idx="159">
                  <c:v>71.513151260299239</c:v>
                </c:pt>
                <c:pt idx="160">
                  <c:v>71.602566325145673</c:v>
                </c:pt>
                <c:pt idx="161">
                  <c:v>71.690795931713239</c:v>
                </c:pt>
                <c:pt idx="162">
                  <c:v>71.777854691402908</c:v>
                </c:pt>
                <c:pt idx="163">
                  <c:v>71.863757240330017</c:v>
                </c:pt>
                <c:pt idx="164">
                  <c:v>71.948518216830848</c:v>
                </c:pt>
                <c:pt idx="165">
                  <c:v>72.032152241167054</c:v>
                </c:pt>
                <c:pt idx="166">
                  <c:v>72.114673897236713</c:v>
                </c:pt>
                <c:pt idx="167">
                  <c:v>72.196097716119297</c:v>
                </c:pt>
                <c:pt idx="168">
                  <c:v>72.27643816129499</c:v>
                </c:pt>
                <c:pt idx="169">
                  <c:v>72.355709615393863</c:v>
                </c:pt>
                <c:pt idx="170">
                  <c:v>72.433926368343151</c:v>
                </c:pt>
                <c:pt idx="171">
                  <c:v>72.511102606791709</c:v>
                </c:pt>
                <c:pt idx="172">
                  <c:v>72.587252404701573</c:v>
                </c:pt>
                <c:pt idx="173">
                  <c:v>72.662389715006086</c:v>
                </c:pt>
                <c:pt idx="174">
                  <c:v>72.736528362241671</c:v>
                </c:pt>
                <c:pt idx="175">
                  <c:v>72.809682036070384</c:v>
                </c:pt>
                <c:pt idx="176">
                  <c:v>72.88186428561454</c:v>
                </c:pt>
                <c:pt idx="177">
                  <c:v>72.953088514533931</c:v>
                </c:pt>
                <c:pt idx="178">
                  <c:v>73.023367976780676</c:v>
                </c:pt>
                <c:pt idx="179">
                  <c:v>73.092715772972156</c:v>
                </c:pt>
                <c:pt idx="180">
                  <c:v>73.16114484732806</c:v>
                </c:pt>
                <c:pt idx="181">
                  <c:v>73.228667985121874</c:v>
                </c:pt>
                <c:pt idx="182">
                  <c:v>73.295297810600857</c:v>
                </c:pt>
                <c:pt idx="183">
                  <c:v>73.361046785333002</c:v>
                </c:pt>
                <c:pt idx="184">
                  <c:v>73.425927206942163</c:v>
                </c:pt>
                <c:pt idx="185">
                  <c:v>73.48995120819707</c:v>
                </c:pt>
                <c:pt idx="186">
                  <c:v>73.553130756420586</c:v>
                </c:pt>
                <c:pt idx="187">
                  <c:v>73.615477653190894</c:v>
                </c:pt>
                <c:pt idx="188">
                  <c:v>73.677003534306664</c:v>
                </c:pt>
                <c:pt idx="189">
                  <c:v>73.737719869991253</c:v>
                </c:pt>
                <c:pt idx="190">
                  <c:v>73.797637965313285</c:v>
                </c:pt>
                <c:pt idx="191">
                  <c:v>73.856768960802654</c:v>
                </c:pt>
                <c:pt idx="192">
                  <c:v>73.915123833242262</c:v>
                </c:pt>
                <c:pt idx="193">
                  <c:v>73.972713396618062</c:v>
                </c:pt>
                <c:pt idx="194">
                  <c:v>74.029548303211271</c:v>
                </c:pt>
                <c:pt idx="195">
                  <c:v>74.085639044817015</c:v>
                </c:pt>
                <c:pt idx="196">
                  <c:v>74.140995954077511</c:v>
                </c:pt>
                <c:pt idx="197">
                  <c:v>74.195629205914557</c:v>
                </c:pt>
                <c:pt idx="198">
                  <c:v>74.249548819052706</c:v>
                </c:pt>
                <c:pt idx="199">
                  <c:v>74.302764657620088</c:v>
                </c:pt>
                <c:pt idx="200">
                  <c:v>74.355286432819156</c:v>
                </c:pt>
                <c:pt idx="201">
                  <c:v>74.407123704656797</c:v>
                </c:pt>
                <c:pt idx="202">
                  <c:v>74.458285883727044</c:v>
                </c:pt>
                <c:pt idx="203">
                  <c:v>74.508782233038204</c:v>
                </c:pt>
                <c:pt idx="204">
                  <c:v>74.55862186987747</c:v>
                </c:pt>
                <c:pt idx="205">
                  <c:v>74.607813767707754</c:v>
                </c:pt>
                <c:pt idx="206">
                  <c:v>74.65636675808949</c:v>
                </c:pt>
                <c:pt idx="207">
                  <c:v>74.704289532623946</c:v>
                </c:pt>
                <c:pt idx="208">
                  <c:v>74.751590644911673</c:v>
                </c:pt>
                <c:pt idx="209">
                  <c:v>74.798278512523041</c:v>
                </c:pt>
                <c:pt idx="210">
                  <c:v>74.84436141897622</c:v>
                </c:pt>
                <c:pt idx="211">
                  <c:v>74.889847515719026</c:v>
                </c:pt>
                <c:pt idx="212">
                  <c:v>74.934744824111661</c:v>
                </c:pt>
                <c:pt idx="213">
                  <c:v>74.97906123740735</c:v>
                </c:pt>
                <c:pt idx="214">
                  <c:v>75.022804522727824</c:v>
                </c:pt>
                <c:pt idx="215">
                  <c:v>75.065982323031818</c:v>
                </c:pt>
                <c:pt idx="216">
                  <c:v>75.108602159073399</c:v>
                </c:pt>
                <c:pt idx="217">
                  <c:v>75.15067143134965</c:v>
                </c:pt>
                <c:pt idx="218">
                  <c:v>75.192197422034539</c:v>
                </c:pt>
                <c:pt idx="219">
                  <c:v>75.233187296897725</c:v>
                </c:pt>
                <c:pt idx="220">
                  <c:v>75.273648107207691</c:v>
                </c:pt>
                <c:pt idx="221">
                  <c:v>75.31358679161653</c:v>
                </c:pt>
                <c:pt idx="222">
                  <c:v>75.353010178026892</c:v>
                </c:pt>
                <c:pt idx="223">
                  <c:v>75.391924985438138</c:v>
                </c:pt>
                <c:pt idx="224">
                  <c:v>75.430337825772853</c:v>
                </c:pt>
                <c:pt idx="225">
                  <c:v>75.468255205681658</c:v>
                </c:pt>
                <c:pt idx="226">
                  <c:v>75.821538374656797</c:v>
                </c:pt>
                <c:pt idx="227">
                  <c:v>76.131716785823983</c:v>
                </c:pt>
                <c:pt idx="228">
                  <c:v>76.403816948062897</c:v>
                </c:pt>
                <c:pt idx="229">
                  <c:v>76.64214577324168</c:v>
                </c:pt>
                <c:pt idx="230">
                  <c:v>76.850407027849172</c:v>
                </c:pt>
                <c:pt idx="231">
                  <c:v>77.031798117837454</c:v>
                </c:pt>
                <c:pt idx="232">
                  <c:v>77.189090214121734</c:v>
                </c:pt>
                <c:pt idx="233">
                  <c:v>77.324694528827067</c:v>
                </c:pt>
                <c:pt idx="234">
                  <c:v>77.440717190396398</c:v>
                </c:pt>
                <c:pt idx="235">
                  <c:v>77.539004776284429</c:v>
                </c:pt>
                <c:pt idx="236">
                  <c:v>77.621182201863647</c:v>
                </c:pt>
                <c:pt idx="237">
                  <c:v>77.688684352693514</c:v>
                </c:pt>
                <c:pt idx="238">
                  <c:v>77.742782587067651</c:v>
                </c:pt>
                <c:pt idx="239">
                  <c:v>77.78460702243558</c:v>
                </c:pt>
                <c:pt idx="240">
                  <c:v>77.815165346298315</c:v>
                </c:pt>
                <c:pt idx="241">
                  <c:v>77.835358752670686</c:v>
                </c:pt>
                <c:pt idx="242">
                  <c:v>77.845995492988337</c:v>
                </c:pt>
                <c:pt idx="243">
                  <c:v>77.847802440124099</c:v>
                </c:pt>
                <c:pt idx="244">
                  <c:v>77.841434991588855</c:v>
                </c:pt>
                <c:pt idx="245">
                  <c:v>77.827485579490713</c:v>
                </c:pt>
                <c:pt idx="246">
                  <c:v>77.806491007557383</c:v>
                </c:pt>
                <c:pt idx="247">
                  <c:v>77.778938797240812</c:v>
                </c:pt>
                <c:pt idx="248">
                  <c:v>77.74527269380927</c:v>
                </c:pt>
                <c:pt idx="249">
                  <c:v>77.705897457973691</c:v>
                </c:pt>
                <c:pt idx="250">
                  <c:v>77.661183047852774</c:v>
                </c:pt>
                <c:pt idx="251">
                  <c:v>77.611468279066585</c:v>
                </c:pt>
                <c:pt idx="252">
                  <c:v>77.557064036732953</c:v>
                </c:pt>
                <c:pt idx="253">
                  <c:v>77.498256101571215</c:v>
                </c:pt>
                <c:pt idx="254">
                  <c:v>77.435307642721753</c:v>
                </c:pt>
                <c:pt idx="255">
                  <c:v>77.368461421916805</c:v>
                </c:pt>
                <c:pt idx="256">
                  <c:v>77.297941746982559</c:v>
                </c:pt>
                <c:pt idx="257">
                  <c:v>77.223956207086459</c:v>
                </c:pt>
                <c:pt idx="258">
                  <c:v>77.146697217471143</c:v>
                </c:pt>
                <c:pt idx="259">
                  <c:v>77.066343397480907</c:v>
                </c:pt>
                <c:pt idx="260">
                  <c:v>76.983060802368044</c:v>
                </c:pt>
                <c:pt idx="261">
                  <c:v>76.897004026551144</c:v>
                </c:pt>
                <c:pt idx="262">
                  <c:v>76.808317193611614</c:v>
                </c:pt>
                <c:pt idx="263">
                  <c:v>76.717134846281354</c:v>
                </c:pt>
                <c:pt idx="264">
                  <c:v>76.623582747938627</c:v>
                </c:pt>
                <c:pt idx="265">
                  <c:v>76.527778605644954</c:v>
                </c:pt>
                <c:pt idx="266">
                  <c:v>76.429832723481567</c:v>
                </c:pt>
                <c:pt idx="267">
                  <c:v>76.329848593848212</c:v>
                </c:pt>
                <c:pt idx="268">
                  <c:v>76.227923433442868</c:v>
                </c:pt>
                <c:pt idx="269">
                  <c:v>76.12414866982509</c:v>
                </c:pt>
                <c:pt idx="270">
                  <c:v>76.018610383759111</c:v>
                </c:pt>
                <c:pt idx="271">
                  <c:v>75.911389711919043</c:v>
                </c:pt>
                <c:pt idx="272">
                  <c:v>75.802563214007293</c:v>
                </c:pt>
                <c:pt idx="273">
                  <c:v>75.692203207869824</c:v>
                </c:pt>
                <c:pt idx="274">
                  <c:v>75.580378075789966</c:v>
                </c:pt>
                <c:pt idx="275">
                  <c:v>75.467152544782991</c:v>
                </c:pt>
                <c:pt idx="276">
                  <c:v>75.352587943408068</c:v>
                </c:pt>
                <c:pt idx="277">
                  <c:v>75.236742437336318</c:v>
                </c:pt>
                <c:pt idx="278">
                  <c:v>75.119671245675889</c:v>
                </c:pt>
                <c:pt idx="279">
                  <c:v>75.001426839843589</c:v>
                </c:pt>
                <c:pt idx="280">
                  <c:v>74.882059126584537</c:v>
                </c:pt>
                <c:pt idx="281">
                  <c:v>74.761615616575895</c:v>
                </c:pt>
                <c:pt idx="282">
                  <c:v>74.640141579906455</c:v>
                </c:pt>
                <c:pt idx="283">
                  <c:v>74.517680189591744</c:v>
                </c:pt>
                <c:pt idx="284">
                  <c:v>74.394272654170095</c:v>
                </c:pt>
                <c:pt idx="285">
                  <c:v>74.269958340322916</c:v>
                </c:pt>
                <c:pt idx="286">
                  <c:v>74.144774886369945</c:v>
                </c:pt>
                <c:pt idx="287">
                  <c:v>74.018758307409556</c:v>
                </c:pt>
                <c:pt idx="288">
                  <c:v>73.891943092801085</c:v>
                </c:pt>
                <c:pt idx="289">
                  <c:v>73.764362296620575</c:v>
                </c:pt>
                <c:pt idx="290">
                  <c:v>73.636047621663351</c:v>
                </c:pt>
                <c:pt idx="291">
                  <c:v>73.507029497514623</c:v>
                </c:pt>
                <c:pt idx="292">
                  <c:v>73.377337153160866</c:v>
                </c:pt>
                <c:pt idx="293">
                  <c:v>73.246998684574407</c:v>
                </c:pt>
                <c:pt idx="294">
                  <c:v>73.116041117663769</c:v>
                </c:pt>
                <c:pt idx="295">
                  <c:v>72.984490466948941</c:v>
                </c:pt>
                <c:pt idx="296">
                  <c:v>72.852371790288657</c:v>
                </c:pt>
                <c:pt idx="297">
                  <c:v>72.719709239960721</c:v>
                </c:pt>
                <c:pt idx="298">
                  <c:v>72.586526110368112</c:v>
                </c:pt>
                <c:pt idx="299">
                  <c:v>72.452844882622912</c:v>
                </c:pt>
                <c:pt idx="300">
                  <c:v>72.318687266239166</c:v>
                </c:pt>
                <c:pt idx="301">
                  <c:v>72.184074238144476</c:v>
                </c:pt>
                <c:pt idx="302">
                  <c:v>72.049026079206342</c:v>
                </c:pt>
                <c:pt idx="303">
                  <c:v>71.913562408450858</c:v>
                </c:pt>
                <c:pt idx="304">
                  <c:v>71.777702215138461</c:v>
                </c:pt>
                <c:pt idx="305">
                  <c:v>71.641463888848349</c:v>
                </c:pt>
                <c:pt idx="306">
                  <c:v>71.50486524771064</c:v>
                </c:pt>
                <c:pt idx="307">
                  <c:v>71.367923564915259</c:v>
                </c:pt>
                <c:pt idx="308">
                  <c:v>71.230655593616888</c:v>
                </c:pt>
                <c:pt idx="309">
                  <c:v>71.09307759034462</c:v>
                </c:pt>
                <c:pt idx="310">
                  <c:v>70.95520533701891</c:v>
                </c:pt>
                <c:pt idx="311">
                  <c:v>70.817054161669489</c:v>
                </c:pt>
                <c:pt idx="312">
                  <c:v>70.678638957940336</c:v>
                </c:pt>
                <c:pt idx="313">
                  <c:v>70.539974203463927</c:v>
                </c:pt>
                <c:pt idx="314">
                  <c:v>70.401073977177504</c:v>
                </c:pt>
                <c:pt idx="315">
                  <c:v>70.261951975652167</c:v>
                </c:pt>
                <c:pt idx="316">
                  <c:v>70.122621528498641</c:v>
                </c:pt>
                <c:pt idx="317">
                  <c:v>69.983095612908699</c:v>
                </c:pt>
                <c:pt idx="318">
                  <c:v>69.843386867389171</c:v>
                </c:pt>
                <c:pt idx="319">
                  <c:v>69.703507604738519</c:v>
                </c:pt>
                <c:pt idx="320">
                  <c:v>69.563469824315803</c:v>
                </c:pt>
                <c:pt idx="321">
                  <c:v>69.423285223644726</c:v>
                </c:pt>
                <c:pt idx="322">
                  <c:v>69.282965209396508</c:v>
                </c:pt>
                <c:pt idx="323">
                  <c:v>69.142520907788224</c:v>
                </c:pt>
                <c:pt idx="324">
                  <c:v>69.00196317443492</c:v>
                </c:pt>
                <c:pt idx="325">
                  <c:v>68.861302603687534</c:v>
                </c:pt>
                <c:pt idx="326">
                  <c:v>68.72054953748885</c:v>
                </c:pt>
                <c:pt idx="327">
                  <c:v>68.579714073777282</c:v>
                </c:pt>
                <c:pt idx="328">
                  <c:v>68.438806074464736</c:v>
                </c:pt>
                <c:pt idx="329">
                  <c:v>68.297835173015457</c:v>
                </c:pt>
                <c:pt idx="330">
                  <c:v>68.156810781649241</c:v>
                </c:pt>
                <c:pt idx="331">
                  <c:v>68.015742098191396</c:v>
                </c:pt>
                <c:pt idx="332">
                  <c:v>67.874638112590645</c:v>
                </c:pt>
                <c:pt idx="333">
                  <c:v>67.733507613124559</c:v>
                </c:pt>
                <c:pt idx="334">
                  <c:v>67.592359192310639</c:v>
                </c:pt>
                <c:pt idx="335">
                  <c:v>67.451201252540855</c:v>
                </c:pt>
                <c:pt idx="336">
                  <c:v>67.31004201145511</c:v>
                </c:pt>
                <c:pt idx="337">
                  <c:v>67.168889507069125</c:v>
                </c:pt>
                <c:pt idx="338">
                  <c:v>67.027751602670833</c:v>
                </c:pt>
                <c:pt idx="339">
                  <c:v>66.886635991498693</c:v>
                </c:pt>
                <c:pt idx="340">
                  <c:v>66.745550201213831</c:v>
                </c:pt>
                <c:pt idx="341">
                  <c:v>66.604501598178629</c:v>
                </c:pt>
                <c:pt idx="342">
                  <c:v>66.463497391552195</c:v>
                </c:pt>
                <c:pt idx="343">
                  <c:v>66.322544637212275</c:v>
                </c:pt>
                <c:pt idx="344">
                  <c:v>66.181650241515158</c:v>
                </c:pt>
                <c:pt idx="345">
                  <c:v>66.040820964900789</c:v>
                </c:pt>
                <c:pt idx="346">
                  <c:v>65.900063425352755</c:v>
                </c:pt>
                <c:pt idx="347">
                  <c:v>65.759384101720457</c:v>
                </c:pt>
                <c:pt idx="348">
                  <c:v>65.618789336911604</c:v>
                </c:pt>
                <c:pt idx="349">
                  <c:v>65.478285340961691</c:v>
                </c:pt>
                <c:pt idx="350">
                  <c:v>65.337878193987507</c:v>
                </c:pt>
                <c:pt idx="351">
                  <c:v>65.197573849030306</c:v>
                </c:pt>
                <c:pt idx="352">
                  <c:v>65.057378134795172</c:v>
                </c:pt>
                <c:pt idx="353">
                  <c:v>64.917296758291869</c:v>
                </c:pt>
                <c:pt idx="354">
                  <c:v>64.777335307382245</c:v>
                </c:pt>
                <c:pt idx="355">
                  <c:v>64.637499253239227</c:v>
                </c:pt>
                <c:pt idx="356">
                  <c:v>64.497793952722446</c:v>
                </c:pt>
                <c:pt idx="357">
                  <c:v>64.358224650673492</c:v>
                </c:pt>
                <c:pt idx="358">
                  <c:v>64.218796482136909</c:v>
                </c:pt>
                <c:pt idx="359">
                  <c:v>64.079514474508741</c:v>
                </c:pt>
                <c:pt idx="360">
                  <c:v>63.940383549618005</c:v>
                </c:pt>
                <c:pt idx="361">
                  <c:v>63.801408525742872</c:v>
                </c:pt>
                <c:pt idx="362">
                  <c:v>63.662594119566265</c:v>
                </c:pt>
                <c:pt idx="363">
                  <c:v>63.523944948072909</c:v>
                </c:pt>
                <c:pt idx="364">
                  <c:v>63.385465530391187</c:v>
                </c:pt>
                <c:pt idx="365">
                  <c:v>63.247160289581927</c:v>
                </c:pt>
                <c:pt idx="366">
                  <c:v>63.109033554377788</c:v>
                </c:pt>
                <c:pt idx="367">
                  <c:v>62.971089560873963</c:v>
                </c:pt>
                <c:pt idx="368">
                  <c:v>62.833332454174155</c:v>
                </c:pt>
                <c:pt idx="369">
                  <c:v>62.695766289992605</c:v>
                </c:pt>
                <c:pt idx="370">
                  <c:v>62.55839503621543</c:v>
                </c:pt>
                <c:pt idx="371">
                  <c:v>62.421222574421606</c:v>
                </c:pt>
                <c:pt idx="372">
                  <c:v>62.284252701366839</c:v>
                </c:pt>
                <c:pt idx="373">
                  <c:v>62.147489130431453</c:v>
                </c:pt>
                <c:pt idx="374">
                  <c:v>62.010935493033145</c:v>
                </c:pt>
                <c:pt idx="375">
                  <c:v>61.874595340007744</c:v>
                </c:pt>
                <c:pt idx="376">
                  <c:v>61.738472142957619</c:v>
                </c:pt>
                <c:pt idx="377">
                  <c:v>61.602569295570262</c:v>
                </c:pt>
                <c:pt idx="378">
                  <c:v>61.466890114907983</c:v>
                </c:pt>
                <c:pt idx="379">
                  <c:v>61.331437842669558</c:v>
                </c:pt>
                <c:pt idx="380">
                  <c:v>61.196215646425216</c:v>
                </c:pt>
                <c:pt idx="381">
                  <c:v>61.061226620826488</c:v>
                </c:pt>
                <c:pt idx="382">
                  <c:v>60.926473788790744</c:v>
                </c:pt>
                <c:pt idx="383">
                  <c:v>60.791960102662884</c:v>
                </c:pt>
                <c:pt idx="384">
                  <c:v>60.657688445353372</c:v>
                </c:pt>
                <c:pt idx="385">
                  <c:v>60.52366163145517</c:v>
                </c:pt>
                <c:pt idx="386">
                  <c:v>60.389882408338806</c:v>
                </c:pt>
                <c:pt idx="387">
                  <c:v>60.256353457227732</c:v>
                </c:pt>
                <c:pt idx="388">
                  <c:v>60.123077394253485</c:v>
                </c:pt>
                <c:pt idx="389">
                  <c:v>59.990056771492263</c:v>
                </c:pt>
                <c:pt idx="390">
                  <c:v>59.857294077982544</c:v>
                </c:pt>
                <c:pt idx="391">
                  <c:v>59.724791740725735</c:v>
                </c:pt>
                <c:pt idx="392">
                  <c:v>59.59255212566913</c:v>
                </c:pt>
                <c:pt idx="393">
                  <c:v>59.460577538672055</c:v>
                </c:pt>
                <c:pt idx="394">
                  <c:v>59.328870226456331</c:v>
                </c:pt>
                <c:pt idx="395">
                  <c:v>59.197432377540821</c:v>
                </c:pt>
                <c:pt idx="396">
                  <c:v>59.066266123160759</c:v>
                </c:pt>
                <c:pt idx="397">
                  <c:v>58.93537353817257</c:v>
                </c:pt>
                <c:pt idx="398">
                  <c:v>58.804756641943726</c:v>
                </c:pt>
                <c:pt idx="399">
                  <c:v>58.674417399229455</c:v>
                </c:pt>
                <c:pt idx="400">
                  <c:v>58.544357721035183</c:v>
                </c:pt>
                <c:pt idx="401">
                  <c:v>58.414579465466105</c:v>
                </c:pt>
                <c:pt idx="402">
                  <c:v>58.285084438563686</c:v>
                </c:pt>
                <c:pt idx="403">
                  <c:v>58.155874395129842</c:v>
                </c:pt>
                <c:pt idx="404">
                  <c:v>58.026951039538105</c:v>
                </c:pt>
                <c:pt idx="405">
                  <c:v>57.898316026533905</c:v>
                </c:pt>
                <c:pt idx="406">
                  <c:v>57.769970962022299</c:v>
                </c:pt>
                <c:pt idx="407">
                  <c:v>57.641917403844261</c:v>
                </c:pt>
                <c:pt idx="408">
                  <c:v>57.514156862542407</c:v>
                </c:pt>
                <c:pt idx="409">
                  <c:v>57.386690802115012</c:v>
                </c:pt>
                <c:pt idx="410">
                  <c:v>57.259520640759632</c:v>
                </c:pt>
                <c:pt idx="411">
                  <c:v>57.132647751606356</c:v>
                </c:pt>
                <c:pt idx="412">
                  <c:v>57.006073463440217</c:v>
                </c:pt>
                <c:pt idx="413">
                  <c:v>56.879799061414104</c:v>
                </c:pt>
                <c:pt idx="414">
                  <c:v>56.753825787751367</c:v>
                </c:pt>
                <c:pt idx="415">
                  <c:v>56.628154842438619</c:v>
                </c:pt>
                <c:pt idx="416">
                  <c:v>56.502787383909151</c:v>
                </c:pt>
                <c:pt idx="417">
                  <c:v>56.377724529717156</c:v>
                </c:pt>
                <c:pt idx="418">
                  <c:v>56.252967357201939</c:v>
                </c:pt>
                <c:pt idx="419">
                  <c:v>56.128516904144064</c:v>
                </c:pt>
                <c:pt idx="420">
                  <c:v>56.004374169411392</c:v>
                </c:pt>
                <c:pt idx="421">
                  <c:v>55.880540113597689</c:v>
                </c:pt>
                <c:pt idx="422">
                  <c:v>55.757015659651444</c:v>
                </c:pt>
                <c:pt idx="423">
                  <c:v>55.633801693496409</c:v>
                </c:pt>
                <c:pt idx="424">
                  <c:v>55.510899064644391</c:v>
                </c:pt>
                <c:pt idx="425">
                  <c:v>55.388308586798701</c:v>
                </c:pt>
                <c:pt idx="426">
                  <c:v>55.266031038450564</c:v>
                </c:pt>
                <c:pt idx="427">
                  <c:v>55.144067163466616</c:v>
                </c:pt>
                <c:pt idx="428">
                  <c:v>55.022417671668805</c:v>
                </c:pt>
                <c:pt idx="429">
                  <c:v>54.901083239406915</c:v>
                </c:pt>
                <c:pt idx="430">
                  <c:v>54.780064510122372</c:v>
                </c:pt>
                <c:pt idx="431">
                  <c:v>54.65936209490566</c:v>
                </c:pt>
                <c:pt idx="432">
                  <c:v>54.538976573045005</c:v>
                </c:pt>
                <c:pt idx="433">
                  <c:v>54.418908492569059</c:v>
                </c:pt>
                <c:pt idx="434">
                  <c:v>54.299158370780589</c:v>
                </c:pt>
                <c:pt idx="435">
                  <c:v>54.179726694784662</c:v>
                </c:pt>
                <c:pt idx="436">
                  <c:v>54.060613922008656</c:v>
                </c:pt>
                <c:pt idx="437">
                  <c:v>53.941820480715123</c:v>
                </c:pt>
                <c:pt idx="438">
                  <c:v>53.823346770508806</c:v>
                </c:pt>
                <c:pt idx="439">
                  <c:v>53.705193162835528</c:v>
                </c:pt>
                <c:pt idx="440">
                  <c:v>53.587360001475133</c:v>
                </c:pt>
                <c:pt idx="441">
                  <c:v>53.469847603027347</c:v>
                </c:pt>
                <c:pt idx="442">
                  <c:v>53.352656257391203</c:v>
                </c:pt>
                <c:pt idx="443">
                  <c:v>53.235786228237856</c:v>
                </c:pt>
                <c:pt idx="444">
                  <c:v>53.119237753477194</c:v>
                </c:pt>
                <c:pt idx="445">
                  <c:v>53.003011045717528</c:v>
                </c:pt>
                <c:pt idx="446">
                  <c:v>52.887106292719309</c:v>
                </c:pt>
                <c:pt idx="447">
                  <c:v>52.771523657843019</c:v>
                </c:pt>
                <c:pt idx="448">
                  <c:v>52.656263280490052</c:v>
                </c:pt>
                <c:pt idx="449">
                  <c:v>52.541325276538004</c:v>
                </c:pt>
                <c:pt idx="450">
                  <c:v>52.426709738770342</c:v>
                </c:pt>
                <c:pt idx="451">
                  <c:v>52.312416737299159</c:v>
                </c:pt>
                <c:pt idx="452">
                  <c:v>52.198446319982708</c:v>
                </c:pt>
                <c:pt idx="453">
                  <c:v>52.084798512837367</c:v>
                </c:pt>
                <c:pt idx="454">
                  <c:v>51.971473320442982</c:v>
                </c:pt>
                <c:pt idx="455">
                  <c:v>51.858470726343427</c:v>
                </c:pt>
                <c:pt idx="456">
                  <c:v>51.745790693440938</c:v>
                </c:pt>
                <c:pt idx="457">
                  <c:v>51.633433164385394</c:v>
                </c:pt>
                <c:pt idx="458">
                  <c:v>51.521398061957655</c:v>
                </c:pt>
                <c:pt idx="459">
                  <c:v>51.409685289447708</c:v>
                </c:pt>
                <c:pt idx="460">
                  <c:v>51.298294731027596</c:v>
                </c:pt>
                <c:pt idx="461">
                  <c:v>51.187226252118762</c:v>
                </c:pt>
                <c:pt idx="462">
                  <c:v>51.076479699754344</c:v>
                </c:pt>
                <c:pt idx="463">
                  <c:v>50.966054902936321</c:v>
                </c:pt>
                <c:pt idx="464">
                  <c:v>50.855951672987231</c:v>
                </c:pt>
                <c:pt idx="465">
                  <c:v>50.746169803897345</c:v>
                </c:pt>
                <c:pt idx="466">
                  <c:v>50.636709072666548</c:v>
                </c:pt>
                <c:pt idx="467">
                  <c:v>50.527569239641025</c:v>
                </c:pt>
                <c:pt idx="468">
                  <c:v>50.418750048845908</c:v>
                </c:pt>
                <c:pt idx="469">
                  <c:v>50.310251228311841</c:v>
                </c:pt>
                <c:pt idx="470">
                  <c:v>50.202072490398166</c:v>
                </c:pt>
                <c:pt idx="471">
                  <c:v>50.094213532110132</c:v>
                </c:pt>
                <c:pt idx="472">
                  <c:v>49.986674035412619</c:v>
                </c:pt>
                <c:pt idx="473">
                  <c:v>49.879453667538002</c:v>
                </c:pt>
                <c:pt idx="474">
                  <c:v>49.772552081290883</c:v>
                </c:pt>
                <c:pt idx="475">
                  <c:v>49.66596891534698</c:v>
                </c:pt>
                <c:pt idx="476">
                  <c:v>49.559703794548426</c:v>
                </c:pt>
                <c:pt idx="477">
                  <c:v>49.453756330194437</c:v>
                </c:pt>
                <c:pt idx="478">
                  <c:v>49.348126120327862</c:v>
                </c:pt>
                <c:pt idx="479">
                  <c:v>49.242812750016839</c:v>
                </c:pt>
                <c:pt idx="480">
                  <c:v>49.137815791632818</c:v>
                </c:pt>
                <c:pt idx="481">
                  <c:v>49.03313480512449</c:v>
                </c:pt>
                <c:pt idx="482">
                  <c:v>48.928769338286799</c:v>
                </c:pt>
                <c:pt idx="483">
                  <c:v>48.824718927026737</c:v>
                </c:pt>
                <c:pt idx="484">
                  <c:v>48.720983095624717</c:v>
                </c:pt>
                <c:pt idx="485">
                  <c:v>48.617561356991928</c:v>
                </c:pt>
                <c:pt idx="486">
                  <c:v>48.514453212924025</c:v>
                </c:pt>
                <c:pt idx="487">
                  <c:v>48.411658154350533</c:v>
                </c:pt>
                <c:pt idx="488">
                  <c:v>48.309175661580838</c:v>
                </c:pt>
                <c:pt idx="489">
                  <c:v>48.207005204546135</c:v>
                </c:pt>
                <c:pt idx="490">
                  <c:v>48.105146243037723</c:v>
                </c:pt>
                <c:pt idx="491">
                  <c:v>48.003598226941591</c:v>
                </c:pt>
                <c:pt idx="492">
                  <c:v>47.902360596469322</c:v>
                </c:pt>
                <c:pt idx="493">
                  <c:v>47.801432782385575</c:v>
                </c:pt>
                <c:pt idx="494">
                  <c:v>47.70081420623174</c:v>
                </c:pt>
                <c:pt idx="495">
                  <c:v>47.600504280546318</c:v>
                </c:pt>
                <c:pt idx="496">
                  <c:v>47.500502409081861</c:v>
                </c:pt>
                <c:pt idx="497">
                  <c:v>47.400807987017856</c:v>
                </c:pt>
                <c:pt idx="498">
                  <c:v>47.301420401171612</c:v>
                </c:pt>
                <c:pt idx="499">
                  <c:v>47.202339030204143</c:v>
                </c:pt>
                <c:pt idx="500">
                  <c:v>47.103563244824159</c:v>
                </c:pt>
                <c:pt idx="501">
                  <c:v>47.005092407987888</c:v>
                </c:pt>
                <c:pt idx="502">
                  <c:v>46.906925875096334</c:v>
                </c:pt>
                <c:pt idx="503">
                  <c:v>46.809062994188679</c:v>
                </c:pt>
                <c:pt idx="504">
                  <c:v>46.711503106133534</c:v>
                </c:pt>
                <c:pt idx="505">
                  <c:v>46.614245544815958</c:v>
                </c:pt>
                <c:pt idx="506">
                  <c:v>46.517289637322506</c:v>
                </c:pt>
                <c:pt idx="507">
                  <c:v>46.420634704122534</c:v>
                </c:pt>
                <c:pt idx="508">
                  <c:v>46.324280059246746</c:v>
                </c:pt>
                <c:pt idx="509">
                  <c:v>46.228225010463319</c:v>
                </c:pt>
                <c:pt idx="510">
                  <c:v>46.132468859450171</c:v>
                </c:pt>
                <c:pt idx="511">
                  <c:v>46.037010901965402</c:v>
                </c:pt>
                <c:pt idx="512">
                  <c:v>45.941850428014078</c:v>
                </c:pt>
                <c:pt idx="513">
                  <c:v>45.846986722013014</c:v>
                </c:pt>
                <c:pt idx="514">
                  <c:v>45.752419062952129</c:v>
                </c:pt>
                <c:pt idx="515">
                  <c:v>45.65814672455366</c:v>
                </c:pt>
                <c:pt idx="516">
                  <c:v>45.56416897542843</c:v>
                </c:pt>
                <c:pt idx="517">
                  <c:v>45.470485079229462</c:v>
                </c:pt>
                <c:pt idx="518">
                  <c:v>45.377094294803555</c:v>
                </c:pt>
                <c:pt idx="519">
                  <c:v>45.283995876339048</c:v>
                </c:pt>
                <c:pt idx="520">
                  <c:v>45.19118907351276</c:v>
                </c:pt>
                <c:pt idx="521">
                  <c:v>45.098673131633205</c:v>
                </c:pt>
                <c:pt idx="522">
                  <c:v>45.006447291781654</c:v>
                </c:pt>
                <c:pt idx="523">
                  <c:v>44.914510790951255</c:v>
                </c:pt>
                <c:pt idx="524">
                  <c:v>44.822862862183001</c:v>
                </c:pt>
                <c:pt idx="525">
                  <c:v>44.731502734700115</c:v>
                </c:pt>
                <c:pt idx="526">
                  <c:v>44.640429634039663</c:v>
                </c:pt>
                <c:pt idx="527">
                  <c:v>44.549642782181792</c:v>
                </c:pt>
                <c:pt idx="528">
                  <c:v>44.459141397677513</c:v>
                </c:pt>
                <c:pt idx="529">
                  <c:v>44.368924695773131</c:v>
                </c:pt>
                <c:pt idx="530">
                  <c:v>44.278991888533341</c:v>
                </c:pt>
                <c:pt idx="531">
                  <c:v>44.189342184961816</c:v>
                </c:pt>
                <c:pt idx="532">
                  <c:v>44.099974791120104</c:v>
                </c:pt>
                <c:pt idx="533">
                  <c:v>44.010888910243551</c:v>
                </c:pt>
                <c:pt idx="534">
                  <c:v>43.922083742856017</c:v>
                </c:pt>
                <c:pt idx="535">
                  <c:v>43.833558486882424</c:v>
                </c:pt>
                <c:pt idx="536">
                  <c:v>43.745312337758804</c:v>
                </c:pt>
                <c:pt idx="537">
                  <c:v>43.657344488540872</c:v>
                </c:pt>
                <c:pt idx="538">
                  <c:v>43.569654130010662</c:v>
                </c:pt>
                <c:pt idx="539">
                  <c:v>43.482240450780864</c:v>
                </c:pt>
                <c:pt idx="540">
                  <c:v>43.395102637397514</c:v>
                </c:pt>
                <c:pt idx="541">
                  <c:v>43.308239874441085</c:v>
                </c:pt>
                <c:pt idx="542">
                  <c:v>43.221651344625116</c:v>
                </c:pt>
                <c:pt idx="543">
                  <c:v>43.135336228893578</c:v>
                </c:pt>
                <c:pt idx="544">
                  <c:v>43.049293706516551</c:v>
                </c:pt>
                <c:pt idx="545">
                  <c:v>42.963522955183322</c:v>
                </c:pt>
                <c:pt idx="546">
                  <c:v>42.878023151094737</c:v>
                </c:pt>
                <c:pt idx="547">
                  <c:v>42.792793469053379</c:v>
                </c:pt>
                <c:pt idx="548">
                  <c:v>42.707833082552042</c:v>
                </c:pt>
                <c:pt idx="549">
                  <c:v>42.623141163860851</c:v>
                </c:pt>
                <c:pt idx="550">
                  <c:v>42.538716884112091</c:v>
                </c:pt>
                <c:pt idx="551">
                  <c:v>42.454559413384658</c:v>
                </c:pt>
                <c:pt idx="552">
                  <c:v>42.370667920785309</c:v>
                </c:pt>
                <c:pt idx="553">
                  <c:v>42.287041574529951</c:v>
                </c:pt>
                <c:pt idx="554">
                  <c:v>42.203679542022371</c:v>
                </c:pt>
                <c:pt idx="555">
                  <c:v>42.120580989931682</c:v>
                </c:pt>
                <c:pt idx="556">
                  <c:v>42.037745084268607</c:v>
                </c:pt>
                <c:pt idx="557">
                  <c:v>41.955170990459976</c:v>
                </c:pt>
                <c:pt idx="558">
                  <c:v>41.872857873421765</c:v>
                </c:pt>
                <c:pt idx="559">
                  <c:v>41.790804897631091</c:v>
                </c:pt>
                <c:pt idx="560">
                  <c:v>41.709011227196186</c:v>
                </c:pt>
                <c:pt idx="561">
                  <c:v>41.627476025925944</c:v>
                </c:pt>
                <c:pt idx="562">
                  <c:v>41.546198457396855</c:v>
                </c:pt>
                <c:pt idx="563">
                  <c:v>41.465177685019995</c:v>
                </c:pt>
                <c:pt idx="564">
                  <c:v>41.384412872105401</c:v>
                </c:pt>
                <c:pt idx="565">
                  <c:v>41.303903181926017</c:v>
                </c:pt>
                <c:pt idx="566">
                  <c:v>41.223647777780428</c:v>
                </c:pt>
                <c:pt idx="567">
                  <c:v>41.143645823053532</c:v>
                </c:pt>
                <c:pt idx="568">
                  <c:v>41.063896481276629</c:v>
                </c:pt>
                <c:pt idx="569">
                  <c:v>40.984398916186564</c:v>
                </c:pt>
                <c:pt idx="570">
                  <c:v>40.905152291782571</c:v>
                </c:pt>
                <c:pt idx="571">
                  <c:v>40.826155772383174</c:v>
                </c:pt>
                <c:pt idx="572">
                  <c:v>40.747408522681326</c:v>
                </c:pt>
                <c:pt idx="573">
                  <c:v>40.668909707798321</c:v>
                </c:pt>
                <c:pt idx="574">
                  <c:v>40.590658493336804</c:v>
                </c:pt>
                <c:pt idx="575">
                  <c:v>40.512654045432726</c:v>
                </c:pt>
                <c:pt idx="576">
                  <c:v>40.434895530805989</c:v>
                </c:pt>
                <c:pt idx="577">
                  <c:v>40.357382116810527</c:v>
                </c:pt>
                <c:pt idx="578">
                  <c:v>40.280112971482282</c:v>
                </c:pt>
                <c:pt idx="579">
                  <c:v>40.203087263587491</c:v>
                </c:pt>
                <c:pt idx="580">
                  <c:v>40.126304162668902</c:v>
                </c:pt>
                <c:pt idx="581">
                  <c:v>40.049762839091642</c:v>
                </c:pt>
                <c:pt idx="582">
                  <c:v>39.97346246408776</c:v>
                </c:pt>
                <c:pt idx="583">
                  <c:v>39.897402209799623</c:v>
                </c:pt>
                <c:pt idx="584">
                  <c:v>39.821581249323174</c:v>
                </c:pt>
                <c:pt idx="585">
                  <c:v>39.745998756749344</c:v>
                </c:pt>
                <c:pt idx="586">
                  <c:v>39.670653907204894</c:v>
                </c:pt>
                <c:pt idx="587">
                  <c:v>39.595545876892373</c:v>
                </c:pt>
                <c:pt idx="588">
                  <c:v>39.52067384312943</c:v>
                </c:pt>
                <c:pt idx="589">
                  <c:v>39.446036984386751</c:v>
                </c:pt>
                <c:pt idx="590">
                  <c:v>39.371634480325355</c:v>
                </c:pt>
                <c:pt idx="591">
                  <c:v>39.297465511833309</c:v>
                </c:pt>
                <c:pt idx="592">
                  <c:v>39.223529261061032</c:v>
                </c:pt>
                <c:pt idx="593">
                  <c:v>39.149824911456363</c:v>
                </c:pt>
                <c:pt idx="594">
                  <c:v>39.076351647798475</c:v>
                </c:pt>
                <c:pt idx="595">
                  <c:v>39.003108656231149</c:v>
                </c:pt>
                <c:pt idx="596">
                  <c:v>38.930095124295036</c:v>
                </c:pt>
                <c:pt idx="597">
                  <c:v>38.857310240959606</c:v>
                </c:pt>
                <c:pt idx="598">
                  <c:v>38.784753196653725</c:v>
                </c:pt>
                <c:pt idx="599">
                  <c:v>38.712423183296124</c:v>
                </c:pt>
                <c:pt idx="600">
                  <c:v>38.640319394324649</c:v>
                </c:pt>
                <c:pt idx="601">
                  <c:v>38.56844102472499</c:v>
                </c:pt>
                <c:pt idx="602">
                  <c:v>38.496787271058935</c:v>
                </c:pt>
                <c:pt idx="603">
                  <c:v>38.425357331491284</c:v>
                </c:pt>
                <c:pt idx="604">
                  <c:v>38.354150405816853</c:v>
                </c:pt>
                <c:pt idx="605">
                  <c:v>38.283165695486161</c:v>
                </c:pt>
                <c:pt idx="606">
                  <c:v>35.000156773816173</c:v>
                </c:pt>
                <c:pt idx="607">
                  <c:v>32.17863404576218</c:v>
                </c:pt>
                <c:pt idx="608">
                  <c:v>29.739457561003121</c:v>
                </c:pt>
                <c:pt idx="609">
                  <c:v>27.617306594022835</c:v>
                </c:pt>
                <c:pt idx="610">
                  <c:v>25.759007002991012</c:v>
                </c:pt>
                <c:pt idx="611">
                  <c:v>24.121473982790974</c:v>
                </c:pt>
                <c:pt idx="612">
                  <c:v>22.669784257277115</c:v>
                </c:pt>
                <c:pt idx="613">
                  <c:v>21.375538558792471</c:v>
                </c:pt>
                <c:pt idx="614">
                  <c:v>20.21553146095448</c:v>
                </c:pt>
                <c:pt idx="615">
                  <c:v>19.170693899115349</c:v>
                </c:pt>
                <c:pt idx="616">
                  <c:v>18.225260672830473</c:v>
                </c:pt>
                <c:pt idx="617">
                  <c:v>17.366117214960241</c:v>
                </c:pt>
                <c:pt idx="618">
                  <c:v>17.044100129452289</c:v>
                </c:pt>
                <c:pt idx="619">
                  <c:v>16.733493642129247</c:v>
                </c:pt>
                <c:pt idx="620">
                  <c:v>16.433718195639557</c:v>
                </c:pt>
                <c:pt idx="621">
                  <c:v>16.144231695953209</c:v>
                </c:pt>
                <c:pt idx="622">
                  <c:v>15.86452663074067</c:v>
                </c:pt>
                <c:pt idx="623">
                  <c:v>15.594127439664049</c:v>
                </c:pt>
                <c:pt idx="624">
                  <c:v>15.332588112470461</c:v>
                </c:pt>
                <c:pt idx="625">
                  <c:v>15.079489993207687</c:v>
                </c:pt>
                <c:pt idx="626">
                  <c:v>14.834439771071601</c:v>
                </c:pt>
                <c:pt idx="627">
                  <c:v>14.597067640357636</c:v>
                </c:pt>
                <c:pt idx="628">
                  <c:v>14.367025613749092</c:v>
                </c:pt>
                <c:pt idx="629">
                  <c:v>14.143985974756134</c:v>
                </c:pt>
                <c:pt idx="630">
                  <c:v>13.92763985653275</c:v>
                </c:pt>
                <c:pt idx="631">
                  <c:v>13.717695935567207</c:v>
                </c:pt>
                <c:pt idx="632">
                  <c:v>13.513879229877915</c:v>
                </c:pt>
                <c:pt idx="633">
                  <c:v>13.315929992362044</c:v>
                </c:pt>
                <c:pt idx="634">
                  <c:v>13.123602690858405</c:v>
                </c:pt>
                <c:pt idx="635">
                  <c:v>12.936665067301846</c:v>
                </c:pt>
                <c:pt idx="636">
                  <c:v>12.754897269079464</c:v>
                </c:pt>
                <c:pt idx="637">
                  <c:v>12.578091046357628</c:v>
                </c:pt>
                <c:pt idx="638">
                  <c:v>12.406049009737899</c:v>
                </c:pt>
                <c:pt idx="639">
                  <c:v>12.238583943131147</c:v>
                </c:pt>
                <c:pt idx="640">
                  <c:v>12.075518167214938</c:v>
                </c:pt>
                <c:pt idx="641">
                  <c:v>11.916682949269443</c:v>
                </c:pt>
                <c:pt idx="642">
                  <c:v>11.761917955571136</c:v>
                </c:pt>
                <c:pt idx="643">
                  <c:v>11.611070742872556</c:v>
                </c:pt>
                <c:pt idx="644">
                  <c:v>11.463996285809287</c:v>
                </c:pt>
                <c:pt idx="645">
                  <c:v>11.320556537357248</c:v>
                </c:pt>
                <c:pt idx="646">
                  <c:v>11.180620019720266</c:v>
                </c:pt>
                <c:pt idx="647">
                  <c:v>11.044061443255771</c:v>
                </c:pt>
                <c:pt idx="648">
                  <c:v>10.910761351258145</c:v>
                </c:pt>
                <c:pt idx="649">
                  <c:v>10.780605788604902</c:v>
                </c:pt>
                <c:pt idx="650">
                  <c:v>10.653485992443962</c:v>
                </c:pt>
                <c:pt idx="651">
                  <c:v>10.529298103253353</c:v>
                </c:pt>
                <c:pt idx="652">
                  <c:v>10.407942894746867</c:v>
                </c:pt>
                <c:pt idx="653">
                  <c:v>10.28932552122518</c:v>
                </c:pt>
                <c:pt idx="654">
                  <c:v>10.173355281089385</c:v>
                </c:pt>
                <c:pt idx="655">
                  <c:v>10.059945395337166</c:v>
                </c:pt>
                <c:pt idx="656">
                  <c:v>9.9490127999601725</c:v>
                </c:pt>
                <c:pt idx="657">
                  <c:v>9.8404779512462994</c:v>
                </c:pt>
                <c:pt idx="658">
                  <c:v>9.7342646430720947</c:v>
                </c:pt>
                <c:pt idx="659">
                  <c:v>9.6302998353412761</c:v>
                </c:pt>
                <c:pt idx="660">
                  <c:v>9.5285134927932233</c:v>
                </c:pt>
                <c:pt idx="661">
                  <c:v>9.4288384334642217</c:v>
                </c:pt>
                <c:pt idx="662">
                  <c:v>9.3312101861421297</c:v>
                </c:pt>
                <c:pt idx="663">
                  <c:v>9.2355668562021549</c:v>
                </c:pt>
                <c:pt idx="664">
                  <c:v>9.1418489992619243</c:v>
                </c:pt>
                <c:pt idx="665">
                  <c:v>9.0499995021323798</c:v>
                </c:pt>
                <c:pt idx="666">
                  <c:v>8.959963470584114</c:v>
                </c:pt>
                <c:pt idx="667">
                  <c:v>8.8716881234807374</c:v>
                </c:pt>
              </c:numCache>
            </c:numRef>
          </c:yVal>
          <c:smooth val="0"/>
          <c:extLst>
            <c:ext xmlns:c16="http://schemas.microsoft.com/office/drawing/2014/chart" uri="{C3380CC4-5D6E-409C-BE32-E72D297353CC}">
              <c16:uniqueId val="{00000002-E70F-AA40-BDA2-AC79FB23BB36}"/>
            </c:ext>
          </c:extLst>
        </c:ser>
        <c:ser>
          <c:idx val="3"/>
          <c:order val="3"/>
          <c:tx>
            <c:v>Actual Phase</c:v>
          </c:tx>
          <c:spPr>
            <a:ln w="38100">
              <a:solidFill>
                <a:srgbClr val="660066"/>
              </a:solidFill>
              <a:prstDash val="solid"/>
            </a:ln>
          </c:spPr>
          <c:marker>
            <c:symbol val="none"/>
          </c:marker>
          <c:xVal>
            <c:numRef>
              <c:f>'Bode Plots Calculations'!$A$9:$A$676</c:f>
              <c:numCache>
                <c:formatCode>General</c:formatCode>
                <c:ptCount val="668"/>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1500</c:v>
                </c:pt>
                <c:pt idx="29">
                  <c:v>2000</c:v>
                </c:pt>
                <c:pt idx="30">
                  <c:v>2500</c:v>
                </c:pt>
                <c:pt idx="31">
                  <c:v>3000</c:v>
                </c:pt>
                <c:pt idx="32">
                  <c:v>3500</c:v>
                </c:pt>
                <c:pt idx="33">
                  <c:v>4000</c:v>
                </c:pt>
                <c:pt idx="34">
                  <c:v>4500</c:v>
                </c:pt>
                <c:pt idx="35">
                  <c:v>5000</c:v>
                </c:pt>
                <c:pt idx="36">
                  <c:v>5500</c:v>
                </c:pt>
                <c:pt idx="37">
                  <c:v>6000</c:v>
                </c:pt>
                <c:pt idx="38">
                  <c:v>6500</c:v>
                </c:pt>
                <c:pt idx="39">
                  <c:v>7000</c:v>
                </c:pt>
                <c:pt idx="40">
                  <c:v>7500</c:v>
                </c:pt>
                <c:pt idx="41">
                  <c:v>8000</c:v>
                </c:pt>
                <c:pt idx="42">
                  <c:v>8500</c:v>
                </c:pt>
                <c:pt idx="43">
                  <c:v>9000</c:v>
                </c:pt>
                <c:pt idx="44">
                  <c:v>9500</c:v>
                </c:pt>
                <c:pt idx="45">
                  <c:v>10000</c:v>
                </c:pt>
                <c:pt idx="46">
                  <c:v>10500</c:v>
                </c:pt>
                <c:pt idx="47">
                  <c:v>11000</c:v>
                </c:pt>
                <c:pt idx="48">
                  <c:v>11500</c:v>
                </c:pt>
                <c:pt idx="49">
                  <c:v>12000</c:v>
                </c:pt>
                <c:pt idx="50">
                  <c:v>12500</c:v>
                </c:pt>
                <c:pt idx="51">
                  <c:v>13000</c:v>
                </c:pt>
                <c:pt idx="52">
                  <c:v>13500</c:v>
                </c:pt>
                <c:pt idx="53">
                  <c:v>14000</c:v>
                </c:pt>
                <c:pt idx="54">
                  <c:v>14500</c:v>
                </c:pt>
                <c:pt idx="55">
                  <c:v>15000</c:v>
                </c:pt>
                <c:pt idx="56">
                  <c:v>15500</c:v>
                </c:pt>
                <c:pt idx="57">
                  <c:v>16000</c:v>
                </c:pt>
                <c:pt idx="58">
                  <c:v>16500</c:v>
                </c:pt>
                <c:pt idx="59">
                  <c:v>17000</c:v>
                </c:pt>
                <c:pt idx="60">
                  <c:v>17500</c:v>
                </c:pt>
                <c:pt idx="61">
                  <c:v>18000</c:v>
                </c:pt>
                <c:pt idx="62">
                  <c:v>18500</c:v>
                </c:pt>
                <c:pt idx="63">
                  <c:v>19000</c:v>
                </c:pt>
                <c:pt idx="64">
                  <c:v>19500</c:v>
                </c:pt>
                <c:pt idx="65">
                  <c:v>20000</c:v>
                </c:pt>
                <c:pt idx="66">
                  <c:v>20500</c:v>
                </c:pt>
                <c:pt idx="67">
                  <c:v>21000</c:v>
                </c:pt>
                <c:pt idx="68">
                  <c:v>21500</c:v>
                </c:pt>
                <c:pt idx="69">
                  <c:v>22000</c:v>
                </c:pt>
                <c:pt idx="70">
                  <c:v>22500</c:v>
                </c:pt>
                <c:pt idx="71">
                  <c:v>23000</c:v>
                </c:pt>
                <c:pt idx="72">
                  <c:v>23500</c:v>
                </c:pt>
                <c:pt idx="73">
                  <c:v>24000</c:v>
                </c:pt>
                <c:pt idx="74">
                  <c:v>24500</c:v>
                </c:pt>
                <c:pt idx="75">
                  <c:v>25000</c:v>
                </c:pt>
                <c:pt idx="76">
                  <c:v>25500</c:v>
                </c:pt>
                <c:pt idx="77">
                  <c:v>26000</c:v>
                </c:pt>
                <c:pt idx="78">
                  <c:v>26500</c:v>
                </c:pt>
                <c:pt idx="79">
                  <c:v>27000</c:v>
                </c:pt>
                <c:pt idx="80">
                  <c:v>27500</c:v>
                </c:pt>
                <c:pt idx="81">
                  <c:v>28000</c:v>
                </c:pt>
                <c:pt idx="82">
                  <c:v>28500</c:v>
                </c:pt>
                <c:pt idx="83">
                  <c:v>29000</c:v>
                </c:pt>
                <c:pt idx="84">
                  <c:v>29500</c:v>
                </c:pt>
                <c:pt idx="85">
                  <c:v>30000</c:v>
                </c:pt>
                <c:pt idx="86">
                  <c:v>30500</c:v>
                </c:pt>
                <c:pt idx="87">
                  <c:v>31000</c:v>
                </c:pt>
                <c:pt idx="88">
                  <c:v>31500</c:v>
                </c:pt>
                <c:pt idx="89">
                  <c:v>32000</c:v>
                </c:pt>
                <c:pt idx="90">
                  <c:v>32500</c:v>
                </c:pt>
                <c:pt idx="91">
                  <c:v>33000</c:v>
                </c:pt>
                <c:pt idx="92">
                  <c:v>33500</c:v>
                </c:pt>
                <c:pt idx="93">
                  <c:v>34000</c:v>
                </c:pt>
                <c:pt idx="94">
                  <c:v>34500</c:v>
                </c:pt>
                <c:pt idx="95">
                  <c:v>35000</c:v>
                </c:pt>
                <c:pt idx="96">
                  <c:v>35500</c:v>
                </c:pt>
                <c:pt idx="97">
                  <c:v>36000</c:v>
                </c:pt>
                <c:pt idx="98">
                  <c:v>36500</c:v>
                </c:pt>
                <c:pt idx="99">
                  <c:v>37000</c:v>
                </c:pt>
                <c:pt idx="100">
                  <c:v>37500</c:v>
                </c:pt>
                <c:pt idx="101">
                  <c:v>38000</c:v>
                </c:pt>
                <c:pt idx="102">
                  <c:v>38500</c:v>
                </c:pt>
                <c:pt idx="103">
                  <c:v>39000</c:v>
                </c:pt>
                <c:pt idx="104">
                  <c:v>39500</c:v>
                </c:pt>
                <c:pt idx="105">
                  <c:v>40000</c:v>
                </c:pt>
                <c:pt idx="106">
                  <c:v>40500</c:v>
                </c:pt>
                <c:pt idx="107">
                  <c:v>41000</c:v>
                </c:pt>
                <c:pt idx="108">
                  <c:v>41500</c:v>
                </c:pt>
                <c:pt idx="109">
                  <c:v>42000</c:v>
                </c:pt>
                <c:pt idx="110">
                  <c:v>42500</c:v>
                </c:pt>
                <c:pt idx="111">
                  <c:v>43000</c:v>
                </c:pt>
                <c:pt idx="112">
                  <c:v>43500</c:v>
                </c:pt>
                <c:pt idx="113">
                  <c:v>44000</c:v>
                </c:pt>
                <c:pt idx="114">
                  <c:v>44500</c:v>
                </c:pt>
                <c:pt idx="115">
                  <c:v>45000</c:v>
                </c:pt>
                <c:pt idx="116">
                  <c:v>45500</c:v>
                </c:pt>
                <c:pt idx="117">
                  <c:v>46000</c:v>
                </c:pt>
                <c:pt idx="118">
                  <c:v>46500</c:v>
                </c:pt>
                <c:pt idx="119">
                  <c:v>47000</c:v>
                </c:pt>
                <c:pt idx="120">
                  <c:v>47500</c:v>
                </c:pt>
                <c:pt idx="121">
                  <c:v>48000</c:v>
                </c:pt>
                <c:pt idx="122">
                  <c:v>48500</c:v>
                </c:pt>
                <c:pt idx="123">
                  <c:v>49000</c:v>
                </c:pt>
                <c:pt idx="124">
                  <c:v>49500</c:v>
                </c:pt>
                <c:pt idx="125">
                  <c:v>50000</c:v>
                </c:pt>
                <c:pt idx="126">
                  <c:v>50500</c:v>
                </c:pt>
                <c:pt idx="127">
                  <c:v>51000</c:v>
                </c:pt>
                <c:pt idx="128">
                  <c:v>51500</c:v>
                </c:pt>
                <c:pt idx="129">
                  <c:v>52000</c:v>
                </c:pt>
                <c:pt idx="130">
                  <c:v>52500</c:v>
                </c:pt>
                <c:pt idx="131">
                  <c:v>53000</c:v>
                </c:pt>
                <c:pt idx="132">
                  <c:v>53500</c:v>
                </c:pt>
                <c:pt idx="133">
                  <c:v>54000</c:v>
                </c:pt>
                <c:pt idx="134">
                  <c:v>54500</c:v>
                </c:pt>
                <c:pt idx="135">
                  <c:v>55000</c:v>
                </c:pt>
                <c:pt idx="136">
                  <c:v>55500</c:v>
                </c:pt>
                <c:pt idx="137">
                  <c:v>56000</c:v>
                </c:pt>
                <c:pt idx="138">
                  <c:v>56500</c:v>
                </c:pt>
                <c:pt idx="139">
                  <c:v>57000</c:v>
                </c:pt>
                <c:pt idx="140">
                  <c:v>57500</c:v>
                </c:pt>
                <c:pt idx="141">
                  <c:v>58000</c:v>
                </c:pt>
                <c:pt idx="142">
                  <c:v>58500</c:v>
                </c:pt>
                <c:pt idx="143">
                  <c:v>59000</c:v>
                </c:pt>
                <c:pt idx="144">
                  <c:v>59500</c:v>
                </c:pt>
                <c:pt idx="145">
                  <c:v>60000</c:v>
                </c:pt>
                <c:pt idx="146">
                  <c:v>60500</c:v>
                </c:pt>
                <c:pt idx="147">
                  <c:v>61000</c:v>
                </c:pt>
                <c:pt idx="148">
                  <c:v>61500</c:v>
                </c:pt>
                <c:pt idx="149">
                  <c:v>62000</c:v>
                </c:pt>
                <c:pt idx="150">
                  <c:v>62500</c:v>
                </c:pt>
                <c:pt idx="151">
                  <c:v>63000</c:v>
                </c:pt>
                <c:pt idx="152">
                  <c:v>63500</c:v>
                </c:pt>
                <c:pt idx="153">
                  <c:v>64000</c:v>
                </c:pt>
                <c:pt idx="154">
                  <c:v>64500</c:v>
                </c:pt>
                <c:pt idx="155">
                  <c:v>65000</c:v>
                </c:pt>
                <c:pt idx="156">
                  <c:v>65500</c:v>
                </c:pt>
                <c:pt idx="157">
                  <c:v>66000</c:v>
                </c:pt>
                <c:pt idx="158">
                  <c:v>66500</c:v>
                </c:pt>
                <c:pt idx="159">
                  <c:v>67000</c:v>
                </c:pt>
                <c:pt idx="160">
                  <c:v>67500</c:v>
                </c:pt>
                <c:pt idx="161">
                  <c:v>68000</c:v>
                </c:pt>
                <c:pt idx="162">
                  <c:v>68500</c:v>
                </c:pt>
                <c:pt idx="163">
                  <c:v>69000</c:v>
                </c:pt>
                <c:pt idx="164">
                  <c:v>69500</c:v>
                </c:pt>
                <c:pt idx="165">
                  <c:v>70000</c:v>
                </c:pt>
                <c:pt idx="166">
                  <c:v>70500</c:v>
                </c:pt>
                <c:pt idx="167">
                  <c:v>71000</c:v>
                </c:pt>
                <c:pt idx="168">
                  <c:v>71500</c:v>
                </c:pt>
                <c:pt idx="169">
                  <c:v>72000</c:v>
                </c:pt>
                <c:pt idx="170">
                  <c:v>72500</c:v>
                </c:pt>
                <c:pt idx="171">
                  <c:v>73000</c:v>
                </c:pt>
                <c:pt idx="172">
                  <c:v>73500</c:v>
                </c:pt>
                <c:pt idx="173">
                  <c:v>74000</c:v>
                </c:pt>
                <c:pt idx="174">
                  <c:v>74500</c:v>
                </c:pt>
                <c:pt idx="175">
                  <c:v>75000</c:v>
                </c:pt>
                <c:pt idx="176">
                  <c:v>75500</c:v>
                </c:pt>
                <c:pt idx="177">
                  <c:v>76000</c:v>
                </c:pt>
                <c:pt idx="178">
                  <c:v>76500</c:v>
                </c:pt>
                <c:pt idx="179">
                  <c:v>77000</c:v>
                </c:pt>
                <c:pt idx="180">
                  <c:v>77500</c:v>
                </c:pt>
                <c:pt idx="181">
                  <c:v>78000</c:v>
                </c:pt>
                <c:pt idx="182">
                  <c:v>78500</c:v>
                </c:pt>
                <c:pt idx="183">
                  <c:v>79000</c:v>
                </c:pt>
                <c:pt idx="184">
                  <c:v>79500</c:v>
                </c:pt>
                <c:pt idx="185">
                  <c:v>80000</c:v>
                </c:pt>
                <c:pt idx="186">
                  <c:v>80500</c:v>
                </c:pt>
                <c:pt idx="187">
                  <c:v>81000</c:v>
                </c:pt>
                <c:pt idx="188">
                  <c:v>81500</c:v>
                </c:pt>
                <c:pt idx="189">
                  <c:v>82000</c:v>
                </c:pt>
                <c:pt idx="190">
                  <c:v>82500</c:v>
                </c:pt>
                <c:pt idx="191">
                  <c:v>83000</c:v>
                </c:pt>
                <c:pt idx="192">
                  <c:v>83500</c:v>
                </c:pt>
                <c:pt idx="193">
                  <c:v>84000</c:v>
                </c:pt>
                <c:pt idx="194">
                  <c:v>84500</c:v>
                </c:pt>
                <c:pt idx="195">
                  <c:v>85000</c:v>
                </c:pt>
                <c:pt idx="196">
                  <c:v>85500</c:v>
                </c:pt>
                <c:pt idx="197">
                  <c:v>86000</c:v>
                </c:pt>
                <c:pt idx="198">
                  <c:v>86500</c:v>
                </c:pt>
                <c:pt idx="199">
                  <c:v>87000</c:v>
                </c:pt>
                <c:pt idx="200">
                  <c:v>87500</c:v>
                </c:pt>
                <c:pt idx="201">
                  <c:v>88000</c:v>
                </c:pt>
                <c:pt idx="202">
                  <c:v>88500</c:v>
                </c:pt>
                <c:pt idx="203">
                  <c:v>89000</c:v>
                </c:pt>
                <c:pt idx="204">
                  <c:v>89500</c:v>
                </c:pt>
                <c:pt idx="205">
                  <c:v>90000</c:v>
                </c:pt>
                <c:pt idx="206">
                  <c:v>90500</c:v>
                </c:pt>
                <c:pt idx="207">
                  <c:v>91000</c:v>
                </c:pt>
                <c:pt idx="208">
                  <c:v>91500</c:v>
                </c:pt>
                <c:pt idx="209">
                  <c:v>92000</c:v>
                </c:pt>
                <c:pt idx="210">
                  <c:v>92500</c:v>
                </c:pt>
                <c:pt idx="211">
                  <c:v>93000</c:v>
                </c:pt>
                <c:pt idx="212">
                  <c:v>93500</c:v>
                </c:pt>
                <c:pt idx="213">
                  <c:v>94000</c:v>
                </c:pt>
                <c:pt idx="214">
                  <c:v>94500</c:v>
                </c:pt>
                <c:pt idx="215">
                  <c:v>95000</c:v>
                </c:pt>
                <c:pt idx="216">
                  <c:v>95500</c:v>
                </c:pt>
                <c:pt idx="217">
                  <c:v>96000</c:v>
                </c:pt>
                <c:pt idx="218">
                  <c:v>96500</c:v>
                </c:pt>
                <c:pt idx="219">
                  <c:v>97000</c:v>
                </c:pt>
                <c:pt idx="220">
                  <c:v>97500</c:v>
                </c:pt>
                <c:pt idx="221">
                  <c:v>98000</c:v>
                </c:pt>
                <c:pt idx="222">
                  <c:v>98500</c:v>
                </c:pt>
                <c:pt idx="223">
                  <c:v>99000</c:v>
                </c:pt>
                <c:pt idx="224">
                  <c:v>99500</c:v>
                </c:pt>
                <c:pt idx="225">
                  <c:v>100000</c:v>
                </c:pt>
                <c:pt idx="226">
                  <c:v>105000</c:v>
                </c:pt>
                <c:pt idx="227">
                  <c:v>110000</c:v>
                </c:pt>
                <c:pt idx="228">
                  <c:v>115000</c:v>
                </c:pt>
                <c:pt idx="229">
                  <c:v>120000</c:v>
                </c:pt>
                <c:pt idx="230">
                  <c:v>125000</c:v>
                </c:pt>
                <c:pt idx="231">
                  <c:v>130000</c:v>
                </c:pt>
                <c:pt idx="232">
                  <c:v>135000</c:v>
                </c:pt>
                <c:pt idx="233">
                  <c:v>140000</c:v>
                </c:pt>
                <c:pt idx="234">
                  <c:v>145000</c:v>
                </c:pt>
                <c:pt idx="235">
                  <c:v>150000</c:v>
                </c:pt>
                <c:pt idx="236">
                  <c:v>155000</c:v>
                </c:pt>
                <c:pt idx="237">
                  <c:v>160000</c:v>
                </c:pt>
                <c:pt idx="238">
                  <c:v>165000</c:v>
                </c:pt>
                <c:pt idx="239">
                  <c:v>170000</c:v>
                </c:pt>
                <c:pt idx="240">
                  <c:v>175000</c:v>
                </c:pt>
                <c:pt idx="241">
                  <c:v>180000</c:v>
                </c:pt>
                <c:pt idx="242">
                  <c:v>185000</c:v>
                </c:pt>
                <c:pt idx="243">
                  <c:v>190000</c:v>
                </c:pt>
                <c:pt idx="244">
                  <c:v>195000</c:v>
                </c:pt>
                <c:pt idx="245">
                  <c:v>200000</c:v>
                </c:pt>
                <c:pt idx="246">
                  <c:v>205000</c:v>
                </c:pt>
                <c:pt idx="247">
                  <c:v>210000</c:v>
                </c:pt>
                <c:pt idx="248">
                  <c:v>215000</c:v>
                </c:pt>
                <c:pt idx="249">
                  <c:v>220000</c:v>
                </c:pt>
                <c:pt idx="250">
                  <c:v>225000</c:v>
                </c:pt>
                <c:pt idx="251">
                  <c:v>230000</c:v>
                </c:pt>
                <c:pt idx="252">
                  <c:v>235000</c:v>
                </c:pt>
                <c:pt idx="253">
                  <c:v>240000</c:v>
                </c:pt>
                <c:pt idx="254">
                  <c:v>245000</c:v>
                </c:pt>
                <c:pt idx="255">
                  <c:v>250000</c:v>
                </c:pt>
                <c:pt idx="256">
                  <c:v>255000</c:v>
                </c:pt>
                <c:pt idx="257">
                  <c:v>260000</c:v>
                </c:pt>
                <c:pt idx="258">
                  <c:v>265000</c:v>
                </c:pt>
                <c:pt idx="259">
                  <c:v>270000</c:v>
                </c:pt>
                <c:pt idx="260">
                  <c:v>275000</c:v>
                </c:pt>
                <c:pt idx="261">
                  <c:v>280000</c:v>
                </c:pt>
                <c:pt idx="262">
                  <c:v>285000</c:v>
                </c:pt>
                <c:pt idx="263">
                  <c:v>290000</c:v>
                </c:pt>
                <c:pt idx="264">
                  <c:v>295000</c:v>
                </c:pt>
                <c:pt idx="265">
                  <c:v>300000</c:v>
                </c:pt>
                <c:pt idx="266">
                  <c:v>305000</c:v>
                </c:pt>
                <c:pt idx="267">
                  <c:v>310000</c:v>
                </c:pt>
                <c:pt idx="268">
                  <c:v>315000</c:v>
                </c:pt>
                <c:pt idx="269">
                  <c:v>320000</c:v>
                </c:pt>
                <c:pt idx="270">
                  <c:v>325000</c:v>
                </c:pt>
                <c:pt idx="271">
                  <c:v>330000</c:v>
                </c:pt>
                <c:pt idx="272">
                  <c:v>335000</c:v>
                </c:pt>
                <c:pt idx="273">
                  <c:v>340000</c:v>
                </c:pt>
                <c:pt idx="274">
                  <c:v>345000</c:v>
                </c:pt>
                <c:pt idx="275">
                  <c:v>350000</c:v>
                </c:pt>
                <c:pt idx="276">
                  <c:v>355000</c:v>
                </c:pt>
                <c:pt idx="277">
                  <c:v>360000</c:v>
                </c:pt>
                <c:pt idx="278">
                  <c:v>365000</c:v>
                </c:pt>
                <c:pt idx="279">
                  <c:v>370000</c:v>
                </c:pt>
                <c:pt idx="280">
                  <c:v>375000</c:v>
                </c:pt>
                <c:pt idx="281">
                  <c:v>380000</c:v>
                </c:pt>
                <c:pt idx="282">
                  <c:v>385000</c:v>
                </c:pt>
                <c:pt idx="283">
                  <c:v>390000</c:v>
                </c:pt>
                <c:pt idx="284">
                  <c:v>395000</c:v>
                </c:pt>
                <c:pt idx="285">
                  <c:v>400000</c:v>
                </c:pt>
                <c:pt idx="286">
                  <c:v>405000</c:v>
                </c:pt>
                <c:pt idx="287">
                  <c:v>410000</c:v>
                </c:pt>
                <c:pt idx="288">
                  <c:v>415000</c:v>
                </c:pt>
                <c:pt idx="289">
                  <c:v>420000</c:v>
                </c:pt>
                <c:pt idx="290">
                  <c:v>425000</c:v>
                </c:pt>
                <c:pt idx="291">
                  <c:v>430000</c:v>
                </c:pt>
                <c:pt idx="292">
                  <c:v>435000</c:v>
                </c:pt>
                <c:pt idx="293">
                  <c:v>440000</c:v>
                </c:pt>
                <c:pt idx="294">
                  <c:v>445000</c:v>
                </c:pt>
                <c:pt idx="295">
                  <c:v>450000</c:v>
                </c:pt>
                <c:pt idx="296">
                  <c:v>455000</c:v>
                </c:pt>
                <c:pt idx="297">
                  <c:v>460000</c:v>
                </c:pt>
                <c:pt idx="298">
                  <c:v>465000</c:v>
                </c:pt>
                <c:pt idx="299">
                  <c:v>470000</c:v>
                </c:pt>
                <c:pt idx="300">
                  <c:v>475000</c:v>
                </c:pt>
                <c:pt idx="301">
                  <c:v>480000</c:v>
                </c:pt>
                <c:pt idx="302">
                  <c:v>485000</c:v>
                </c:pt>
                <c:pt idx="303">
                  <c:v>490000</c:v>
                </c:pt>
                <c:pt idx="304">
                  <c:v>495000</c:v>
                </c:pt>
                <c:pt idx="305">
                  <c:v>500000</c:v>
                </c:pt>
                <c:pt idx="306">
                  <c:v>505000</c:v>
                </c:pt>
                <c:pt idx="307">
                  <c:v>510000</c:v>
                </c:pt>
                <c:pt idx="308">
                  <c:v>515000</c:v>
                </c:pt>
                <c:pt idx="309">
                  <c:v>520000</c:v>
                </c:pt>
                <c:pt idx="310">
                  <c:v>525000</c:v>
                </c:pt>
                <c:pt idx="311">
                  <c:v>530000</c:v>
                </c:pt>
                <c:pt idx="312">
                  <c:v>535000</c:v>
                </c:pt>
                <c:pt idx="313">
                  <c:v>540000</c:v>
                </c:pt>
                <c:pt idx="314">
                  <c:v>545000</c:v>
                </c:pt>
                <c:pt idx="315">
                  <c:v>550000</c:v>
                </c:pt>
                <c:pt idx="316">
                  <c:v>555000</c:v>
                </c:pt>
                <c:pt idx="317">
                  <c:v>560000</c:v>
                </c:pt>
                <c:pt idx="318">
                  <c:v>565000</c:v>
                </c:pt>
                <c:pt idx="319">
                  <c:v>570000</c:v>
                </c:pt>
                <c:pt idx="320">
                  <c:v>575000</c:v>
                </c:pt>
                <c:pt idx="321">
                  <c:v>580000</c:v>
                </c:pt>
                <c:pt idx="322">
                  <c:v>585000</c:v>
                </c:pt>
                <c:pt idx="323">
                  <c:v>590000</c:v>
                </c:pt>
                <c:pt idx="324">
                  <c:v>595000</c:v>
                </c:pt>
                <c:pt idx="325">
                  <c:v>600000</c:v>
                </c:pt>
                <c:pt idx="326">
                  <c:v>605000</c:v>
                </c:pt>
                <c:pt idx="327">
                  <c:v>610000</c:v>
                </c:pt>
                <c:pt idx="328">
                  <c:v>615000</c:v>
                </c:pt>
                <c:pt idx="329">
                  <c:v>620000</c:v>
                </c:pt>
                <c:pt idx="330">
                  <c:v>625000</c:v>
                </c:pt>
                <c:pt idx="331">
                  <c:v>630000</c:v>
                </c:pt>
                <c:pt idx="332">
                  <c:v>635000</c:v>
                </c:pt>
                <c:pt idx="333">
                  <c:v>640000</c:v>
                </c:pt>
                <c:pt idx="334">
                  <c:v>645000</c:v>
                </c:pt>
                <c:pt idx="335">
                  <c:v>650000</c:v>
                </c:pt>
                <c:pt idx="336">
                  <c:v>655000</c:v>
                </c:pt>
                <c:pt idx="337">
                  <c:v>660000</c:v>
                </c:pt>
                <c:pt idx="338">
                  <c:v>665000</c:v>
                </c:pt>
                <c:pt idx="339">
                  <c:v>670000</c:v>
                </c:pt>
                <c:pt idx="340">
                  <c:v>675000</c:v>
                </c:pt>
                <c:pt idx="341">
                  <c:v>680000</c:v>
                </c:pt>
                <c:pt idx="342">
                  <c:v>685000</c:v>
                </c:pt>
                <c:pt idx="343">
                  <c:v>690000</c:v>
                </c:pt>
                <c:pt idx="344">
                  <c:v>695000</c:v>
                </c:pt>
                <c:pt idx="345">
                  <c:v>700000</c:v>
                </c:pt>
                <c:pt idx="346">
                  <c:v>705000</c:v>
                </c:pt>
                <c:pt idx="347">
                  <c:v>710000</c:v>
                </c:pt>
                <c:pt idx="348">
                  <c:v>715000</c:v>
                </c:pt>
                <c:pt idx="349">
                  <c:v>720000</c:v>
                </c:pt>
                <c:pt idx="350">
                  <c:v>725000</c:v>
                </c:pt>
                <c:pt idx="351">
                  <c:v>730000</c:v>
                </c:pt>
                <c:pt idx="352">
                  <c:v>735000</c:v>
                </c:pt>
                <c:pt idx="353">
                  <c:v>740000</c:v>
                </c:pt>
                <c:pt idx="354">
                  <c:v>745000</c:v>
                </c:pt>
                <c:pt idx="355">
                  <c:v>750000</c:v>
                </c:pt>
                <c:pt idx="356">
                  <c:v>755000</c:v>
                </c:pt>
                <c:pt idx="357">
                  <c:v>760000</c:v>
                </c:pt>
                <c:pt idx="358">
                  <c:v>765000</c:v>
                </c:pt>
                <c:pt idx="359">
                  <c:v>770000</c:v>
                </c:pt>
                <c:pt idx="360">
                  <c:v>775000</c:v>
                </c:pt>
                <c:pt idx="361">
                  <c:v>780000</c:v>
                </c:pt>
                <c:pt idx="362">
                  <c:v>785000</c:v>
                </c:pt>
                <c:pt idx="363">
                  <c:v>790000</c:v>
                </c:pt>
                <c:pt idx="364">
                  <c:v>795000</c:v>
                </c:pt>
                <c:pt idx="365">
                  <c:v>800000</c:v>
                </c:pt>
                <c:pt idx="366">
                  <c:v>805000</c:v>
                </c:pt>
                <c:pt idx="367">
                  <c:v>810000</c:v>
                </c:pt>
                <c:pt idx="368">
                  <c:v>815000</c:v>
                </c:pt>
                <c:pt idx="369">
                  <c:v>820000</c:v>
                </c:pt>
                <c:pt idx="370">
                  <c:v>825000</c:v>
                </c:pt>
                <c:pt idx="371">
                  <c:v>830000</c:v>
                </c:pt>
                <c:pt idx="372">
                  <c:v>835000</c:v>
                </c:pt>
                <c:pt idx="373">
                  <c:v>840000</c:v>
                </c:pt>
                <c:pt idx="374">
                  <c:v>845000</c:v>
                </c:pt>
                <c:pt idx="375">
                  <c:v>850000</c:v>
                </c:pt>
                <c:pt idx="376">
                  <c:v>855000</c:v>
                </c:pt>
                <c:pt idx="377">
                  <c:v>860000</c:v>
                </c:pt>
                <c:pt idx="378">
                  <c:v>865000</c:v>
                </c:pt>
                <c:pt idx="379">
                  <c:v>870000</c:v>
                </c:pt>
                <c:pt idx="380">
                  <c:v>875000</c:v>
                </c:pt>
                <c:pt idx="381">
                  <c:v>880000</c:v>
                </c:pt>
                <c:pt idx="382">
                  <c:v>885000</c:v>
                </c:pt>
                <c:pt idx="383">
                  <c:v>890000</c:v>
                </c:pt>
                <c:pt idx="384">
                  <c:v>895000</c:v>
                </c:pt>
                <c:pt idx="385">
                  <c:v>900000</c:v>
                </c:pt>
                <c:pt idx="386">
                  <c:v>905000</c:v>
                </c:pt>
                <c:pt idx="387">
                  <c:v>910000</c:v>
                </c:pt>
                <c:pt idx="388">
                  <c:v>915000</c:v>
                </c:pt>
                <c:pt idx="389">
                  <c:v>920000</c:v>
                </c:pt>
                <c:pt idx="390">
                  <c:v>925000</c:v>
                </c:pt>
                <c:pt idx="391">
                  <c:v>930000</c:v>
                </c:pt>
                <c:pt idx="392">
                  <c:v>935000</c:v>
                </c:pt>
                <c:pt idx="393">
                  <c:v>940000</c:v>
                </c:pt>
                <c:pt idx="394">
                  <c:v>945000</c:v>
                </c:pt>
                <c:pt idx="395">
                  <c:v>950000</c:v>
                </c:pt>
                <c:pt idx="396">
                  <c:v>955000</c:v>
                </c:pt>
                <c:pt idx="397">
                  <c:v>960000</c:v>
                </c:pt>
                <c:pt idx="398">
                  <c:v>965000</c:v>
                </c:pt>
                <c:pt idx="399">
                  <c:v>970000</c:v>
                </c:pt>
                <c:pt idx="400">
                  <c:v>975000</c:v>
                </c:pt>
                <c:pt idx="401">
                  <c:v>980000</c:v>
                </c:pt>
                <c:pt idx="402">
                  <c:v>985000</c:v>
                </c:pt>
                <c:pt idx="403">
                  <c:v>990000</c:v>
                </c:pt>
                <c:pt idx="404">
                  <c:v>995000</c:v>
                </c:pt>
                <c:pt idx="405">
                  <c:v>1000000</c:v>
                </c:pt>
                <c:pt idx="406">
                  <c:v>1005000</c:v>
                </c:pt>
                <c:pt idx="407">
                  <c:v>1010000</c:v>
                </c:pt>
                <c:pt idx="408">
                  <c:v>1015000</c:v>
                </c:pt>
                <c:pt idx="409">
                  <c:v>1020000</c:v>
                </c:pt>
                <c:pt idx="410">
                  <c:v>1025000</c:v>
                </c:pt>
                <c:pt idx="411">
                  <c:v>1030000</c:v>
                </c:pt>
                <c:pt idx="412">
                  <c:v>1035000</c:v>
                </c:pt>
                <c:pt idx="413">
                  <c:v>1040000</c:v>
                </c:pt>
                <c:pt idx="414">
                  <c:v>1045000</c:v>
                </c:pt>
                <c:pt idx="415">
                  <c:v>1050000</c:v>
                </c:pt>
                <c:pt idx="416">
                  <c:v>1055000</c:v>
                </c:pt>
                <c:pt idx="417">
                  <c:v>1060000</c:v>
                </c:pt>
                <c:pt idx="418">
                  <c:v>1065000</c:v>
                </c:pt>
                <c:pt idx="419">
                  <c:v>1070000</c:v>
                </c:pt>
                <c:pt idx="420">
                  <c:v>1075000</c:v>
                </c:pt>
                <c:pt idx="421">
                  <c:v>1080000</c:v>
                </c:pt>
                <c:pt idx="422">
                  <c:v>1085000</c:v>
                </c:pt>
                <c:pt idx="423">
                  <c:v>1090000</c:v>
                </c:pt>
                <c:pt idx="424">
                  <c:v>1095000</c:v>
                </c:pt>
                <c:pt idx="425">
                  <c:v>1100000</c:v>
                </c:pt>
                <c:pt idx="426">
                  <c:v>1105000</c:v>
                </c:pt>
                <c:pt idx="427">
                  <c:v>1110000</c:v>
                </c:pt>
                <c:pt idx="428">
                  <c:v>1115000</c:v>
                </c:pt>
                <c:pt idx="429">
                  <c:v>1120000</c:v>
                </c:pt>
                <c:pt idx="430">
                  <c:v>1125000</c:v>
                </c:pt>
                <c:pt idx="431">
                  <c:v>1130000</c:v>
                </c:pt>
                <c:pt idx="432">
                  <c:v>1135000</c:v>
                </c:pt>
                <c:pt idx="433">
                  <c:v>1140000</c:v>
                </c:pt>
                <c:pt idx="434">
                  <c:v>1145000</c:v>
                </c:pt>
                <c:pt idx="435">
                  <c:v>1150000</c:v>
                </c:pt>
                <c:pt idx="436">
                  <c:v>1155000</c:v>
                </c:pt>
                <c:pt idx="437">
                  <c:v>1160000</c:v>
                </c:pt>
                <c:pt idx="438">
                  <c:v>1165000</c:v>
                </c:pt>
                <c:pt idx="439">
                  <c:v>1170000</c:v>
                </c:pt>
                <c:pt idx="440">
                  <c:v>1175000</c:v>
                </c:pt>
                <c:pt idx="441">
                  <c:v>1180000</c:v>
                </c:pt>
                <c:pt idx="442">
                  <c:v>1185000</c:v>
                </c:pt>
                <c:pt idx="443">
                  <c:v>1190000</c:v>
                </c:pt>
                <c:pt idx="444">
                  <c:v>1195000</c:v>
                </c:pt>
                <c:pt idx="445">
                  <c:v>1200000</c:v>
                </c:pt>
                <c:pt idx="446">
                  <c:v>1205000</c:v>
                </c:pt>
                <c:pt idx="447">
                  <c:v>1210000</c:v>
                </c:pt>
                <c:pt idx="448">
                  <c:v>1215000</c:v>
                </c:pt>
                <c:pt idx="449">
                  <c:v>1220000</c:v>
                </c:pt>
                <c:pt idx="450">
                  <c:v>1225000</c:v>
                </c:pt>
                <c:pt idx="451">
                  <c:v>1230000</c:v>
                </c:pt>
                <c:pt idx="452">
                  <c:v>1235000</c:v>
                </c:pt>
                <c:pt idx="453">
                  <c:v>1240000</c:v>
                </c:pt>
                <c:pt idx="454">
                  <c:v>1245000</c:v>
                </c:pt>
                <c:pt idx="455">
                  <c:v>1250000</c:v>
                </c:pt>
                <c:pt idx="456">
                  <c:v>1255000</c:v>
                </c:pt>
                <c:pt idx="457">
                  <c:v>1260000</c:v>
                </c:pt>
                <c:pt idx="458">
                  <c:v>1265000</c:v>
                </c:pt>
                <c:pt idx="459">
                  <c:v>1270000</c:v>
                </c:pt>
                <c:pt idx="460">
                  <c:v>1275000</c:v>
                </c:pt>
                <c:pt idx="461">
                  <c:v>1280000</c:v>
                </c:pt>
                <c:pt idx="462">
                  <c:v>1285000</c:v>
                </c:pt>
                <c:pt idx="463">
                  <c:v>1290000</c:v>
                </c:pt>
                <c:pt idx="464">
                  <c:v>1295000</c:v>
                </c:pt>
                <c:pt idx="465">
                  <c:v>1300000</c:v>
                </c:pt>
                <c:pt idx="466">
                  <c:v>1305000</c:v>
                </c:pt>
                <c:pt idx="467">
                  <c:v>1310000</c:v>
                </c:pt>
                <c:pt idx="468">
                  <c:v>1315000</c:v>
                </c:pt>
                <c:pt idx="469">
                  <c:v>1320000</c:v>
                </c:pt>
                <c:pt idx="470">
                  <c:v>1325000</c:v>
                </c:pt>
                <c:pt idx="471">
                  <c:v>1330000</c:v>
                </c:pt>
                <c:pt idx="472">
                  <c:v>1335000</c:v>
                </c:pt>
                <c:pt idx="473">
                  <c:v>1340000</c:v>
                </c:pt>
                <c:pt idx="474">
                  <c:v>1345000</c:v>
                </c:pt>
                <c:pt idx="475">
                  <c:v>1350000</c:v>
                </c:pt>
                <c:pt idx="476">
                  <c:v>1355000</c:v>
                </c:pt>
                <c:pt idx="477">
                  <c:v>1360000</c:v>
                </c:pt>
                <c:pt idx="478">
                  <c:v>1365000</c:v>
                </c:pt>
                <c:pt idx="479">
                  <c:v>1370000</c:v>
                </c:pt>
                <c:pt idx="480">
                  <c:v>1375000</c:v>
                </c:pt>
                <c:pt idx="481">
                  <c:v>1380000</c:v>
                </c:pt>
                <c:pt idx="482">
                  <c:v>1385000</c:v>
                </c:pt>
                <c:pt idx="483">
                  <c:v>1390000</c:v>
                </c:pt>
                <c:pt idx="484">
                  <c:v>1395000</c:v>
                </c:pt>
                <c:pt idx="485">
                  <c:v>1400000</c:v>
                </c:pt>
                <c:pt idx="486">
                  <c:v>1405000</c:v>
                </c:pt>
                <c:pt idx="487">
                  <c:v>1410000</c:v>
                </c:pt>
                <c:pt idx="488">
                  <c:v>1415000</c:v>
                </c:pt>
                <c:pt idx="489">
                  <c:v>1420000</c:v>
                </c:pt>
                <c:pt idx="490">
                  <c:v>1425000</c:v>
                </c:pt>
                <c:pt idx="491">
                  <c:v>1430000</c:v>
                </c:pt>
                <c:pt idx="492">
                  <c:v>1435000</c:v>
                </c:pt>
                <c:pt idx="493">
                  <c:v>1440000</c:v>
                </c:pt>
                <c:pt idx="494">
                  <c:v>1445000</c:v>
                </c:pt>
                <c:pt idx="495">
                  <c:v>1450000</c:v>
                </c:pt>
                <c:pt idx="496">
                  <c:v>1455000</c:v>
                </c:pt>
                <c:pt idx="497">
                  <c:v>1460000</c:v>
                </c:pt>
                <c:pt idx="498">
                  <c:v>1465000</c:v>
                </c:pt>
                <c:pt idx="499">
                  <c:v>1470000</c:v>
                </c:pt>
                <c:pt idx="500">
                  <c:v>1475000</c:v>
                </c:pt>
                <c:pt idx="501">
                  <c:v>1480000</c:v>
                </c:pt>
                <c:pt idx="502">
                  <c:v>1485000</c:v>
                </c:pt>
                <c:pt idx="503">
                  <c:v>1490000</c:v>
                </c:pt>
                <c:pt idx="504">
                  <c:v>1495000</c:v>
                </c:pt>
                <c:pt idx="505">
                  <c:v>1500000</c:v>
                </c:pt>
                <c:pt idx="506">
                  <c:v>1505000</c:v>
                </c:pt>
                <c:pt idx="507">
                  <c:v>1510000</c:v>
                </c:pt>
                <c:pt idx="508">
                  <c:v>1515000</c:v>
                </c:pt>
                <c:pt idx="509">
                  <c:v>1520000</c:v>
                </c:pt>
                <c:pt idx="510">
                  <c:v>1525000</c:v>
                </c:pt>
                <c:pt idx="511">
                  <c:v>1530000</c:v>
                </c:pt>
                <c:pt idx="512">
                  <c:v>1535000</c:v>
                </c:pt>
                <c:pt idx="513">
                  <c:v>1540000</c:v>
                </c:pt>
                <c:pt idx="514">
                  <c:v>1545000</c:v>
                </c:pt>
                <c:pt idx="515">
                  <c:v>1550000</c:v>
                </c:pt>
                <c:pt idx="516">
                  <c:v>1555000</c:v>
                </c:pt>
                <c:pt idx="517">
                  <c:v>1560000</c:v>
                </c:pt>
                <c:pt idx="518">
                  <c:v>1565000</c:v>
                </c:pt>
                <c:pt idx="519">
                  <c:v>1570000</c:v>
                </c:pt>
                <c:pt idx="520">
                  <c:v>1575000</c:v>
                </c:pt>
                <c:pt idx="521">
                  <c:v>1580000</c:v>
                </c:pt>
                <c:pt idx="522">
                  <c:v>1585000</c:v>
                </c:pt>
                <c:pt idx="523">
                  <c:v>1590000</c:v>
                </c:pt>
                <c:pt idx="524">
                  <c:v>1595000</c:v>
                </c:pt>
                <c:pt idx="525">
                  <c:v>1600000</c:v>
                </c:pt>
                <c:pt idx="526">
                  <c:v>1605000</c:v>
                </c:pt>
                <c:pt idx="527">
                  <c:v>1610000</c:v>
                </c:pt>
                <c:pt idx="528">
                  <c:v>1615000</c:v>
                </c:pt>
                <c:pt idx="529">
                  <c:v>1620000</c:v>
                </c:pt>
                <c:pt idx="530">
                  <c:v>1625000</c:v>
                </c:pt>
                <c:pt idx="531">
                  <c:v>1630000</c:v>
                </c:pt>
                <c:pt idx="532">
                  <c:v>1635000</c:v>
                </c:pt>
                <c:pt idx="533">
                  <c:v>1640000</c:v>
                </c:pt>
                <c:pt idx="534">
                  <c:v>1645000</c:v>
                </c:pt>
                <c:pt idx="535">
                  <c:v>1650000</c:v>
                </c:pt>
                <c:pt idx="536">
                  <c:v>1655000</c:v>
                </c:pt>
                <c:pt idx="537">
                  <c:v>1660000</c:v>
                </c:pt>
                <c:pt idx="538">
                  <c:v>1665000</c:v>
                </c:pt>
                <c:pt idx="539">
                  <c:v>1670000</c:v>
                </c:pt>
                <c:pt idx="540">
                  <c:v>1675000</c:v>
                </c:pt>
                <c:pt idx="541">
                  <c:v>1680000</c:v>
                </c:pt>
                <c:pt idx="542">
                  <c:v>1685000</c:v>
                </c:pt>
                <c:pt idx="543">
                  <c:v>1690000</c:v>
                </c:pt>
                <c:pt idx="544">
                  <c:v>1695000</c:v>
                </c:pt>
                <c:pt idx="545">
                  <c:v>1700000</c:v>
                </c:pt>
                <c:pt idx="546">
                  <c:v>1705000</c:v>
                </c:pt>
                <c:pt idx="547">
                  <c:v>1710000</c:v>
                </c:pt>
                <c:pt idx="548">
                  <c:v>1715000</c:v>
                </c:pt>
                <c:pt idx="549">
                  <c:v>1720000</c:v>
                </c:pt>
                <c:pt idx="550">
                  <c:v>1725000</c:v>
                </c:pt>
                <c:pt idx="551">
                  <c:v>1730000</c:v>
                </c:pt>
                <c:pt idx="552">
                  <c:v>1735000</c:v>
                </c:pt>
                <c:pt idx="553">
                  <c:v>1740000</c:v>
                </c:pt>
                <c:pt idx="554">
                  <c:v>1745000</c:v>
                </c:pt>
                <c:pt idx="555">
                  <c:v>1750000</c:v>
                </c:pt>
                <c:pt idx="556">
                  <c:v>1755000</c:v>
                </c:pt>
                <c:pt idx="557">
                  <c:v>1760000</c:v>
                </c:pt>
                <c:pt idx="558">
                  <c:v>1765000</c:v>
                </c:pt>
                <c:pt idx="559">
                  <c:v>1770000</c:v>
                </c:pt>
                <c:pt idx="560">
                  <c:v>1775000</c:v>
                </c:pt>
                <c:pt idx="561">
                  <c:v>1780000</c:v>
                </c:pt>
                <c:pt idx="562">
                  <c:v>1785000</c:v>
                </c:pt>
                <c:pt idx="563">
                  <c:v>1790000</c:v>
                </c:pt>
                <c:pt idx="564">
                  <c:v>1795000</c:v>
                </c:pt>
                <c:pt idx="565">
                  <c:v>1800000</c:v>
                </c:pt>
                <c:pt idx="566">
                  <c:v>1805000</c:v>
                </c:pt>
                <c:pt idx="567">
                  <c:v>1810000</c:v>
                </c:pt>
                <c:pt idx="568">
                  <c:v>1815000</c:v>
                </c:pt>
                <c:pt idx="569">
                  <c:v>1820000</c:v>
                </c:pt>
                <c:pt idx="570">
                  <c:v>1825000</c:v>
                </c:pt>
                <c:pt idx="571">
                  <c:v>1830000</c:v>
                </c:pt>
                <c:pt idx="572">
                  <c:v>1835000</c:v>
                </c:pt>
                <c:pt idx="573">
                  <c:v>1840000</c:v>
                </c:pt>
                <c:pt idx="574">
                  <c:v>1845000</c:v>
                </c:pt>
                <c:pt idx="575">
                  <c:v>1850000</c:v>
                </c:pt>
                <c:pt idx="576">
                  <c:v>1855000</c:v>
                </c:pt>
                <c:pt idx="577">
                  <c:v>1860000</c:v>
                </c:pt>
                <c:pt idx="578">
                  <c:v>1865000</c:v>
                </c:pt>
                <c:pt idx="579">
                  <c:v>1870000</c:v>
                </c:pt>
                <c:pt idx="580">
                  <c:v>1875000</c:v>
                </c:pt>
                <c:pt idx="581">
                  <c:v>1880000</c:v>
                </c:pt>
                <c:pt idx="582">
                  <c:v>1885000</c:v>
                </c:pt>
                <c:pt idx="583">
                  <c:v>1890000</c:v>
                </c:pt>
                <c:pt idx="584">
                  <c:v>1895000</c:v>
                </c:pt>
                <c:pt idx="585">
                  <c:v>1900000</c:v>
                </c:pt>
                <c:pt idx="586">
                  <c:v>1905000</c:v>
                </c:pt>
                <c:pt idx="587">
                  <c:v>1910000</c:v>
                </c:pt>
                <c:pt idx="588">
                  <c:v>1915000</c:v>
                </c:pt>
                <c:pt idx="589">
                  <c:v>1920000</c:v>
                </c:pt>
                <c:pt idx="590">
                  <c:v>1925000</c:v>
                </c:pt>
                <c:pt idx="591">
                  <c:v>1930000</c:v>
                </c:pt>
                <c:pt idx="592">
                  <c:v>1935000</c:v>
                </c:pt>
                <c:pt idx="593">
                  <c:v>1940000</c:v>
                </c:pt>
                <c:pt idx="594">
                  <c:v>1945000</c:v>
                </c:pt>
                <c:pt idx="595">
                  <c:v>1950000</c:v>
                </c:pt>
                <c:pt idx="596">
                  <c:v>1955000</c:v>
                </c:pt>
                <c:pt idx="597">
                  <c:v>1960000</c:v>
                </c:pt>
                <c:pt idx="598">
                  <c:v>1965000</c:v>
                </c:pt>
                <c:pt idx="599">
                  <c:v>1970000</c:v>
                </c:pt>
                <c:pt idx="600">
                  <c:v>1975000</c:v>
                </c:pt>
                <c:pt idx="601">
                  <c:v>1980000</c:v>
                </c:pt>
                <c:pt idx="602">
                  <c:v>1985000</c:v>
                </c:pt>
                <c:pt idx="603">
                  <c:v>1990000</c:v>
                </c:pt>
                <c:pt idx="604">
                  <c:v>1995000</c:v>
                </c:pt>
                <c:pt idx="605">
                  <c:v>2000000</c:v>
                </c:pt>
                <c:pt idx="606">
                  <c:v>2250000</c:v>
                </c:pt>
                <c:pt idx="607">
                  <c:v>2500000</c:v>
                </c:pt>
                <c:pt idx="608">
                  <c:v>2750000</c:v>
                </c:pt>
                <c:pt idx="609">
                  <c:v>3000000</c:v>
                </c:pt>
                <c:pt idx="610">
                  <c:v>3250000</c:v>
                </c:pt>
                <c:pt idx="611">
                  <c:v>3500000</c:v>
                </c:pt>
                <c:pt idx="612">
                  <c:v>3750000</c:v>
                </c:pt>
                <c:pt idx="613">
                  <c:v>4000000</c:v>
                </c:pt>
                <c:pt idx="614">
                  <c:v>4250000</c:v>
                </c:pt>
                <c:pt idx="615">
                  <c:v>4500000</c:v>
                </c:pt>
                <c:pt idx="616">
                  <c:v>4750000</c:v>
                </c:pt>
                <c:pt idx="617">
                  <c:v>5000000</c:v>
                </c:pt>
                <c:pt idx="618">
                  <c:v>5100000</c:v>
                </c:pt>
                <c:pt idx="619">
                  <c:v>5200000</c:v>
                </c:pt>
                <c:pt idx="620">
                  <c:v>5300000</c:v>
                </c:pt>
                <c:pt idx="621">
                  <c:v>5400000</c:v>
                </c:pt>
                <c:pt idx="622">
                  <c:v>5500000</c:v>
                </c:pt>
                <c:pt idx="623">
                  <c:v>5600000</c:v>
                </c:pt>
                <c:pt idx="624">
                  <c:v>5700000</c:v>
                </c:pt>
                <c:pt idx="625">
                  <c:v>5800000</c:v>
                </c:pt>
                <c:pt idx="626">
                  <c:v>5900000</c:v>
                </c:pt>
                <c:pt idx="627">
                  <c:v>6000000</c:v>
                </c:pt>
                <c:pt idx="628">
                  <c:v>6100000</c:v>
                </c:pt>
                <c:pt idx="629">
                  <c:v>6200000</c:v>
                </c:pt>
                <c:pt idx="630">
                  <c:v>6300000</c:v>
                </c:pt>
                <c:pt idx="631">
                  <c:v>6400000</c:v>
                </c:pt>
                <c:pt idx="632">
                  <c:v>6500000</c:v>
                </c:pt>
                <c:pt idx="633">
                  <c:v>6600000</c:v>
                </c:pt>
                <c:pt idx="634">
                  <c:v>6700000</c:v>
                </c:pt>
                <c:pt idx="635">
                  <c:v>6800000</c:v>
                </c:pt>
                <c:pt idx="636">
                  <c:v>6900000</c:v>
                </c:pt>
                <c:pt idx="637">
                  <c:v>7000000</c:v>
                </c:pt>
                <c:pt idx="638">
                  <c:v>7100000</c:v>
                </c:pt>
                <c:pt idx="639">
                  <c:v>7200000</c:v>
                </c:pt>
                <c:pt idx="640">
                  <c:v>7300000</c:v>
                </c:pt>
                <c:pt idx="641">
                  <c:v>7400000</c:v>
                </c:pt>
                <c:pt idx="642">
                  <c:v>7500000</c:v>
                </c:pt>
                <c:pt idx="643">
                  <c:v>7600000</c:v>
                </c:pt>
                <c:pt idx="644">
                  <c:v>7700000</c:v>
                </c:pt>
                <c:pt idx="645">
                  <c:v>7800000</c:v>
                </c:pt>
                <c:pt idx="646">
                  <c:v>7900000</c:v>
                </c:pt>
                <c:pt idx="647">
                  <c:v>8000000</c:v>
                </c:pt>
                <c:pt idx="648">
                  <c:v>8100000</c:v>
                </c:pt>
                <c:pt idx="649">
                  <c:v>8200000</c:v>
                </c:pt>
                <c:pt idx="650">
                  <c:v>8300000</c:v>
                </c:pt>
                <c:pt idx="651">
                  <c:v>8400000</c:v>
                </c:pt>
                <c:pt idx="652">
                  <c:v>8500000</c:v>
                </c:pt>
                <c:pt idx="653">
                  <c:v>8600000</c:v>
                </c:pt>
                <c:pt idx="654">
                  <c:v>8700000</c:v>
                </c:pt>
                <c:pt idx="655">
                  <c:v>8800000</c:v>
                </c:pt>
                <c:pt idx="656">
                  <c:v>8900000</c:v>
                </c:pt>
                <c:pt idx="657">
                  <c:v>9000000</c:v>
                </c:pt>
                <c:pt idx="658">
                  <c:v>9100000</c:v>
                </c:pt>
                <c:pt idx="659">
                  <c:v>9200000</c:v>
                </c:pt>
                <c:pt idx="660">
                  <c:v>9300000</c:v>
                </c:pt>
                <c:pt idx="661">
                  <c:v>9400000</c:v>
                </c:pt>
                <c:pt idx="662">
                  <c:v>9500000</c:v>
                </c:pt>
                <c:pt idx="663">
                  <c:v>9600000</c:v>
                </c:pt>
                <c:pt idx="664">
                  <c:v>9700000</c:v>
                </c:pt>
                <c:pt idx="665">
                  <c:v>9800000</c:v>
                </c:pt>
                <c:pt idx="666">
                  <c:v>9900000</c:v>
                </c:pt>
                <c:pt idx="667">
                  <c:v>10000000</c:v>
                </c:pt>
              </c:numCache>
            </c:numRef>
          </c:xVal>
          <c:yVal>
            <c:numRef>
              <c:f>'Bode Plots Calculations'!$BI$9:$BI$676</c:f>
              <c:numCache>
                <c:formatCode>General</c:formatCode>
                <c:ptCount val="668"/>
                <c:pt idx="0">
                  <c:v>176.16089188449831</c:v>
                </c:pt>
                <c:pt idx="1">
                  <c:v>172.35620148381085</c:v>
                </c:pt>
                <c:pt idx="2">
                  <c:v>168.61853476005956</c:v>
                </c:pt>
                <c:pt idx="3">
                  <c:v>164.97710616732439</c:v>
                </c:pt>
                <c:pt idx="4">
                  <c:v>161.45656933627438</c:v>
                </c:pt>
                <c:pt idx="5">
                  <c:v>158.07634859142746</c:v>
                </c:pt>
                <c:pt idx="6">
                  <c:v>154.85046777984223</c:v>
                </c:pt>
                <c:pt idx="7">
                  <c:v>151.78779851985257</c:v>
                </c:pt>
                <c:pt idx="8">
                  <c:v>148.89260857412981</c:v>
                </c:pt>
                <c:pt idx="9">
                  <c:v>146.16528268822259</c:v>
                </c:pt>
                <c:pt idx="10">
                  <c:v>126.81087274931676</c:v>
                </c:pt>
                <c:pt idx="11">
                  <c:v>116.64208530224141</c:v>
                </c:pt>
                <c:pt idx="12">
                  <c:v>110.76437617839279</c:v>
                </c:pt>
                <c:pt idx="13">
                  <c:v>107.02966087567454</c:v>
                </c:pt>
                <c:pt idx="14">
                  <c:v>104.48170036289747</c:v>
                </c:pt>
                <c:pt idx="15">
                  <c:v>102.65033330950868</c:v>
                </c:pt>
                <c:pt idx="16">
                  <c:v>101.2819058198277</c:v>
                </c:pt>
                <c:pt idx="17">
                  <c:v>100.22878113929939</c:v>
                </c:pt>
                <c:pt idx="18">
                  <c:v>99.399622182303958</c:v>
                </c:pt>
                <c:pt idx="19">
                  <c:v>96.139274612835777</c:v>
                </c:pt>
                <c:pt idx="20">
                  <c:v>95.668828705392997</c:v>
                </c:pt>
                <c:pt idx="21">
                  <c:v>95.903178416002163</c:v>
                </c:pt>
                <c:pt idx="22">
                  <c:v>96.419490761993217</c:v>
                </c:pt>
                <c:pt idx="23">
                  <c:v>97.076143458879898</c:v>
                </c:pt>
                <c:pt idx="24">
                  <c:v>97.812198635678413</c:v>
                </c:pt>
                <c:pt idx="25">
                  <c:v>98.597033550896725</c:v>
                </c:pt>
                <c:pt idx="26">
                  <c:v>99.413514577720278</c:v>
                </c:pt>
                <c:pt idx="27">
                  <c:v>100.25125889372841</c:v>
                </c:pt>
                <c:pt idx="28">
                  <c:v>104.58485602061502</c:v>
                </c:pt>
                <c:pt idx="29">
                  <c:v>108.96545698636962</c:v>
                </c:pt>
                <c:pt idx="30">
                  <c:v>113.2823005881877</c:v>
                </c:pt>
                <c:pt idx="31">
                  <c:v>117.48569366296468</c:v>
                </c:pt>
                <c:pt idx="32">
                  <c:v>121.54667870295262</c:v>
                </c:pt>
                <c:pt idx="33">
                  <c:v>125.44676351263254</c:v>
                </c:pt>
                <c:pt idx="34">
                  <c:v>129.17414969418033</c:v>
                </c:pt>
                <c:pt idx="35">
                  <c:v>132.72182314564071</c:v>
                </c:pt>
                <c:pt idx="36">
                  <c:v>136.08630273937189</c:v>
                </c:pt>
                <c:pt idx="37">
                  <c:v>139.26668563463349</c:v>
                </c:pt>
                <c:pt idx="38">
                  <c:v>142.26387077509244</c:v>
                </c:pt>
                <c:pt idx="39">
                  <c:v>145.07991635647534</c:v>
                </c:pt>
                <c:pt idx="40">
                  <c:v>147.7175084957521</c:v>
                </c:pt>
                <c:pt idx="41">
                  <c:v>150.17952318093933</c:v>
                </c:pt>
                <c:pt idx="42">
                  <c:v>152.46866390403466</c:v>
                </c:pt>
                <c:pt idx="43">
                  <c:v>154.58715707156415</c:v>
                </c:pt>
                <c:pt idx="44">
                  <c:v>156.53648732002208</c:v>
                </c:pt>
                <c:pt idx="45">
                  <c:v>158.31715520453486</c:v>
                </c:pt>
                <c:pt idx="46">
                  <c:v>159.92844006331066</c:v>
                </c:pt>
                <c:pt idx="47">
                  <c:v>161.36815084885052</c:v>
                </c:pt>
                <c:pt idx="48">
                  <c:v>162.63234707180345</c:v>
                </c:pt>
                <c:pt idx="49">
                  <c:v>163.71501049936069</c:v>
                </c:pt>
                <c:pt idx="50">
                  <c:v>164.60764572823649</c:v>
                </c:pt>
                <c:pt idx="51">
                  <c:v>165.29878415557368</c:v>
                </c:pt>
                <c:pt idx="52">
                  <c:v>165.77336135693673</c:v>
                </c:pt>
                <c:pt idx="53">
                  <c:v>166.01193309022264</c:v>
                </c:pt>
                <c:pt idx="54">
                  <c:v>165.98969178598699</c:v>
                </c:pt>
                <c:pt idx="55">
                  <c:v>165.67524743324998</c:v>
                </c:pt>
                <c:pt idx="56">
                  <c:v>165.02915284716397</c:v>
                </c:pt>
                <c:pt idx="57">
                  <c:v>164.00220119655367</c:v>
                </c:pt>
                <c:pt idx="58">
                  <c:v>162.53363829292343</c:v>
                </c:pt>
                <c:pt idx="59">
                  <c:v>160.54967766131332</c:v>
                </c:pt>
                <c:pt idx="60">
                  <c:v>157.96318811059604</c:v>
                </c:pt>
                <c:pt idx="61">
                  <c:v>154.67627556654597</c:v>
                </c:pt>
                <c:pt idx="62">
                  <c:v>150.58875212032964</c:v>
                </c:pt>
                <c:pt idx="63">
                  <c:v>145.61674783761032</c:v>
                </c:pt>
                <c:pt idx="64">
                  <c:v>139.72523746052417</c:v>
                </c:pt>
                <c:pt idx="65">
                  <c:v>132.97233329819448</c:v>
                </c:pt>
                <c:pt idx="66">
                  <c:v>125.54884474009347</c:v>
                </c:pt>
                <c:pt idx="67">
                  <c:v>117.78118315055492</c:v>
                </c:pt>
                <c:pt idx="68">
                  <c:v>110.07291919693517</c:v>
                </c:pt>
                <c:pt idx="69">
                  <c:v>102.80299340260156</c:v>
                </c:pt>
                <c:pt idx="70">
                  <c:v>96.238292934547431</c:v>
                </c:pt>
                <c:pt idx="71">
                  <c:v>90.504503553073789</c:v>
                </c:pt>
                <c:pt idx="72">
                  <c:v>85.610287997266823</c:v>
                </c:pt>
                <c:pt idx="73">
                  <c:v>81.492250194763685</c:v>
                </c:pt>
                <c:pt idx="74">
                  <c:v>78.054784878043307</c:v>
                </c:pt>
                <c:pt idx="75">
                  <c:v>75.195907100626968</c:v>
                </c:pt>
                <c:pt idx="76">
                  <c:v>72.820604964137516</c:v>
                </c:pt>
                <c:pt idx="77">
                  <c:v>70.846120355733746</c:v>
                </c:pt>
                <c:pt idx="78">
                  <c:v>69.202899579162889</c:v>
                </c:pt>
                <c:pt idx="79">
                  <c:v>67.833576923105426</c:v>
                </c:pt>
                <c:pt idx="80">
                  <c:v>66.691266140991175</c:v>
                </c:pt>
                <c:pt idx="81">
                  <c:v>65.737769710290678</c:v>
                </c:pt>
                <c:pt idx="82">
                  <c:v>64.941958905616204</c:v>
                </c:pt>
                <c:pt idx="83">
                  <c:v>64.278403107830627</c:v>
                </c:pt>
                <c:pt idx="84">
                  <c:v>63.726248981363568</c:v>
                </c:pt>
                <c:pt idx="85">
                  <c:v>63.268320241345009</c:v>
                </c:pt>
                <c:pt idx="86">
                  <c:v>62.890400967804069</c:v>
                </c:pt>
                <c:pt idx="87">
                  <c:v>62.580667020496534</c:v>
                </c:pt>
                <c:pt idx="88">
                  <c:v>62.32923501916494</c:v>
                </c:pt>
                <c:pt idx="89">
                  <c:v>62.127803889249492</c:v>
                </c:pt>
                <c:pt idx="90">
                  <c:v>61.9693690498828</c:v>
                </c:pt>
                <c:pt idx="91">
                  <c:v>61.847993596023926</c:v>
                </c:pt>
                <c:pt idx="92">
                  <c:v>61.758624274669643</c:v>
                </c:pt>
                <c:pt idx="93">
                  <c:v>61.696942771901476</c:v>
                </c:pt>
                <c:pt idx="94">
                  <c:v>61.659244940974204</c:v>
                </c:pt>
                <c:pt idx="95">
                  <c:v>61.642342235001578</c:v>
                </c:pt>
                <c:pt idx="96">
                  <c:v>61.643480866743587</c:v>
                </c:pt>
                <c:pt idx="97">
                  <c:v>61.660275188214712</c:v>
                </c:pt>
                <c:pt idx="98">
                  <c:v>61.690652531660106</c:v>
                </c:pt>
                <c:pt idx="99">
                  <c:v>61.732807332902809</c:v>
                </c:pt>
                <c:pt idx="100">
                  <c:v>61.785162807970025</c:v>
                </c:pt>
                <c:pt idx="101">
                  <c:v>61.846338804560773</c:v>
                </c:pt>
                <c:pt idx="102">
                  <c:v>61.915124724351315</c:v>
                </c:pt>
                <c:pt idx="103">
                  <c:v>61.990456627853021</c:v>
                </c:pt>
                <c:pt idx="104">
                  <c:v>62.07139780385188</c:v>
                </c:pt>
                <c:pt idx="105">
                  <c:v>62.157122220529331</c:v>
                </c:pt>
                <c:pt idx="106">
                  <c:v>62.246900382964085</c:v>
                </c:pt>
                <c:pt idx="107">
                  <c:v>62.34008720780831</c:v>
                </c:pt>
                <c:pt idx="108">
                  <c:v>62.436111595118575</c:v>
                </c:pt>
                <c:pt idx="109">
                  <c:v>62.534467433159122</c:v>
                </c:pt>
                <c:pt idx="110">
                  <c:v>62.634705817247365</c:v>
                </c:pt>
                <c:pt idx="111">
                  <c:v>62.73642830053457</c:v>
                </c:pt>
                <c:pt idx="112">
                  <c:v>62.83928102469639</c:v>
                </c:pt>
                <c:pt idx="113">
                  <c:v>62.942949603177738</c:v>
                </c:pt>
                <c:pt idx="114">
                  <c:v>63.047154649944432</c:v>
                </c:pt>
                <c:pt idx="115">
                  <c:v>63.151647863470814</c:v>
                </c:pt>
                <c:pt idx="116">
                  <c:v>63.25620858960005</c:v>
                </c:pt>
                <c:pt idx="117">
                  <c:v>63.360640798485292</c:v>
                </c:pt>
                <c:pt idx="118">
                  <c:v>63.464770420475659</c:v>
                </c:pt>
                <c:pt idx="119">
                  <c:v>63.568442993895061</c:v>
                </c:pt>
                <c:pt idx="120">
                  <c:v>63.671521584454482</c:v>
                </c:pt>
                <c:pt idx="121">
                  <c:v>63.773884941755327</c:v>
                </c:pt>
                <c:pt idx="122">
                  <c:v>63.875425863175934</c:v>
                </c:pt>
                <c:pt idx="123">
                  <c:v>63.976049739525479</c:v>
                </c:pt>
                <c:pt idx="124">
                  <c:v>64.075673260327875</c:v>
                </c:pt>
                <c:pt idx="125">
                  <c:v>64.174223259559554</c:v>
                </c:pt>
                <c:pt idx="126">
                  <c:v>64.271635685193502</c:v>
                </c:pt>
                <c:pt idx="127">
                  <c:v>64.367854678067502</c:v>
                </c:pt>
                <c:pt idx="128">
                  <c:v>64.462831747451347</c:v>
                </c:pt>
                <c:pt idx="129">
                  <c:v>64.55652503228437</c:v>
                </c:pt>
                <c:pt idx="130">
                  <c:v>64.648898638432314</c:v>
                </c:pt>
                <c:pt idx="131">
                  <c:v>64.739922043501522</c:v>
                </c:pt>
                <c:pt idx="132">
                  <c:v>64.829569561776353</c:v>
                </c:pt>
                <c:pt idx="133">
                  <c:v>64.917819862741183</c:v>
                </c:pt>
                <c:pt idx="134">
                  <c:v>65.004655537420703</c:v>
                </c:pt>
                <c:pt idx="135">
                  <c:v>65.090062707451651</c:v>
                </c:pt>
                <c:pt idx="136">
                  <c:v>65.174030672384816</c:v>
                </c:pt>
                <c:pt idx="137">
                  <c:v>65.256551591233617</c:v>
                </c:pt>
                <c:pt idx="138">
                  <c:v>65.337620194735734</c:v>
                </c:pt>
                <c:pt idx="139">
                  <c:v>65.417233525189289</c:v>
                </c:pt>
                <c:pt idx="140">
                  <c:v>65.49539070107258</c:v>
                </c:pt>
                <c:pt idx="141">
                  <c:v>65.572092703961872</c:v>
                </c:pt>
                <c:pt idx="142">
                  <c:v>65.647342185531613</c:v>
                </c:pt>
                <c:pt idx="143">
                  <c:v>65.7211432926578</c:v>
                </c:pt>
                <c:pt idx="144">
                  <c:v>65.793501508856153</c:v>
                </c:pt>
                <c:pt idx="145">
                  <c:v>65.864423510472136</c:v>
                </c:pt>
                <c:pt idx="146">
                  <c:v>65.933917036204988</c:v>
                </c:pt>
                <c:pt idx="147">
                  <c:v>66.001990768693005</c:v>
                </c:pt>
                <c:pt idx="148">
                  <c:v>66.06865422701884</c:v>
                </c:pt>
                <c:pt idx="149">
                  <c:v>66.133917669107646</c:v>
                </c:pt>
                <c:pt idx="150">
                  <c:v>66.197792003094165</c:v>
                </c:pt>
                <c:pt idx="151">
                  <c:v>66.260288706827566</c:v>
                </c:pt>
                <c:pt idx="152">
                  <c:v>66.321419754763411</c:v>
                </c:pt>
                <c:pt idx="153">
                  <c:v>66.381197551566416</c:v>
                </c:pt>
                <c:pt idx="154">
                  <c:v>66.439634871812828</c:v>
                </c:pt>
                <c:pt idx="155">
                  <c:v>66.496744805240169</c:v>
                </c:pt>
                <c:pt idx="156">
                  <c:v>66.552540707044358</c:v>
                </c:pt>
                <c:pt idx="157">
                  <c:v>66.607036152772281</c:v>
                </c:pt>
                <c:pt idx="158">
                  <c:v>66.660244897399664</c:v>
                </c:pt>
                <c:pt idx="159">
                  <c:v>66.712180838222494</c:v>
                </c:pt>
                <c:pt idx="160">
                  <c:v>66.762857981225096</c:v>
                </c:pt>
                <c:pt idx="161">
                  <c:v>66.812290410618616</c:v>
                </c:pt>
                <c:pt idx="162">
                  <c:v>66.860492261270991</c:v>
                </c:pt>
                <c:pt idx="163">
                  <c:v>66.907477693776698</c:v>
                </c:pt>
                <c:pt idx="164">
                  <c:v>66.953260871934589</c:v>
                </c:pt>
                <c:pt idx="165">
                  <c:v>66.997855942426014</c:v>
                </c:pt>
                <c:pt idx="166">
                  <c:v>67.041277016500501</c:v>
                </c:pt>
                <c:pt idx="167">
                  <c:v>67.08353815349642</c:v>
                </c:pt>
                <c:pt idx="168">
                  <c:v>67.124653346037718</c:v>
                </c:pt>
                <c:pt idx="169">
                  <c:v>67.164636506761155</c:v>
                </c:pt>
                <c:pt idx="170">
                  <c:v>67.203501456443306</c:v>
                </c:pt>
                <c:pt idx="171">
                  <c:v>67.24126191340531</c:v>
                </c:pt>
                <c:pt idx="172">
                  <c:v>67.277931484086082</c:v>
                </c:pt>
                <c:pt idx="173">
                  <c:v>67.313523654682768</c:v>
                </c:pt>
                <c:pt idx="174">
                  <c:v>67.348051783766266</c:v>
                </c:pt>
                <c:pt idx="175">
                  <c:v>67.38152909578767</c:v>
                </c:pt>
                <c:pt idx="176">
                  <c:v>67.413968675398408</c:v>
                </c:pt>
                <c:pt idx="177">
                  <c:v>67.445383462513391</c:v>
                </c:pt>
                <c:pt idx="178">
                  <c:v>67.475786248052415</c:v>
                </c:pt>
                <c:pt idx="179">
                  <c:v>67.505189670300979</c:v>
                </c:pt>
                <c:pt idx="180">
                  <c:v>67.533606211835249</c:v>
                </c:pt>
                <c:pt idx="181">
                  <c:v>67.561048196962673</c:v>
                </c:pt>
                <c:pt idx="182">
                  <c:v>67.587527789631608</c:v>
                </c:pt>
                <c:pt idx="183">
                  <c:v>67.613056991768261</c:v>
                </c:pt>
                <c:pt idx="184">
                  <c:v>67.637647642003046</c:v>
                </c:pt>
                <c:pt idx="185">
                  <c:v>67.661311414750628</c:v>
                </c:pt>
                <c:pt idx="186">
                  <c:v>67.684059819611676</c:v>
                </c:pt>
                <c:pt idx="187">
                  <c:v>67.705904201066261</c:v>
                </c:pt>
                <c:pt idx="188">
                  <c:v>67.726855738432178</c:v>
                </c:pt>
                <c:pt idx="189">
                  <c:v>67.746925446062775</c:v>
                </c:pt>
                <c:pt idx="190">
                  <c:v>67.766124173761852</c:v>
                </c:pt>
                <c:pt idx="191">
                  <c:v>67.784462607393891</c:v>
                </c:pt>
                <c:pt idx="192">
                  <c:v>67.801951269671008</c:v>
                </c:pt>
                <c:pt idx="193">
                  <c:v>67.818600521098418</c:v>
                </c:pt>
                <c:pt idx="194">
                  <c:v>67.834420561062487</c:v>
                </c:pt>
                <c:pt idx="195">
                  <c:v>67.849421429046075</c:v>
                </c:pt>
                <c:pt idx="196">
                  <c:v>67.86361300595766</c:v>
                </c:pt>
                <c:pt idx="197">
                  <c:v>67.877005015561778</c:v>
                </c:pt>
                <c:pt idx="198">
                  <c:v>67.889607025999055</c:v>
                </c:pt>
                <c:pt idx="199">
                  <c:v>67.901428451385314</c:v>
                </c:pt>
                <c:pt idx="200">
                  <c:v>67.912478553480057</c:v>
                </c:pt>
                <c:pt idx="201">
                  <c:v>67.922766443415526</c:v>
                </c:pt>
                <c:pt idx="202">
                  <c:v>67.932301083478151</c:v>
                </c:pt>
                <c:pt idx="203">
                  <c:v>67.941091288934658</c:v>
                </c:pt>
                <c:pt idx="204">
                  <c:v>67.9491457298966</c:v>
                </c:pt>
                <c:pt idx="205">
                  <c:v>67.956472933216531</c:v>
                </c:pt>
                <c:pt idx="206">
                  <c:v>67.963081284410407</c:v>
                </c:pt>
                <c:pt idx="207">
                  <c:v>67.968979029600931</c:v>
                </c:pt>
                <c:pt idx="208">
                  <c:v>67.974174277476806</c:v>
                </c:pt>
                <c:pt idx="209">
                  <c:v>67.978675001264364</c:v>
                </c:pt>
                <c:pt idx="210">
                  <c:v>67.982489040706554</c:v>
                </c:pt>
                <c:pt idx="211">
                  <c:v>67.98562410404638</c:v>
                </c:pt>
                <c:pt idx="212">
                  <c:v>67.988087770011461</c:v>
                </c:pt>
                <c:pt idx="213">
                  <c:v>67.989887489796629</c:v>
                </c:pt>
                <c:pt idx="214">
                  <c:v>67.991030589041543</c:v>
                </c:pt>
                <c:pt idx="215">
                  <c:v>67.991524269801715</c:v>
                </c:pt>
                <c:pt idx="216">
                  <c:v>67.991375612509771</c:v>
                </c:pt>
                <c:pt idx="217">
                  <c:v>67.990591577925841</c:v>
                </c:pt>
                <c:pt idx="218">
                  <c:v>67.989179009074618</c:v>
                </c:pt>
                <c:pt idx="219">
                  <c:v>67.987144633167702</c:v>
                </c:pt>
                <c:pt idx="220">
                  <c:v>67.984495063510153</c:v>
                </c:pt>
                <c:pt idx="221">
                  <c:v>67.981236801389443</c:v>
                </c:pt>
                <c:pt idx="222">
                  <c:v>67.977376237945791</c:v>
                </c:pt>
                <c:pt idx="223">
                  <c:v>67.972919656023365</c:v>
                </c:pt>
                <c:pt idx="224">
                  <c:v>67.967873232000727</c:v>
                </c:pt>
                <c:pt idx="225">
                  <c:v>67.96224303760026</c:v>
                </c:pt>
                <c:pt idx="226">
                  <c:v>67.875098182565125</c:v>
                </c:pt>
                <c:pt idx="227">
                  <c:v>67.735543936715828</c:v>
                </c:pt>
                <c:pt idx="228">
                  <c:v>67.54818297318559</c:v>
                </c:pt>
                <c:pt idx="229">
                  <c:v>67.316906024278495</c:v>
                </c:pt>
                <c:pt idx="230">
                  <c:v>67.045009255800394</c:v>
                </c:pt>
                <c:pt idx="231">
                  <c:v>66.735292120336723</c:v>
                </c:pt>
                <c:pt idx="232">
                  <c:v>66.390138691573711</c:v>
                </c:pt>
                <c:pt idx="233">
                  <c:v>66.011585286480411</c:v>
                </c:pt>
                <c:pt idx="234">
                  <c:v>65.601376821250241</c:v>
                </c:pt>
                <c:pt idx="235">
                  <c:v>65.161013957804172</c:v>
                </c:pt>
                <c:pt idx="236">
                  <c:v>64.691792737261437</c:v>
                </c:pt>
                <c:pt idx="237">
                  <c:v>64.194838084513279</c:v>
                </c:pt>
                <c:pt idx="238">
                  <c:v>63.671132306576823</c:v>
                </c:pt>
                <c:pt idx="239">
                  <c:v>63.121539492479002</c:v>
                </c:pt>
                <c:pt idx="240">
                  <c:v>62.546826547457613</c:v>
                </c:pt>
                <c:pt idx="241">
                  <c:v>61.947681452464337</c:v>
                </c:pt>
                <c:pt idx="242">
                  <c:v>61.32472922513773</c:v>
                </c:pt>
                <c:pt idx="243">
                  <c:v>60.678545965319827</c:v>
                </c:pt>
                <c:pt idx="244">
                  <c:v>60.009671292487852</c:v>
                </c:pt>
                <c:pt idx="245">
                  <c:v>59.318619420657015</c:v>
                </c:pt>
                <c:pt idx="246">
                  <c:v>58.605889065605467</c:v>
                </c:pt>
                <c:pt idx="247">
                  <c:v>57.871972337487392</c:v>
                </c:pt>
                <c:pt idx="248">
                  <c:v>57.117362737321898</c:v>
                </c:pt>
                <c:pt idx="249">
                  <c:v>56.342562347158989</c:v>
                </c:pt>
                <c:pt idx="250">
                  <c:v>55.548088279911028</c:v>
                </c:pt>
                <c:pt idx="251">
                  <c:v>54.734478435139678</c:v>
                </c:pt>
                <c:pt idx="252">
                  <c:v>53.902296590925431</c:v>
                </c:pt>
                <c:pt idx="253">
                  <c:v>53.052136848904951</c:v>
                </c:pt>
                <c:pt idx="254">
                  <c:v>52.184627439330754</c:v>
                </c:pt>
                <c:pt idx="255">
                  <c:v>51.300433885369813</c:v>
                </c:pt>
                <c:pt idx="256">
                  <c:v>50.400261520645245</c:v>
                </c:pt>
                <c:pt idx="257">
                  <c:v>49.484857351118421</c:v>
                </c:pt>
                <c:pt idx="258">
                  <c:v>48.555011251682714</c:v>
                </c:pt>
                <c:pt idx="259">
                  <c:v>47.611556489188786</c:v>
                </c:pt>
                <c:pt idx="260">
                  <c:v>46.655369566903119</c:v>
                </c:pt>
                <c:pt idx="261">
                  <c:v>45.687369390452574</c:v>
                </c:pt>
                <c:pt idx="262">
                  <c:v>44.708515761921547</c:v>
                </c:pt>
                <c:pt idx="263">
                  <c:v>43.719807216699081</c:v>
                </c:pt>
                <c:pt idx="264">
                  <c:v>42.722278226621171</c:v>
                </c:pt>
                <c:pt idx="265">
                  <c:v>41.716995802582858</c:v>
                </c:pt>
                <c:pt idx="266">
                  <c:v>40.705055539735156</c:v>
                </c:pt>
                <c:pt idx="267">
                  <c:v>39.687577158234092</c:v>
                </c:pt>
                <c:pt idx="268">
                  <c:v>38.66569960187249</c:v>
                </c:pt>
                <c:pt idx="269">
                  <c:v>37.640575765400484</c:v>
                </c:pt>
                <c:pt idx="270">
                  <c:v>36.613366928561163</c:v>
                </c:pt>
                <c:pt idx="271">
                  <c:v>35.585236980507602</c:v>
                </c:pt>
                <c:pt idx="272">
                  <c:v>34.557346522066354</c:v>
                </c:pt>
                <c:pt idx="273">
                  <c:v>33.530846935080177</c:v>
                </c:pt>
                <c:pt idx="274">
                  <c:v>32.506874507704481</c:v>
                </c:pt>
                <c:pt idx="275">
                  <c:v>31.486544702028368</c:v>
                </c:pt>
                <c:pt idx="276">
                  <c:v>30.47094664583642</c:v>
                </c:pt>
                <c:pt idx="277">
                  <c:v>29.461137923871007</c:v>
                </c:pt>
                <c:pt idx="278">
                  <c:v>28.458139735855781</c:v>
                </c:pt>
                <c:pt idx="279">
                  <c:v>27.462932479084628</c:v>
                </c:pt>
                <c:pt idx="280">
                  <c:v>26.476451802924288</c:v>
                </c:pt>
                <c:pt idx="281">
                  <c:v>25.499585171485506</c:v>
                </c:pt>
                <c:pt idx="282">
                  <c:v>24.533168959363309</c:v>
                </c:pt>
                <c:pt idx="283">
                  <c:v>23.577986094096246</c:v>
                </c:pt>
                <c:pt idx="284">
                  <c:v>22.634764248173923</c:v>
                </c:pt>
                <c:pt idx="285">
                  <c:v>21.704174573327691</c:v>
                </c:pt>
                <c:pt idx="286">
                  <c:v>20.786830960707022</c:v>
                </c:pt>
                <c:pt idx="287">
                  <c:v>19.883289802554998</c:v>
                </c:pt>
                <c:pt idx="288">
                  <c:v>18.994050224271916</c:v>
                </c:pt>
                <c:pt idx="289">
                  <c:v>18.119554750361857</c:v>
                </c:pt>
                <c:pt idx="290">
                  <c:v>17.260190363702691</c:v>
                </c:pt>
                <c:pt idx="291">
                  <c:v>16.416289914824006</c:v>
                </c:pt>
                <c:pt idx="292">
                  <c:v>15.58813383634967</c:v>
                </c:pt>
                <c:pt idx="293">
                  <c:v>14.775952117347799</c:v>
                </c:pt>
                <c:pt idx="294">
                  <c:v>13.979926492903047</c:v>
                </c:pt>
                <c:pt idx="295">
                  <c:v>13.200192805644207</c:v>
                </c:pt>
                <c:pt idx="296">
                  <c:v>12.436843498064405</c:v>
                </c:pt>
                <c:pt idx="297">
                  <c:v>11.68993019712758</c:v>
                </c:pt>
                <c:pt idx="298">
                  <c:v>10.959466355703796</c:v>
                </c:pt>
                <c:pt idx="299">
                  <c:v>10.24542991870203</c:v>
                </c:pt>
                <c:pt idx="300">
                  <c:v>9.5477659852392947</c:v>
                </c:pt>
                <c:pt idx="301">
                  <c:v>8.8663894417029496</c:v>
                </c:pt>
                <c:pt idx="302">
                  <c:v>8.201187544042881</c:v>
                </c:pt>
                <c:pt idx="303">
                  <c:v>7.5520224309928494</c:v>
                </c:pt>
                <c:pt idx="304">
                  <c:v>6.9187335531177894</c:v>
                </c:pt>
                <c:pt idx="305">
                  <c:v>6.3011400055693514</c:v>
                </c:pt>
                <c:pt idx="306">
                  <c:v>5.699042755179164</c:v>
                </c:pt>
                <c:pt idx="307">
                  <c:v>5.112226755009317</c:v>
                </c:pt>
                <c:pt idx="308">
                  <c:v>4.5404629417076023</c:v>
                </c:pt>
                <c:pt idx="309">
                  <c:v>3.9835101129761483</c:v>
                </c:pt>
                <c:pt idx="310">
                  <c:v>3.4411166841678948</c:v>
                </c:pt>
                <c:pt idx="311">
                  <c:v>2.9130223244862066</c:v>
                </c:pt>
                <c:pt idx="312">
                  <c:v>2.3989594744887768</c:v>
                </c:pt>
                <c:pt idx="313">
                  <c:v>1.8986547476142732</c:v>
                </c:pt>
                <c:pt idx="314">
                  <c:v>1.4118302192691772</c:v>
                </c:pt>
                <c:pt idx="315">
                  <c:v>0.93820460765746816</c:v>
                </c:pt>
                <c:pt idx="316">
                  <c:v>0.47749435102471693</c:v>
                </c:pt>
                <c:pt idx="317">
                  <c:v>2.9414586340976712E-2</c:v>
                </c:pt>
                <c:pt idx="318">
                  <c:v>-0.40631996531945447</c:v>
                </c:pt>
                <c:pt idx="319">
                  <c:v>-0.82999420131190504</c:v>
                </c:pt>
                <c:pt idx="320">
                  <c:v>-1.2418919224314777</c:v>
                </c:pt>
                <c:pt idx="321">
                  <c:v>-1.6422951949899982</c:v>
                </c:pt>
                <c:pt idx="322">
                  <c:v>-2.0314837846308649</c:v>
                </c:pt>
                <c:pt idx="323">
                  <c:v>-2.4097346566878173</c:v>
                </c:pt>
                <c:pt idx="324">
                  <c:v>-2.7773215380582883</c:v>
                </c:pt>
                <c:pt idx="325">
                  <c:v>-3.1345145357612409</c:v>
                </c:pt>
                <c:pt idx="326">
                  <c:v>-3.4815798075645148</c:v>
                </c:pt>
                <c:pt idx="327">
                  <c:v>-3.8187792802987701</c:v>
                </c:pt>
                <c:pt idx="328">
                  <c:v>-4.1463704117140878</c:v>
                </c:pt>
                <c:pt idx="329">
                  <c:v>-4.4646059919807612</c:v>
                </c:pt>
                <c:pt idx="330">
                  <c:v>-4.7737339811766049</c:v>
                </c:pt>
                <c:pt idx="331">
                  <c:v>-5.0739973793484694</c:v>
                </c:pt>
                <c:pt idx="332">
                  <c:v>-5.3656341259681426</c:v>
                </c:pt>
                <c:pt idx="333">
                  <c:v>-5.6488770258337695</c:v>
                </c:pt>
                <c:pt idx="334">
                  <c:v>-5.9239536986881376</c:v>
                </c:pt>
                <c:pt idx="335">
                  <c:v>-6.1910865500342709</c:v>
                </c:pt>
                <c:pt idx="336">
                  <c:v>-6.4504927608329297</c:v>
                </c:pt>
                <c:pt idx="337">
                  <c:v>-6.7023842939514395</c:v>
                </c:pt>
                <c:pt idx="338">
                  <c:v>-6.9469679154165078</c:v>
                </c:pt>
                <c:pt idx="339">
                  <c:v>-7.1844452286890714</c:v>
                </c:pt>
                <c:pt idx="340">
                  <c:v>-7.4150127203364207</c:v>
                </c:pt>
                <c:pt idx="341">
                  <c:v>-7.6388618156236419</c:v>
                </c:pt>
                <c:pt idx="342">
                  <c:v>-7.8561789426821349</c:v>
                </c:pt>
                <c:pt idx="343">
                  <c:v>-8.0671456040387284</c:v>
                </c:pt>
                <c:pt idx="344">
                  <c:v>-8.2719384544053582</c:v>
                </c:pt>
                <c:pt idx="345">
                  <c:v>-8.4707293837372504</c:v>
                </c:pt>
                <c:pt idx="346">
                  <c:v>-8.6636856046651474</c:v>
                </c:pt>
                <c:pt idx="347">
                  <c:v>-8.8509697435002579</c:v>
                </c:pt>
                <c:pt idx="348">
                  <c:v>-9.0327399340904435</c:v>
                </c:pt>
                <c:pt idx="349">
                  <c:v>-9.2091499138858524</c:v>
                </c:pt>
                <c:pt idx="350">
                  <c:v>-9.380349121639199</c:v>
                </c:pt>
                <c:pt idx="351">
                  <c:v>-9.5464827962304923</c:v>
                </c:pt>
                <c:pt idx="352">
                  <c:v>-9.7076920761637098</c:v>
                </c:pt>
                <c:pt idx="353">
                  <c:v>-9.8641140993348984</c:v>
                </c:pt>
                <c:pt idx="354">
                  <c:v>-10.015882102719615</c:v>
                </c:pt>
                <c:pt idx="355">
                  <c:v>-10.163125521669684</c:v>
                </c:pt>
                <c:pt idx="356">
                  <c:v>-10.30597008854977</c:v>
                </c:pt>
                <c:pt idx="357">
                  <c:v>-10.444537930477878</c:v>
                </c:pt>
                <c:pt idx="358">
                  <c:v>-10.578947665967547</c:v>
                </c:pt>
                <c:pt idx="359">
                  <c:v>-10.709314500296188</c:v>
                </c:pt>
                <c:pt idx="360">
                  <c:v>-10.835750319451563</c:v>
                </c:pt>
                <c:pt idx="361">
                  <c:v>-10.958363782530682</c:v>
                </c:pt>
                <c:pt idx="362">
                  <c:v>-11.077260412486055</c:v>
                </c:pt>
                <c:pt idx="363">
                  <c:v>-11.192542685132736</c:v>
                </c:pt>
                <c:pt idx="364">
                  <c:v>-11.304310116347494</c:v>
                </c:pt>
                <c:pt idx="365">
                  <c:v>-11.412659347403434</c:v>
                </c:pt>
                <c:pt idx="366">
                  <c:v>-11.517684228399617</c:v>
                </c:pt>
                <c:pt idx="367">
                  <c:v>-11.619475899754889</c:v>
                </c:pt>
                <c:pt idx="368">
                  <c:v>-11.71812287174555</c:v>
                </c:pt>
                <c:pt idx="369">
                  <c:v>-11.813711102076695</c:v>
                </c:pt>
                <c:pt idx="370">
                  <c:v>-11.906324071483539</c:v>
                </c:pt>
                <c:pt idx="371">
                  <c:v>-11.996042857367939</c:v>
                </c:pt>
                <c:pt idx="372">
                  <c:v>-12.082946205478379</c:v>
                </c:pt>
                <c:pt idx="373">
                  <c:v>-12.167110599651153</c:v>
                </c:pt>
                <c:pt idx="374">
                  <c:v>-12.248610329630992</c:v>
                </c:pt>
                <c:pt idx="375">
                  <c:v>-12.327517556996014</c:v>
                </c:pt>
                <c:pt idx="376">
                  <c:v>-12.403902379214003</c:v>
                </c:pt>
                <c:pt idx="377">
                  <c:v>-12.477832891860231</c:v>
                </c:pt>
                <c:pt idx="378">
                  <c:v>-12.549375249029794</c:v>
                </c:pt>
                <c:pt idx="379">
                  <c:v>-12.618593721977817</c:v>
                </c:pt>
                <c:pt idx="380">
                  <c:v>-12.685550756025037</c:v>
                </c:pt>
                <c:pt idx="381">
                  <c:v>-12.750307025764869</c:v>
                </c:pt>
                <c:pt idx="382">
                  <c:v>-12.812921488611408</c:v>
                </c:pt>
                <c:pt idx="383">
                  <c:v>-12.873451436726157</c:v>
                </c:pt>
                <c:pt idx="384">
                  <c:v>-12.931952547364176</c:v>
                </c:pt>
                <c:pt idx="385">
                  <c:v>-12.988478931678799</c:v>
                </c:pt>
                <c:pt idx="386">
                  <c:v>-13.043083182024816</c:v>
                </c:pt>
                <c:pt idx="387">
                  <c:v>-13.095816417800449</c:v>
                </c:pt>
                <c:pt idx="388">
                  <c:v>-13.146728329867329</c:v>
                </c:pt>
                <c:pt idx="389">
                  <c:v>-13.195867223588436</c:v>
                </c:pt>
                <c:pt idx="390">
                  <c:v>-13.243280060522608</c:v>
                </c:pt>
                <c:pt idx="391">
                  <c:v>-13.289012498813861</c:v>
                </c:pt>
                <c:pt idx="392">
                  <c:v>-13.333108932314929</c:v>
                </c:pt>
                <c:pt idx="393">
                  <c:v>-13.375612528480559</c:v>
                </c:pt>
                <c:pt idx="394">
                  <c:v>-13.416565265068755</c:v>
                </c:pt>
                <c:pt idx="395">
                  <c:v>-13.456007965684904</c:v>
                </c:pt>
                <c:pt idx="396">
                  <c:v>-13.493980334205418</c:v>
                </c:pt>
                <c:pt idx="397">
                  <c:v>-13.530520988113466</c:v>
                </c:pt>
                <c:pt idx="398">
                  <c:v>-13.565667490782886</c:v>
                </c:pt>
                <c:pt idx="399">
                  <c:v>-13.599456382740726</c:v>
                </c:pt>
                <c:pt idx="400">
                  <c:v>-13.631923211942677</c:v>
                </c:pt>
                <c:pt idx="401">
                  <c:v>-13.663102563091201</c:v>
                </c:pt>
                <c:pt idx="402">
                  <c:v>-13.693028086027368</c:v>
                </c:pt>
                <c:pt idx="403">
                  <c:v>-13.721732523226137</c:v>
                </c:pt>
                <c:pt idx="404">
                  <c:v>-13.749247736423655</c:v>
                </c:pt>
                <c:pt idx="405">
                  <c:v>-13.775604732404474</c:v>
                </c:pt>
                <c:pt idx="406">
                  <c:v>-13.800833687976052</c:v>
                </c:pt>
                <c:pt idx="407">
                  <c:v>-13.824963974157157</c:v>
                </c:pt>
                <c:pt idx="408">
                  <c:v>-13.848024179604664</c:v>
                </c:pt>
                <c:pt idx="409">
                  <c:v>-13.870042133305418</c:v>
                </c:pt>
                <c:pt idx="410">
                  <c:v>-13.891044926554912</c:v>
                </c:pt>
                <c:pt idx="411">
                  <c:v>-13.911058934248359</c:v>
                </c:pt>
                <c:pt idx="412">
                  <c:v>-13.930109835505164</c:v>
                </c:pt>
                <c:pt idx="413">
                  <c:v>-13.948222633648811</c:v>
                </c:pt>
                <c:pt idx="414">
                  <c:v>-13.9654216755645</c:v>
                </c:pt>
                <c:pt idx="415">
                  <c:v>-13.981730670453544</c:v>
                </c:pt>
                <c:pt idx="416">
                  <c:v>-13.997172708004967</c:v>
                </c:pt>
                <c:pt idx="417">
                  <c:v>-14.01177027600383</c:v>
                </c:pt>
                <c:pt idx="418">
                  <c:v>-14.025545277394201</c:v>
                </c:pt>
                <c:pt idx="419">
                  <c:v>-14.038519046814883</c:v>
                </c:pt>
                <c:pt idx="420">
                  <c:v>-14.050712366625902</c:v>
                </c:pt>
                <c:pt idx="421">
                  <c:v>-14.062145482440854</c:v>
                </c:pt>
                <c:pt idx="422">
                  <c:v>-14.072838118183427</c:v>
                </c:pt>
                <c:pt idx="423">
                  <c:v>-14.08280949068228</c:v>
                </c:pt>
                <c:pt idx="424">
                  <c:v>-14.092078323819607</c:v>
                </c:pt>
                <c:pt idx="425">
                  <c:v>-14.100662862248839</c:v>
                </c:pt>
                <c:pt idx="426">
                  <c:v>-14.108580884694192</c:v>
                </c:pt>
                <c:pt idx="427">
                  <c:v>-14.115849716847521</c:v>
                </c:pt>
                <c:pt idx="428">
                  <c:v>-14.122486243873766</c:v>
                </c:pt>
                <c:pt idx="429">
                  <c:v>-14.128506922539088</c:v>
                </c:pt>
                <c:pt idx="430">
                  <c:v>-14.133927792973793</c:v>
                </c:pt>
                <c:pt idx="431">
                  <c:v>-14.13876449008103</c:v>
                </c:pt>
                <c:pt idx="432">
                  <c:v>-14.14303225460398</c:v>
                </c:pt>
                <c:pt idx="433">
                  <c:v>-14.146745943861731</c:v>
                </c:pt>
                <c:pt idx="434">
                  <c:v>-14.14992004216532</c:v>
                </c:pt>
                <c:pt idx="435">
                  <c:v>-14.152568670923131</c:v>
                </c:pt>
                <c:pt idx="436">
                  <c:v>-14.154705598447094</c:v>
                </c:pt>
                <c:pt idx="437">
                  <c:v>-14.156344249468219</c:v>
                </c:pt>
                <c:pt idx="438">
                  <c:v>-14.157497714371175</c:v>
                </c:pt>
                <c:pt idx="439">
                  <c:v>-14.158178758157334</c:v>
                </c:pt>
                <c:pt idx="440">
                  <c:v>-14.158399829143832</c:v>
                </c:pt>
                <c:pt idx="441">
                  <c:v>-14.15817306740874</c:v>
                </c:pt>
                <c:pt idx="442">
                  <c:v>-14.157510312988791</c:v>
                </c:pt>
                <c:pt idx="443">
                  <c:v>-14.156423113838514</c:v>
                </c:pt>
                <c:pt idx="444">
                  <c:v>-14.154922733558095</c:v>
                </c:pt>
                <c:pt idx="445">
                  <c:v>-14.153020158897533</c:v>
                </c:pt>
                <c:pt idx="446">
                  <c:v>-14.150726107043226</c:v>
                </c:pt>
                <c:pt idx="447">
                  <c:v>-14.148051032695207</c:v>
                </c:pt>
                <c:pt idx="448">
                  <c:v>-14.145005134940618</c:v>
                </c:pt>
                <c:pt idx="449">
                  <c:v>-14.141598363930086</c:v>
                </c:pt>
                <c:pt idx="450">
                  <c:v>-14.137840427363415</c:v>
                </c:pt>
                <c:pt idx="451">
                  <c:v>-14.133740796789851</c:v>
                </c:pt>
                <c:pt idx="452">
                  <c:v>-14.129308713730097</c:v>
                </c:pt>
                <c:pt idx="453">
                  <c:v>-14.124553195623378</c:v>
                </c:pt>
                <c:pt idx="454">
                  <c:v>-14.11948304160768</c:v>
                </c:pt>
                <c:pt idx="455">
                  <c:v>-14.114106838135825</c:v>
                </c:pt>
                <c:pt idx="456">
                  <c:v>-14.108432964434087</c:v>
                </c:pt>
                <c:pt idx="457">
                  <c:v>-14.102469597807811</c:v>
                </c:pt>
                <c:pt idx="458">
                  <c:v>-14.096224718797941</c:v>
                </c:pt>
                <c:pt idx="459">
                  <c:v>-14.089706116194179</c:v>
                </c:pt>
                <c:pt idx="460">
                  <c:v>-14.082921391908485</c:v>
                </c:pt>
                <c:pt idx="461">
                  <c:v>-14.075877965713232</c:v>
                </c:pt>
                <c:pt idx="462">
                  <c:v>-14.068583079848196</c:v>
                </c:pt>
                <c:pt idx="463">
                  <c:v>-14.061043803500411</c:v>
                </c:pt>
                <c:pt idx="464">
                  <c:v>-14.053267037160538</c:v>
                </c:pt>
                <c:pt idx="465">
                  <c:v>-14.045259516859971</c:v>
                </c:pt>
                <c:pt idx="466">
                  <c:v>-14.037027818291222</c:v>
                </c:pt>
                <c:pt idx="467">
                  <c:v>-14.02857836081651</c:v>
                </c:pt>
                <c:pt idx="468">
                  <c:v>-14.01991741136635</c:v>
                </c:pt>
                <c:pt idx="469">
                  <c:v>-14.011051088233046</c:v>
                </c:pt>
                <c:pt idx="470">
                  <c:v>-14.001985364760742</c:v>
                </c:pt>
                <c:pt idx="471">
                  <c:v>-13.992726072935795</c:v>
                </c:pt>
                <c:pt idx="472">
                  <c:v>-13.983278906880741</c:v>
                </c:pt>
                <c:pt idx="473">
                  <c:v>-13.9736494262539</c:v>
                </c:pt>
                <c:pt idx="474">
                  <c:v>-13.963843059557831</c:v>
                </c:pt>
                <c:pt idx="475">
                  <c:v>-13.953865107359661</c:v>
                </c:pt>
                <c:pt idx="476">
                  <c:v>-13.943720745425111</c:v>
                </c:pt>
                <c:pt idx="477">
                  <c:v>-13.933415027769087</c:v>
                </c:pt>
                <c:pt idx="478">
                  <c:v>-13.922952889625719</c:v>
                </c:pt>
                <c:pt idx="479">
                  <c:v>-13.912339150339051</c:v>
                </c:pt>
                <c:pt idx="480">
                  <c:v>-13.901578516178375</c:v>
                </c:pt>
                <c:pt idx="481">
                  <c:v>-13.890675583078149</c:v>
                </c:pt>
                <c:pt idx="482">
                  <c:v>-13.879634839307215</c:v>
                </c:pt>
                <c:pt idx="483">
                  <c:v>-13.868460668067172</c:v>
                </c:pt>
                <c:pt idx="484">
                  <c:v>-13.857157350022874</c:v>
                </c:pt>
                <c:pt idx="485">
                  <c:v>-13.845729065767529</c:v>
                </c:pt>
                <c:pt idx="486">
                  <c:v>-13.834179898222942</c:v>
                </c:pt>
                <c:pt idx="487">
                  <c:v>-13.822513834977968</c:v>
                </c:pt>
                <c:pt idx="488">
                  <c:v>-13.810734770566171</c:v>
                </c:pt>
                <c:pt idx="489">
                  <c:v>-13.798846508684903</c:v>
                </c:pt>
                <c:pt idx="490">
                  <c:v>-13.786852764356695</c:v>
                </c:pt>
                <c:pt idx="491">
                  <c:v>-13.774757166036011</c:v>
                </c:pt>
                <c:pt idx="492">
                  <c:v>-13.762563257660872</c:v>
                </c:pt>
                <c:pt idx="493">
                  <c:v>-13.750274500653035</c:v>
                </c:pt>
                <c:pt idx="494">
                  <c:v>-13.737894275866381</c:v>
                </c:pt>
                <c:pt idx="495">
                  <c:v>-13.725425885486345</c:v>
                </c:pt>
                <c:pt idx="496">
                  <c:v>-13.712872554880363</c:v>
                </c:pt>
                <c:pt idx="497">
                  <c:v>-13.700237434402396</c:v>
                </c:pt>
                <c:pt idx="498">
                  <c:v>-13.687523601150758</c:v>
                </c:pt>
                <c:pt idx="499">
                  <c:v>-13.674734060682681</c:v>
                </c:pt>
                <c:pt idx="500">
                  <c:v>-13.661871748684973</c:v>
                </c:pt>
                <c:pt idx="501">
                  <c:v>-13.648939532603208</c:v>
                </c:pt>
                <c:pt idx="502">
                  <c:v>-13.635940213229702</c:v>
                </c:pt>
                <c:pt idx="503">
                  <c:v>-13.62287652625244</c:v>
                </c:pt>
                <c:pt idx="504">
                  <c:v>-13.609751143764669</c:v>
                </c:pt>
                <c:pt idx="505">
                  <c:v>-13.59656667573762</c:v>
                </c:pt>
                <c:pt idx="506">
                  <c:v>-13.583325671456038</c:v>
                </c:pt>
                <c:pt idx="507">
                  <c:v>-13.570030620918857</c:v>
                </c:pt>
                <c:pt idx="508">
                  <c:v>-13.556683956204836</c:v>
                </c:pt>
                <c:pt idx="509">
                  <c:v>-13.543288052804485</c:v>
                </c:pt>
                <c:pt idx="510">
                  <c:v>-13.529845230919619</c:v>
                </c:pt>
                <c:pt idx="511">
                  <c:v>-13.516357756730599</c:v>
                </c:pt>
                <c:pt idx="512">
                  <c:v>-13.502827843633042</c:v>
                </c:pt>
                <c:pt idx="513">
                  <c:v>-13.489257653443758</c:v>
                </c:pt>
                <c:pt idx="514">
                  <c:v>-13.475649297577746</c:v>
                </c:pt>
                <c:pt idx="515">
                  <c:v>-13.462004838196236</c:v>
                </c:pt>
                <c:pt idx="516">
                  <c:v>-13.448326289327213</c:v>
                </c:pt>
                <c:pt idx="517">
                  <c:v>-13.434615617958372</c:v>
                </c:pt>
                <c:pt idx="518">
                  <c:v>-13.420874745104072</c:v>
                </c:pt>
                <c:pt idx="519">
                  <c:v>-13.407105546846395</c:v>
                </c:pt>
                <c:pt idx="520">
                  <c:v>-13.393309855351049</c:v>
                </c:pt>
                <c:pt idx="521">
                  <c:v>-13.379489459858917</c:v>
                </c:pt>
                <c:pt idx="522">
                  <c:v>-13.365646107654044</c:v>
                </c:pt>
                <c:pt idx="523">
                  <c:v>-13.35178150500812</c:v>
                </c:pt>
                <c:pt idx="524">
                  <c:v>-13.337897318103046</c:v>
                </c:pt>
                <c:pt idx="525">
                  <c:v>-13.323995173930342</c:v>
                </c:pt>
                <c:pt idx="526">
                  <c:v>-13.310076661170712</c:v>
                </c:pt>
                <c:pt idx="527">
                  <c:v>-13.296143331051638</c:v>
                </c:pt>
                <c:pt idx="528">
                  <c:v>-13.282196698184833</c:v>
                </c:pt>
                <c:pt idx="529">
                  <c:v>-13.268238241384353</c:v>
                </c:pt>
                <c:pt idx="530">
                  <c:v>-13.254269404465049</c:v>
                </c:pt>
                <c:pt idx="531">
                  <c:v>-13.240291597022321</c:v>
                </c:pt>
                <c:pt idx="532">
                  <c:v>-13.226306195193473</c:v>
                </c:pt>
                <c:pt idx="533">
                  <c:v>-13.212314542401373</c:v>
                </c:pt>
                <c:pt idx="534">
                  <c:v>-13.198317950080678</c:v>
                </c:pt>
                <c:pt idx="535">
                  <c:v>-13.184317698387161</c:v>
                </c:pt>
                <c:pt idx="536">
                  <c:v>-13.170315036889974</c:v>
                </c:pt>
                <c:pt idx="537">
                  <c:v>-13.156311185248995</c:v>
                </c:pt>
                <c:pt idx="538">
                  <c:v>-13.14230733387484</c:v>
                </c:pt>
                <c:pt idx="539">
                  <c:v>-13.128304644575138</c:v>
                </c:pt>
                <c:pt idx="540">
                  <c:v>-13.114304251184791</c:v>
                </c:pt>
                <c:pt idx="541">
                  <c:v>-13.100307260182149</c:v>
                </c:pt>
                <c:pt idx="542">
                  <c:v>-13.086314751290871</c:v>
                </c:pt>
                <c:pt idx="543">
                  <c:v>-13.072327778068086</c:v>
                </c:pt>
                <c:pt idx="544">
                  <c:v>-13.058347368478479</c:v>
                </c:pt>
                <c:pt idx="545">
                  <c:v>-13.044374525456362</c:v>
                </c:pt>
                <c:pt idx="546">
                  <c:v>-13.03041022745353</c:v>
                </c:pt>
                <c:pt idx="547">
                  <c:v>-13.016455428975604</c:v>
                </c:pt>
                <c:pt idx="548">
                  <c:v>-13.002511061105764</c:v>
                </c:pt>
                <c:pt idx="549">
                  <c:v>-12.988578032016392</c:v>
                </c:pt>
                <c:pt idx="550">
                  <c:v>-12.974657227469606</c:v>
                </c:pt>
                <c:pt idx="551">
                  <c:v>-12.960749511305892</c:v>
                </c:pt>
                <c:pt idx="552">
                  <c:v>-12.946855725922092</c:v>
                </c:pt>
                <c:pt idx="553">
                  <c:v>-12.932976692738151</c:v>
                </c:pt>
                <c:pt idx="554">
                  <c:v>-12.919113212653912</c:v>
                </c:pt>
                <c:pt idx="555">
                  <c:v>-12.90526606649513</c:v>
                </c:pt>
                <c:pt idx="556">
                  <c:v>-12.891436015449557</c:v>
                </c:pt>
                <c:pt idx="557">
                  <c:v>-12.87762380149357</c:v>
                </c:pt>
                <c:pt idx="558">
                  <c:v>-12.863830147808699</c:v>
                </c:pt>
                <c:pt idx="559">
                  <c:v>-12.850055759189331</c:v>
                </c:pt>
                <c:pt idx="560">
                  <c:v>-12.836301322440903</c:v>
                </c:pt>
                <c:pt idx="561">
                  <c:v>-12.822567506769616</c:v>
                </c:pt>
                <c:pt idx="562">
                  <c:v>-12.808854964163032</c:v>
                </c:pt>
                <c:pt idx="563">
                  <c:v>-12.795164329762628</c:v>
                </c:pt>
                <c:pt idx="564">
                  <c:v>-12.781496222227815</c:v>
                </c:pt>
                <c:pt idx="565">
                  <c:v>-12.767851244091929</c:v>
                </c:pt>
                <c:pt idx="566">
                  <c:v>-12.754229982110473</c:v>
                </c:pt>
                <c:pt idx="567">
                  <c:v>-12.740633007601417</c:v>
                </c:pt>
                <c:pt idx="568">
                  <c:v>-12.72706087677841</c:v>
                </c:pt>
                <c:pt idx="569">
                  <c:v>-12.713514131076096</c:v>
                </c:pt>
                <c:pt idx="570">
                  <c:v>-12.699993297468751</c:v>
                </c:pt>
                <c:pt idx="571">
                  <c:v>-12.686498888781841</c:v>
                </c:pt>
                <c:pt idx="572">
                  <c:v>-12.673031403996333</c:v>
                </c:pt>
                <c:pt idx="573">
                  <c:v>-12.659591328547009</c:v>
                </c:pt>
                <c:pt idx="574">
                  <c:v>-12.646179134613732</c:v>
                </c:pt>
                <c:pt idx="575">
                  <c:v>-12.632795281406487</c:v>
                </c:pt>
                <c:pt idx="576">
                  <c:v>-12.619440215444513</c:v>
                </c:pt>
                <c:pt idx="577">
                  <c:v>-12.606114370828806</c:v>
                </c:pt>
                <c:pt idx="578">
                  <c:v>-12.592818169509201</c:v>
                </c:pt>
                <c:pt idx="579">
                  <c:v>-12.579552021545396</c:v>
                </c:pt>
                <c:pt idx="580">
                  <c:v>-12.566316325362322</c:v>
                </c:pt>
                <c:pt idx="581">
                  <c:v>-12.553111468000225</c:v>
                </c:pt>
                <c:pt idx="582">
                  <c:v>-12.539937825358834</c:v>
                </c:pt>
                <c:pt idx="583">
                  <c:v>-12.526795762436933</c:v>
                </c:pt>
                <c:pt idx="584">
                  <c:v>-12.513685633566297</c:v>
                </c:pt>
                <c:pt idx="585">
                  <c:v>-12.500607782640515</c:v>
                </c:pt>
                <c:pt idx="586">
                  <c:v>-12.48756254333955</c:v>
                </c:pt>
                <c:pt idx="587">
                  <c:v>-12.474550239348503</c:v>
                </c:pt>
                <c:pt idx="588">
                  <c:v>-12.461571184572591</c:v>
                </c:pt>
                <c:pt idx="589">
                  <c:v>-12.448625683346933</c:v>
                </c:pt>
                <c:pt idx="590">
                  <c:v>-12.435714030642117</c:v>
                </c:pt>
                <c:pt idx="591">
                  <c:v>-12.422836512265377</c:v>
                </c:pt>
                <c:pt idx="592">
                  <c:v>-12.409993405057349</c:v>
                </c:pt>
                <c:pt idx="593">
                  <c:v>-12.397184977084606</c:v>
                </c:pt>
                <c:pt idx="594">
                  <c:v>-12.384411487828316</c:v>
                </c:pt>
                <c:pt idx="595">
                  <c:v>-12.371673188368788</c:v>
                </c:pt>
                <c:pt idx="596">
                  <c:v>-12.358970321566005</c:v>
                </c:pt>
                <c:pt idx="597">
                  <c:v>-12.34630312223635</c:v>
                </c:pt>
                <c:pt idx="598">
                  <c:v>-12.333671817325779</c:v>
                </c:pt>
                <c:pt idx="599">
                  <c:v>-12.321076626079076</c:v>
                </c:pt>
                <c:pt idx="600">
                  <c:v>-12.308517760205575</c:v>
                </c:pt>
                <c:pt idx="601">
                  <c:v>-12.295995424041791</c:v>
                </c:pt>
                <c:pt idx="602">
                  <c:v>-12.283509814709845</c:v>
                </c:pt>
                <c:pt idx="603">
                  <c:v>-12.271061122273181</c:v>
                </c:pt>
                <c:pt idx="604">
                  <c:v>-12.25864952988897</c:v>
                </c:pt>
                <c:pt idx="605">
                  <c:v>-12.246275213957091</c:v>
                </c:pt>
                <c:pt idx="606">
                  <c:v>-11.677399526244074</c:v>
                </c:pt>
                <c:pt idx="607">
                  <c:v>-11.207387008872587</c:v>
                </c:pt>
                <c:pt idx="608">
                  <c:v>-10.829058384612807</c:v>
                </c:pt>
                <c:pt idx="609">
                  <c:v>-10.530976053497312</c:v>
                </c:pt>
                <c:pt idx="610">
                  <c:v>-10.301568253264946</c:v>
                </c:pt>
                <c:pt idx="611">
                  <c:v>-10.130471783340766</c:v>
                </c:pt>
                <c:pt idx="612">
                  <c:v>-10.008835031073716</c:v>
                </c:pt>
                <c:pt idx="613">
                  <c:v>-9.9292461814336548</c:v>
                </c:pt>
                <c:pt idx="614">
                  <c:v>-9.88554527748488</c:v>
                </c:pt>
                <c:pt idx="615">
                  <c:v>-9.8726193997883058</c:v>
                </c:pt>
                <c:pt idx="616">
                  <c:v>-9.8862163277657658</c:v>
                </c:pt>
                <c:pt idx="617">
                  <c:v>-9.9227864607417757</c:v>
                </c:pt>
                <c:pt idx="618">
                  <c:v>-9.9965945534805485</c:v>
                </c:pt>
                <c:pt idx="619">
                  <c:v>-10.071441786870764</c:v>
                </c:pt>
                <c:pt idx="620">
                  <c:v>-10.147278214871477</c:v>
                </c:pt>
                <c:pt idx="621">
                  <c:v>-10.22405709319932</c:v>
                </c:pt>
                <c:pt idx="622">
                  <c:v>-10.301734610888445</c:v>
                </c:pt>
                <c:pt idx="623">
                  <c:v>-10.380269650109142</c:v>
                </c:pt>
                <c:pt idx="624">
                  <c:v>-10.459623570601991</c:v>
                </c:pt>
                <c:pt idx="625">
                  <c:v>-10.539760015644902</c:v>
                </c:pt>
                <c:pt idx="626">
                  <c:v>-10.62064473692638</c:v>
                </c:pt>
                <c:pt idx="627">
                  <c:v>-10.702245436081057</c:v>
                </c:pt>
                <c:pt idx="628">
                  <c:v>-10.784531620960252</c:v>
                </c:pt>
                <c:pt idx="629">
                  <c:v>-10.867474474973903</c:v>
                </c:pt>
                <c:pt idx="630">
                  <c:v>-10.951046738065514</c:v>
                </c:pt>
                <c:pt idx="631">
                  <c:v>-11.035222598068401</c:v>
                </c:pt>
                <c:pt idx="632">
                  <c:v>-11.11997759135113</c:v>
                </c:pt>
                <c:pt idx="633">
                  <c:v>-11.205288511797505</c:v>
                </c:pt>
                <c:pt idx="634">
                  <c:v>-11.291133327281926</c:v>
                </c:pt>
                <c:pt idx="635">
                  <c:v>-11.377491102899995</c:v>
                </c:pt>
                <c:pt idx="636">
                  <c:v>-11.464341930302282</c:v>
                </c:pt>
                <c:pt idx="637">
                  <c:v>-11.551666862551599</c:v>
                </c:pt>
                <c:pt idx="638">
                  <c:v>-11.63944785399093</c:v>
                </c:pt>
                <c:pt idx="639">
                  <c:v>-11.727667704662281</c:v>
                </c:pt>
                <c:pt idx="640">
                  <c:v>-11.816310008869721</c:v>
                </c:pt>
                <c:pt idx="641">
                  <c:v>-11.905359107519217</c:v>
                </c:pt>
                <c:pt idx="642">
                  <c:v>-11.994800043908015</c:v>
                </c:pt>
                <c:pt idx="643">
                  <c:v>-12.084618522668961</c:v>
                </c:pt>
                <c:pt idx="644">
                  <c:v>-12.174800871603651</c:v>
                </c:pt>
                <c:pt idx="645">
                  <c:v>-12.265334006165972</c:v>
                </c:pt>
                <c:pt idx="646">
                  <c:v>-12.356205396378698</c:v>
                </c:pt>
                <c:pt idx="647">
                  <c:v>-12.447403035988543</c:v>
                </c:pt>
                <c:pt idx="648">
                  <c:v>-12.538915413680485</c:v>
                </c:pt>
                <c:pt idx="649">
                  <c:v>-12.630731486192133</c:v>
                </c:pt>
                <c:pt idx="650">
                  <c:v>-12.722840653179333</c:v>
                </c:pt>
                <c:pt idx="651">
                  <c:v>-12.815232733701379</c:v>
                </c:pt>
                <c:pt idx="652">
                  <c:v>-12.907897944202858</c:v>
                </c:pt>
                <c:pt idx="653">
                  <c:v>-13.000826877880939</c:v>
                </c:pt>
                <c:pt idx="654">
                  <c:v>-13.094010485337265</c:v>
                </c:pt>
                <c:pt idx="655">
                  <c:v>-13.187440056420144</c:v>
                </c:pt>
                <c:pt idx="656">
                  <c:v>-13.28110720317224</c:v>
                </c:pt>
                <c:pt idx="657">
                  <c:v>-13.375003843805956</c:v>
                </c:pt>
                <c:pt idx="658">
                  <c:v>-13.469122187633417</c:v>
                </c:pt>
                <c:pt idx="659">
                  <c:v>-13.563454720885375</c:v>
                </c:pt>
                <c:pt idx="660">
                  <c:v>-13.657994193358803</c:v>
                </c:pt>
                <c:pt idx="661">
                  <c:v>-13.752733605835886</c:v>
                </c:pt>
                <c:pt idx="662">
                  <c:v>-13.84766619822318</c:v>
                </c:pt>
                <c:pt idx="663">
                  <c:v>-13.942785438363103</c:v>
                </c:pt>
                <c:pt idx="664">
                  <c:v>-14.038085011473839</c:v>
                </c:pt>
                <c:pt idx="665">
                  <c:v>-14.133558810175941</c:v>
                </c:pt>
                <c:pt idx="666">
                  <c:v>-14.229200925068568</c:v>
                </c:pt>
                <c:pt idx="667">
                  <c:v>-14.325005635820503</c:v>
                </c:pt>
              </c:numCache>
            </c:numRef>
          </c:yVal>
          <c:smooth val="0"/>
          <c:extLst>
            <c:ext xmlns:c16="http://schemas.microsoft.com/office/drawing/2014/chart" uri="{C3380CC4-5D6E-409C-BE32-E72D297353CC}">
              <c16:uniqueId val="{00000003-E70F-AA40-BDA2-AC79FB23BB36}"/>
            </c:ext>
          </c:extLst>
        </c:ser>
        <c:dLbls>
          <c:showLegendKey val="0"/>
          <c:showVal val="0"/>
          <c:showCatName val="0"/>
          <c:showSerName val="0"/>
          <c:showPercent val="0"/>
          <c:showBubbleSize val="0"/>
        </c:dLbls>
        <c:axId val="183510528"/>
        <c:axId val="183512064"/>
      </c:scatterChart>
      <c:valAx>
        <c:axId val="183506432"/>
        <c:scaling>
          <c:logBase val="10"/>
          <c:orientation val="minMax"/>
          <c:max val="10000000"/>
          <c:min val="1000"/>
        </c:scaling>
        <c:delete val="0"/>
        <c:axPos val="b"/>
        <c:title>
          <c:tx>
            <c:rich>
              <a:bodyPr/>
              <a:lstStyle/>
              <a:p>
                <a:pPr>
                  <a:defRPr sz="800" b="1" i="0" u="none" strike="noStrike" baseline="0">
                    <a:solidFill>
                      <a:srgbClr val="000000"/>
                    </a:solidFill>
                    <a:latin typeface="Arial"/>
                    <a:ea typeface="Arial"/>
                    <a:cs typeface="Arial"/>
                  </a:defRPr>
                </a:pPr>
                <a:r>
                  <a:rPr lang="en-US"/>
                  <a:t>Frequency (Hz)</a:t>
                </a:r>
              </a:p>
            </c:rich>
          </c:tx>
          <c:layout>
            <c:manualLayout>
              <c:xMode val="edge"/>
              <c:yMode val="edge"/>
              <c:x val="0.438566911218015"/>
              <c:y val="0.88189196822838745"/>
            </c:manualLayout>
          </c:layout>
          <c:overlay val="0"/>
          <c:spPr>
            <a:noFill/>
            <a:ln w="25400">
              <a:noFill/>
            </a:ln>
          </c:spPr>
        </c:title>
        <c:numFmt formatCode="General" sourceLinked="1"/>
        <c:majorTickMark val="out"/>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3508352"/>
        <c:crossesAt val="-80"/>
        <c:crossBetween val="midCat"/>
      </c:valAx>
      <c:valAx>
        <c:axId val="183508352"/>
        <c:scaling>
          <c:orientation val="minMax"/>
          <c:min val="-60"/>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en-US"/>
                  <a:t>Gain (db)</a:t>
                </a:r>
              </a:p>
            </c:rich>
          </c:tx>
          <c:layout>
            <c:manualLayout>
              <c:xMode val="edge"/>
              <c:yMode val="edge"/>
              <c:x val="2.9010238907849841E-2"/>
              <c:y val="0.440945984114190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3506432"/>
        <c:crosses val="autoZero"/>
        <c:crossBetween val="midCat"/>
      </c:valAx>
      <c:valAx>
        <c:axId val="183510528"/>
        <c:scaling>
          <c:logBase val="10"/>
          <c:orientation val="minMax"/>
        </c:scaling>
        <c:delete val="1"/>
        <c:axPos val="b"/>
        <c:numFmt formatCode="General" sourceLinked="1"/>
        <c:majorTickMark val="out"/>
        <c:minorTickMark val="none"/>
        <c:tickLblPos val="none"/>
        <c:crossAx val="183512064"/>
        <c:crosses val="autoZero"/>
        <c:crossBetween val="midCat"/>
      </c:valAx>
      <c:valAx>
        <c:axId val="183512064"/>
        <c:scaling>
          <c:orientation val="minMax"/>
        </c:scaling>
        <c:delete val="0"/>
        <c:axPos val="r"/>
        <c:title>
          <c:tx>
            <c:rich>
              <a:bodyPr/>
              <a:lstStyle/>
              <a:p>
                <a:pPr>
                  <a:defRPr sz="800" b="1" i="0" u="none" strike="noStrike" baseline="0">
                    <a:solidFill>
                      <a:srgbClr val="000000"/>
                    </a:solidFill>
                    <a:latin typeface="Arial"/>
                    <a:ea typeface="Arial"/>
                    <a:cs typeface="Arial"/>
                  </a:defRPr>
                </a:pPr>
                <a:r>
                  <a:rPr lang="en-US"/>
                  <a:t>Phase Margin (Deg)</a:t>
                </a:r>
              </a:p>
            </c:rich>
          </c:tx>
          <c:layout>
            <c:manualLayout>
              <c:xMode val="edge"/>
              <c:yMode val="edge"/>
              <c:x val="0.95733860059302123"/>
              <c:y val="0.36483022299377932"/>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3510528"/>
        <c:crosses val="max"/>
        <c:crossBetween val="midCat"/>
      </c:valAx>
      <c:spPr>
        <a:noFill/>
        <a:ln w="12700">
          <a:solidFill>
            <a:srgbClr val="808080"/>
          </a:solidFill>
          <a:prstDash val="solid"/>
        </a:ln>
      </c:spPr>
    </c:plotArea>
    <c:legend>
      <c:legendPos val="t"/>
      <c:layout>
        <c:manualLayout>
          <c:xMode val="edge"/>
          <c:yMode val="edge"/>
          <c:x val="0.78157068250427764"/>
          <c:y val="1.3123359580052583E-2"/>
          <c:w val="0.20307185151344131"/>
          <c:h val="0.14698190285269724"/>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en-US"/>
              <a:t>FeedBack To Comp</a:t>
            </a:r>
          </a:p>
        </c:rich>
      </c:tx>
      <c:layout>
        <c:manualLayout>
          <c:xMode val="edge"/>
          <c:yMode val="edge"/>
          <c:x val="0.40108892921960942"/>
          <c:y val="3.3854166666666671E-2"/>
        </c:manualLayout>
      </c:layout>
      <c:overlay val="0"/>
      <c:spPr>
        <a:noFill/>
        <a:ln w="25400">
          <a:noFill/>
        </a:ln>
      </c:spPr>
    </c:title>
    <c:autoTitleDeleted val="0"/>
    <c:plotArea>
      <c:layout>
        <c:manualLayout>
          <c:layoutTarget val="inner"/>
          <c:xMode val="edge"/>
          <c:yMode val="edge"/>
          <c:x val="0.11615245009074388"/>
          <c:y val="0.20833386315374539"/>
          <c:w val="0.79128856624319865"/>
          <c:h val="0.60416820314586173"/>
        </c:manualLayout>
      </c:layout>
      <c:scatterChart>
        <c:scatterStyle val="smoothMarker"/>
        <c:varyColors val="0"/>
        <c:ser>
          <c:idx val="2"/>
          <c:order val="0"/>
          <c:tx>
            <c:v>Actual gain</c:v>
          </c:tx>
          <c:spPr>
            <a:ln w="38100">
              <a:solidFill>
                <a:srgbClr val="FF0000"/>
              </a:solidFill>
              <a:prstDash val="solid"/>
            </a:ln>
          </c:spPr>
          <c:marker>
            <c:symbol val="none"/>
          </c:marker>
          <c:xVal>
            <c:numRef>
              <c:f>'Bode Plots Calculations'!$A$9:$A$676</c:f>
              <c:numCache>
                <c:formatCode>General</c:formatCode>
                <c:ptCount val="668"/>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1500</c:v>
                </c:pt>
                <c:pt idx="29">
                  <c:v>2000</c:v>
                </c:pt>
                <c:pt idx="30">
                  <c:v>2500</c:v>
                </c:pt>
                <c:pt idx="31">
                  <c:v>3000</c:v>
                </c:pt>
                <c:pt idx="32">
                  <c:v>3500</c:v>
                </c:pt>
                <c:pt idx="33">
                  <c:v>4000</c:v>
                </c:pt>
                <c:pt idx="34">
                  <c:v>4500</c:v>
                </c:pt>
                <c:pt idx="35">
                  <c:v>5000</c:v>
                </c:pt>
                <c:pt idx="36">
                  <c:v>5500</c:v>
                </c:pt>
                <c:pt idx="37">
                  <c:v>6000</c:v>
                </c:pt>
                <c:pt idx="38">
                  <c:v>6500</c:v>
                </c:pt>
                <c:pt idx="39">
                  <c:v>7000</c:v>
                </c:pt>
                <c:pt idx="40">
                  <c:v>7500</c:v>
                </c:pt>
                <c:pt idx="41">
                  <c:v>8000</c:v>
                </c:pt>
                <c:pt idx="42">
                  <c:v>8500</c:v>
                </c:pt>
                <c:pt idx="43">
                  <c:v>9000</c:v>
                </c:pt>
                <c:pt idx="44">
                  <c:v>9500</c:v>
                </c:pt>
                <c:pt idx="45">
                  <c:v>10000</c:v>
                </c:pt>
                <c:pt idx="46">
                  <c:v>10500</c:v>
                </c:pt>
                <c:pt idx="47">
                  <c:v>11000</c:v>
                </c:pt>
                <c:pt idx="48">
                  <c:v>11500</c:v>
                </c:pt>
                <c:pt idx="49">
                  <c:v>12000</c:v>
                </c:pt>
                <c:pt idx="50">
                  <c:v>12500</c:v>
                </c:pt>
                <c:pt idx="51">
                  <c:v>13000</c:v>
                </c:pt>
                <c:pt idx="52">
                  <c:v>13500</c:v>
                </c:pt>
                <c:pt idx="53">
                  <c:v>14000</c:v>
                </c:pt>
                <c:pt idx="54">
                  <c:v>14500</c:v>
                </c:pt>
                <c:pt idx="55">
                  <c:v>15000</c:v>
                </c:pt>
                <c:pt idx="56">
                  <c:v>15500</c:v>
                </c:pt>
                <c:pt idx="57">
                  <c:v>16000</c:v>
                </c:pt>
                <c:pt idx="58">
                  <c:v>16500</c:v>
                </c:pt>
                <c:pt idx="59">
                  <c:v>17000</c:v>
                </c:pt>
                <c:pt idx="60">
                  <c:v>17500</c:v>
                </c:pt>
                <c:pt idx="61">
                  <c:v>18000</c:v>
                </c:pt>
                <c:pt idx="62">
                  <c:v>18500</c:v>
                </c:pt>
                <c:pt idx="63">
                  <c:v>19000</c:v>
                </c:pt>
                <c:pt idx="64">
                  <c:v>19500</c:v>
                </c:pt>
                <c:pt idx="65">
                  <c:v>20000</c:v>
                </c:pt>
                <c:pt idx="66">
                  <c:v>20500</c:v>
                </c:pt>
                <c:pt idx="67">
                  <c:v>21000</c:v>
                </c:pt>
                <c:pt idx="68">
                  <c:v>21500</c:v>
                </c:pt>
                <c:pt idx="69">
                  <c:v>22000</c:v>
                </c:pt>
                <c:pt idx="70">
                  <c:v>22500</c:v>
                </c:pt>
                <c:pt idx="71">
                  <c:v>23000</c:v>
                </c:pt>
                <c:pt idx="72">
                  <c:v>23500</c:v>
                </c:pt>
                <c:pt idx="73">
                  <c:v>24000</c:v>
                </c:pt>
                <c:pt idx="74">
                  <c:v>24500</c:v>
                </c:pt>
                <c:pt idx="75">
                  <c:v>25000</c:v>
                </c:pt>
                <c:pt idx="76">
                  <c:v>25500</c:v>
                </c:pt>
                <c:pt idx="77">
                  <c:v>26000</c:v>
                </c:pt>
                <c:pt idx="78">
                  <c:v>26500</c:v>
                </c:pt>
                <c:pt idx="79">
                  <c:v>27000</c:v>
                </c:pt>
                <c:pt idx="80">
                  <c:v>27500</c:v>
                </c:pt>
                <c:pt idx="81">
                  <c:v>28000</c:v>
                </c:pt>
                <c:pt idx="82">
                  <c:v>28500</c:v>
                </c:pt>
                <c:pt idx="83">
                  <c:v>29000</c:v>
                </c:pt>
                <c:pt idx="84">
                  <c:v>29500</c:v>
                </c:pt>
                <c:pt idx="85">
                  <c:v>30000</c:v>
                </c:pt>
                <c:pt idx="86">
                  <c:v>30500</c:v>
                </c:pt>
                <c:pt idx="87">
                  <c:v>31000</c:v>
                </c:pt>
                <c:pt idx="88">
                  <c:v>31500</c:v>
                </c:pt>
                <c:pt idx="89">
                  <c:v>32000</c:v>
                </c:pt>
                <c:pt idx="90">
                  <c:v>32500</c:v>
                </c:pt>
                <c:pt idx="91">
                  <c:v>33000</c:v>
                </c:pt>
                <c:pt idx="92">
                  <c:v>33500</c:v>
                </c:pt>
                <c:pt idx="93">
                  <c:v>34000</c:v>
                </c:pt>
                <c:pt idx="94">
                  <c:v>34500</c:v>
                </c:pt>
                <c:pt idx="95">
                  <c:v>35000</c:v>
                </c:pt>
                <c:pt idx="96">
                  <c:v>35500</c:v>
                </c:pt>
                <c:pt idx="97">
                  <c:v>36000</c:v>
                </c:pt>
                <c:pt idx="98">
                  <c:v>36500</c:v>
                </c:pt>
                <c:pt idx="99">
                  <c:v>37000</c:v>
                </c:pt>
                <c:pt idx="100">
                  <c:v>37500</c:v>
                </c:pt>
                <c:pt idx="101">
                  <c:v>38000</c:v>
                </c:pt>
                <c:pt idx="102">
                  <c:v>38500</c:v>
                </c:pt>
                <c:pt idx="103">
                  <c:v>39000</c:v>
                </c:pt>
                <c:pt idx="104">
                  <c:v>39500</c:v>
                </c:pt>
                <c:pt idx="105">
                  <c:v>40000</c:v>
                </c:pt>
                <c:pt idx="106">
                  <c:v>40500</c:v>
                </c:pt>
                <c:pt idx="107">
                  <c:v>41000</c:v>
                </c:pt>
                <c:pt idx="108">
                  <c:v>41500</c:v>
                </c:pt>
                <c:pt idx="109">
                  <c:v>42000</c:v>
                </c:pt>
                <c:pt idx="110">
                  <c:v>42500</c:v>
                </c:pt>
                <c:pt idx="111">
                  <c:v>43000</c:v>
                </c:pt>
                <c:pt idx="112">
                  <c:v>43500</c:v>
                </c:pt>
                <c:pt idx="113">
                  <c:v>44000</c:v>
                </c:pt>
                <c:pt idx="114">
                  <c:v>44500</c:v>
                </c:pt>
                <c:pt idx="115">
                  <c:v>45000</c:v>
                </c:pt>
                <c:pt idx="116">
                  <c:v>45500</c:v>
                </c:pt>
                <c:pt idx="117">
                  <c:v>46000</c:v>
                </c:pt>
                <c:pt idx="118">
                  <c:v>46500</c:v>
                </c:pt>
                <c:pt idx="119">
                  <c:v>47000</c:v>
                </c:pt>
                <c:pt idx="120">
                  <c:v>47500</c:v>
                </c:pt>
                <c:pt idx="121">
                  <c:v>48000</c:v>
                </c:pt>
                <c:pt idx="122">
                  <c:v>48500</c:v>
                </c:pt>
                <c:pt idx="123">
                  <c:v>49000</c:v>
                </c:pt>
                <c:pt idx="124">
                  <c:v>49500</c:v>
                </c:pt>
                <c:pt idx="125">
                  <c:v>50000</c:v>
                </c:pt>
                <c:pt idx="126">
                  <c:v>50500</c:v>
                </c:pt>
                <c:pt idx="127">
                  <c:v>51000</c:v>
                </c:pt>
                <c:pt idx="128">
                  <c:v>51500</c:v>
                </c:pt>
                <c:pt idx="129">
                  <c:v>52000</c:v>
                </c:pt>
                <c:pt idx="130">
                  <c:v>52500</c:v>
                </c:pt>
                <c:pt idx="131">
                  <c:v>53000</c:v>
                </c:pt>
                <c:pt idx="132">
                  <c:v>53500</c:v>
                </c:pt>
                <c:pt idx="133">
                  <c:v>54000</c:v>
                </c:pt>
                <c:pt idx="134">
                  <c:v>54500</c:v>
                </c:pt>
                <c:pt idx="135">
                  <c:v>55000</c:v>
                </c:pt>
                <c:pt idx="136">
                  <c:v>55500</c:v>
                </c:pt>
                <c:pt idx="137">
                  <c:v>56000</c:v>
                </c:pt>
                <c:pt idx="138">
                  <c:v>56500</c:v>
                </c:pt>
                <c:pt idx="139">
                  <c:v>57000</c:v>
                </c:pt>
                <c:pt idx="140">
                  <c:v>57500</c:v>
                </c:pt>
                <c:pt idx="141">
                  <c:v>58000</c:v>
                </c:pt>
                <c:pt idx="142">
                  <c:v>58500</c:v>
                </c:pt>
                <c:pt idx="143">
                  <c:v>59000</c:v>
                </c:pt>
                <c:pt idx="144">
                  <c:v>59500</c:v>
                </c:pt>
                <c:pt idx="145">
                  <c:v>60000</c:v>
                </c:pt>
                <c:pt idx="146">
                  <c:v>60500</c:v>
                </c:pt>
                <c:pt idx="147">
                  <c:v>61000</c:v>
                </c:pt>
                <c:pt idx="148">
                  <c:v>61500</c:v>
                </c:pt>
                <c:pt idx="149">
                  <c:v>62000</c:v>
                </c:pt>
                <c:pt idx="150">
                  <c:v>62500</c:v>
                </c:pt>
                <c:pt idx="151">
                  <c:v>63000</c:v>
                </c:pt>
                <c:pt idx="152">
                  <c:v>63500</c:v>
                </c:pt>
                <c:pt idx="153">
                  <c:v>64000</c:v>
                </c:pt>
                <c:pt idx="154">
                  <c:v>64500</c:v>
                </c:pt>
                <c:pt idx="155">
                  <c:v>65000</c:v>
                </c:pt>
                <c:pt idx="156">
                  <c:v>65500</c:v>
                </c:pt>
                <c:pt idx="157">
                  <c:v>66000</c:v>
                </c:pt>
                <c:pt idx="158">
                  <c:v>66500</c:v>
                </c:pt>
                <c:pt idx="159">
                  <c:v>67000</c:v>
                </c:pt>
                <c:pt idx="160">
                  <c:v>67500</c:v>
                </c:pt>
                <c:pt idx="161">
                  <c:v>68000</c:v>
                </c:pt>
                <c:pt idx="162">
                  <c:v>68500</c:v>
                </c:pt>
                <c:pt idx="163">
                  <c:v>69000</c:v>
                </c:pt>
                <c:pt idx="164">
                  <c:v>69500</c:v>
                </c:pt>
                <c:pt idx="165">
                  <c:v>70000</c:v>
                </c:pt>
                <c:pt idx="166">
                  <c:v>70500</c:v>
                </c:pt>
                <c:pt idx="167">
                  <c:v>71000</c:v>
                </c:pt>
                <c:pt idx="168">
                  <c:v>71500</c:v>
                </c:pt>
                <c:pt idx="169">
                  <c:v>72000</c:v>
                </c:pt>
                <c:pt idx="170">
                  <c:v>72500</c:v>
                </c:pt>
                <c:pt idx="171">
                  <c:v>73000</c:v>
                </c:pt>
                <c:pt idx="172">
                  <c:v>73500</c:v>
                </c:pt>
                <c:pt idx="173">
                  <c:v>74000</c:v>
                </c:pt>
                <c:pt idx="174">
                  <c:v>74500</c:v>
                </c:pt>
                <c:pt idx="175">
                  <c:v>75000</c:v>
                </c:pt>
                <c:pt idx="176">
                  <c:v>75500</c:v>
                </c:pt>
                <c:pt idx="177">
                  <c:v>76000</c:v>
                </c:pt>
                <c:pt idx="178">
                  <c:v>76500</c:v>
                </c:pt>
                <c:pt idx="179">
                  <c:v>77000</c:v>
                </c:pt>
                <c:pt idx="180">
                  <c:v>77500</c:v>
                </c:pt>
                <c:pt idx="181">
                  <c:v>78000</c:v>
                </c:pt>
                <c:pt idx="182">
                  <c:v>78500</c:v>
                </c:pt>
                <c:pt idx="183">
                  <c:v>79000</c:v>
                </c:pt>
                <c:pt idx="184">
                  <c:v>79500</c:v>
                </c:pt>
                <c:pt idx="185">
                  <c:v>80000</c:v>
                </c:pt>
                <c:pt idx="186">
                  <c:v>80500</c:v>
                </c:pt>
                <c:pt idx="187">
                  <c:v>81000</c:v>
                </c:pt>
                <c:pt idx="188">
                  <c:v>81500</c:v>
                </c:pt>
                <c:pt idx="189">
                  <c:v>82000</c:v>
                </c:pt>
                <c:pt idx="190">
                  <c:v>82500</c:v>
                </c:pt>
                <c:pt idx="191">
                  <c:v>83000</c:v>
                </c:pt>
                <c:pt idx="192">
                  <c:v>83500</c:v>
                </c:pt>
                <c:pt idx="193">
                  <c:v>84000</c:v>
                </c:pt>
                <c:pt idx="194">
                  <c:v>84500</c:v>
                </c:pt>
                <c:pt idx="195">
                  <c:v>85000</c:v>
                </c:pt>
                <c:pt idx="196">
                  <c:v>85500</c:v>
                </c:pt>
                <c:pt idx="197">
                  <c:v>86000</c:v>
                </c:pt>
                <c:pt idx="198">
                  <c:v>86500</c:v>
                </c:pt>
                <c:pt idx="199">
                  <c:v>87000</c:v>
                </c:pt>
                <c:pt idx="200">
                  <c:v>87500</c:v>
                </c:pt>
                <c:pt idx="201">
                  <c:v>88000</c:v>
                </c:pt>
                <c:pt idx="202">
                  <c:v>88500</c:v>
                </c:pt>
                <c:pt idx="203">
                  <c:v>89000</c:v>
                </c:pt>
                <c:pt idx="204">
                  <c:v>89500</c:v>
                </c:pt>
                <c:pt idx="205">
                  <c:v>90000</c:v>
                </c:pt>
                <c:pt idx="206">
                  <c:v>90500</c:v>
                </c:pt>
                <c:pt idx="207">
                  <c:v>91000</c:v>
                </c:pt>
                <c:pt idx="208">
                  <c:v>91500</c:v>
                </c:pt>
                <c:pt idx="209">
                  <c:v>92000</c:v>
                </c:pt>
                <c:pt idx="210">
                  <c:v>92500</c:v>
                </c:pt>
                <c:pt idx="211">
                  <c:v>93000</c:v>
                </c:pt>
                <c:pt idx="212">
                  <c:v>93500</c:v>
                </c:pt>
                <c:pt idx="213">
                  <c:v>94000</c:v>
                </c:pt>
                <c:pt idx="214">
                  <c:v>94500</c:v>
                </c:pt>
                <c:pt idx="215">
                  <c:v>95000</c:v>
                </c:pt>
                <c:pt idx="216">
                  <c:v>95500</c:v>
                </c:pt>
                <c:pt idx="217">
                  <c:v>96000</c:v>
                </c:pt>
                <c:pt idx="218">
                  <c:v>96500</c:v>
                </c:pt>
                <c:pt idx="219">
                  <c:v>97000</c:v>
                </c:pt>
                <c:pt idx="220">
                  <c:v>97500</c:v>
                </c:pt>
                <c:pt idx="221">
                  <c:v>98000</c:v>
                </c:pt>
                <c:pt idx="222">
                  <c:v>98500</c:v>
                </c:pt>
                <c:pt idx="223">
                  <c:v>99000</c:v>
                </c:pt>
                <c:pt idx="224">
                  <c:v>99500</c:v>
                </c:pt>
                <c:pt idx="225">
                  <c:v>100000</c:v>
                </c:pt>
                <c:pt idx="226">
                  <c:v>105000</c:v>
                </c:pt>
                <c:pt idx="227">
                  <c:v>110000</c:v>
                </c:pt>
                <c:pt idx="228">
                  <c:v>115000</c:v>
                </c:pt>
                <c:pt idx="229">
                  <c:v>120000</c:v>
                </c:pt>
                <c:pt idx="230">
                  <c:v>125000</c:v>
                </c:pt>
                <c:pt idx="231">
                  <c:v>130000</c:v>
                </c:pt>
                <c:pt idx="232">
                  <c:v>135000</c:v>
                </c:pt>
                <c:pt idx="233">
                  <c:v>140000</c:v>
                </c:pt>
                <c:pt idx="234">
                  <c:v>145000</c:v>
                </c:pt>
                <c:pt idx="235">
                  <c:v>150000</c:v>
                </c:pt>
                <c:pt idx="236">
                  <c:v>155000</c:v>
                </c:pt>
                <c:pt idx="237">
                  <c:v>160000</c:v>
                </c:pt>
                <c:pt idx="238">
                  <c:v>165000</c:v>
                </c:pt>
                <c:pt idx="239">
                  <c:v>170000</c:v>
                </c:pt>
                <c:pt idx="240">
                  <c:v>175000</c:v>
                </c:pt>
                <c:pt idx="241">
                  <c:v>180000</c:v>
                </c:pt>
                <c:pt idx="242">
                  <c:v>185000</c:v>
                </c:pt>
                <c:pt idx="243">
                  <c:v>190000</c:v>
                </c:pt>
                <c:pt idx="244">
                  <c:v>195000</c:v>
                </c:pt>
                <c:pt idx="245">
                  <c:v>200000</c:v>
                </c:pt>
                <c:pt idx="246">
                  <c:v>205000</c:v>
                </c:pt>
                <c:pt idx="247">
                  <c:v>210000</c:v>
                </c:pt>
                <c:pt idx="248">
                  <c:v>215000</c:v>
                </c:pt>
                <c:pt idx="249">
                  <c:v>220000</c:v>
                </c:pt>
                <c:pt idx="250">
                  <c:v>225000</c:v>
                </c:pt>
                <c:pt idx="251">
                  <c:v>230000</c:v>
                </c:pt>
                <c:pt idx="252">
                  <c:v>235000</c:v>
                </c:pt>
                <c:pt idx="253">
                  <c:v>240000</c:v>
                </c:pt>
                <c:pt idx="254">
                  <c:v>245000</c:v>
                </c:pt>
                <c:pt idx="255">
                  <c:v>250000</c:v>
                </c:pt>
                <c:pt idx="256">
                  <c:v>255000</c:v>
                </c:pt>
                <c:pt idx="257">
                  <c:v>260000</c:v>
                </c:pt>
                <c:pt idx="258">
                  <c:v>265000</c:v>
                </c:pt>
                <c:pt idx="259">
                  <c:v>270000</c:v>
                </c:pt>
                <c:pt idx="260">
                  <c:v>275000</c:v>
                </c:pt>
                <c:pt idx="261">
                  <c:v>280000</c:v>
                </c:pt>
                <c:pt idx="262">
                  <c:v>285000</c:v>
                </c:pt>
                <c:pt idx="263">
                  <c:v>290000</c:v>
                </c:pt>
                <c:pt idx="264">
                  <c:v>295000</c:v>
                </c:pt>
                <c:pt idx="265">
                  <c:v>300000</c:v>
                </c:pt>
                <c:pt idx="266">
                  <c:v>305000</c:v>
                </c:pt>
                <c:pt idx="267">
                  <c:v>310000</c:v>
                </c:pt>
                <c:pt idx="268">
                  <c:v>315000</c:v>
                </c:pt>
                <c:pt idx="269">
                  <c:v>320000</c:v>
                </c:pt>
                <c:pt idx="270">
                  <c:v>325000</c:v>
                </c:pt>
                <c:pt idx="271">
                  <c:v>330000</c:v>
                </c:pt>
                <c:pt idx="272">
                  <c:v>335000</c:v>
                </c:pt>
                <c:pt idx="273">
                  <c:v>340000</c:v>
                </c:pt>
                <c:pt idx="274">
                  <c:v>345000</c:v>
                </c:pt>
                <c:pt idx="275">
                  <c:v>350000</c:v>
                </c:pt>
                <c:pt idx="276">
                  <c:v>355000</c:v>
                </c:pt>
                <c:pt idx="277">
                  <c:v>360000</c:v>
                </c:pt>
                <c:pt idx="278">
                  <c:v>365000</c:v>
                </c:pt>
                <c:pt idx="279">
                  <c:v>370000</c:v>
                </c:pt>
                <c:pt idx="280">
                  <c:v>375000</c:v>
                </c:pt>
                <c:pt idx="281">
                  <c:v>380000</c:v>
                </c:pt>
                <c:pt idx="282">
                  <c:v>385000</c:v>
                </c:pt>
                <c:pt idx="283">
                  <c:v>390000</c:v>
                </c:pt>
                <c:pt idx="284">
                  <c:v>395000</c:v>
                </c:pt>
                <c:pt idx="285">
                  <c:v>400000</c:v>
                </c:pt>
                <c:pt idx="286">
                  <c:v>405000</c:v>
                </c:pt>
                <c:pt idx="287">
                  <c:v>410000</c:v>
                </c:pt>
                <c:pt idx="288">
                  <c:v>415000</c:v>
                </c:pt>
                <c:pt idx="289">
                  <c:v>420000</c:v>
                </c:pt>
                <c:pt idx="290">
                  <c:v>425000</c:v>
                </c:pt>
                <c:pt idx="291">
                  <c:v>430000</c:v>
                </c:pt>
                <c:pt idx="292">
                  <c:v>435000</c:v>
                </c:pt>
                <c:pt idx="293">
                  <c:v>440000</c:v>
                </c:pt>
                <c:pt idx="294">
                  <c:v>445000</c:v>
                </c:pt>
                <c:pt idx="295">
                  <c:v>450000</c:v>
                </c:pt>
                <c:pt idx="296">
                  <c:v>455000</c:v>
                </c:pt>
                <c:pt idx="297">
                  <c:v>460000</c:v>
                </c:pt>
                <c:pt idx="298">
                  <c:v>465000</c:v>
                </c:pt>
                <c:pt idx="299">
                  <c:v>470000</c:v>
                </c:pt>
                <c:pt idx="300">
                  <c:v>475000</c:v>
                </c:pt>
                <c:pt idx="301">
                  <c:v>480000</c:v>
                </c:pt>
                <c:pt idx="302">
                  <c:v>485000</c:v>
                </c:pt>
                <c:pt idx="303">
                  <c:v>490000</c:v>
                </c:pt>
                <c:pt idx="304">
                  <c:v>495000</c:v>
                </c:pt>
                <c:pt idx="305">
                  <c:v>500000</c:v>
                </c:pt>
                <c:pt idx="306">
                  <c:v>505000</c:v>
                </c:pt>
                <c:pt idx="307">
                  <c:v>510000</c:v>
                </c:pt>
                <c:pt idx="308">
                  <c:v>515000</c:v>
                </c:pt>
                <c:pt idx="309">
                  <c:v>520000</c:v>
                </c:pt>
                <c:pt idx="310">
                  <c:v>525000</c:v>
                </c:pt>
                <c:pt idx="311">
                  <c:v>530000</c:v>
                </c:pt>
                <c:pt idx="312">
                  <c:v>535000</c:v>
                </c:pt>
                <c:pt idx="313">
                  <c:v>540000</c:v>
                </c:pt>
                <c:pt idx="314">
                  <c:v>545000</c:v>
                </c:pt>
                <c:pt idx="315">
                  <c:v>550000</c:v>
                </c:pt>
                <c:pt idx="316">
                  <c:v>555000</c:v>
                </c:pt>
                <c:pt idx="317">
                  <c:v>560000</c:v>
                </c:pt>
                <c:pt idx="318">
                  <c:v>565000</c:v>
                </c:pt>
                <c:pt idx="319">
                  <c:v>570000</c:v>
                </c:pt>
                <c:pt idx="320">
                  <c:v>575000</c:v>
                </c:pt>
                <c:pt idx="321">
                  <c:v>580000</c:v>
                </c:pt>
                <c:pt idx="322">
                  <c:v>585000</c:v>
                </c:pt>
                <c:pt idx="323">
                  <c:v>590000</c:v>
                </c:pt>
                <c:pt idx="324">
                  <c:v>595000</c:v>
                </c:pt>
                <c:pt idx="325">
                  <c:v>600000</c:v>
                </c:pt>
                <c:pt idx="326">
                  <c:v>605000</c:v>
                </c:pt>
                <c:pt idx="327">
                  <c:v>610000</c:v>
                </c:pt>
                <c:pt idx="328">
                  <c:v>615000</c:v>
                </c:pt>
                <c:pt idx="329">
                  <c:v>620000</c:v>
                </c:pt>
                <c:pt idx="330">
                  <c:v>625000</c:v>
                </c:pt>
                <c:pt idx="331">
                  <c:v>630000</c:v>
                </c:pt>
                <c:pt idx="332">
                  <c:v>635000</c:v>
                </c:pt>
                <c:pt idx="333">
                  <c:v>640000</c:v>
                </c:pt>
                <c:pt idx="334">
                  <c:v>645000</c:v>
                </c:pt>
                <c:pt idx="335">
                  <c:v>650000</c:v>
                </c:pt>
                <c:pt idx="336">
                  <c:v>655000</c:v>
                </c:pt>
                <c:pt idx="337">
                  <c:v>660000</c:v>
                </c:pt>
                <c:pt idx="338">
                  <c:v>665000</c:v>
                </c:pt>
                <c:pt idx="339">
                  <c:v>670000</c:v>
                </c:pt>
                <c:pt idx="340">
                  <c:v>675000</c:v>
                </c:pt>
                <c:pt idx="341">
                  <c:v>680000</c:v>
                </c:pt>
                <c:pt idx="342">
                  <c:v>685000</c:v>
                </c:pt>
                <c:pt idx="343">
                  <c:v>690000</c:v>
                </c:pt>
                <c:pt idx="344">
                  <c:v>695000</c:v>
                </c:pt>
                <c:pt idx="345">
                  <c:v>700000</c:v>
                </c:pt>
                <c:pt idx="346">
                  <c:v>705000</c:v>
                </c:pt>
                <c:pt idx="347">
                  <c:v>710000</c:v>
                </c:pt>
                <c:pt idx="348">
                  <c:v>715000</c:v>
                </c:pt>
                <c:pt idx="349">
                  <c:v>720000</c:v>
                </c:pt>
                <c:pt idx="350">
                  <c:v>725000</c:v>
                </c:pt>
                <c:pt idx="351">
                  <c:v>730000</c:v>
                </c:pt>
                <c:pt idx="352">
                  <c:v>735000</c:v>
                </c:pt>
                <c:pt idx="353">
                  <c:v>740000</c:v>
                </c:pt>
                <c:pt idx="354">
                  <c:v>745000</c:v>
                </c:pt>
                <c:pt idx="355">
                  <c:v>750000</c:v>
                </c:pt>
                <c:pt idx="356">
                  <c:v>755000</c:v>
                </c:pt>
                <c:pt idx="357">
                  <c:v>760000</c:v>
                </c:pt>
                <c:pt idx="358">
                  <c:v>765000</c:v>
                </c:pt>
                <c:pt idx="359">
                  <c:v>770000</c:v>
                </c:pt>
                <c:pt idx="360">
                  <c:v>775000</c:v>
                </c:pt>
                <c:pt idx="361">
                  <c:v>780000</c:v>
                </c:pt>
                <c:pt idx="362">
                  <c:v>785000</c:v>
                </c:pt>
                <c:pt idx="363">
                  <c:v>790000</c:v>
                </c:pt>
                <c:pt idx="364">
                  <c:v>795000</c:v>
                </c:pt>
                <c:pt idx="365">
                  <c:v>800000</c:v>
                </c:pt>
                <c:pt idx="366">
                  <c:v>805000</c:v>
                </c:pt>
                <c:pt idx="367">
                  <c:v>810000</c:v>
                </c:pt>
                <c:pt idx="368">
                  <c:v>815000</c:v>
                </c:pt>
                <c:pt idx="369">
                  <c:v>820000</c:v>
                </c:pt>
                <c:pt idx="370">
                  <c:v>825000</c:v>
                </c:pt>
                <c:pt idx="371">
                  <c:v>830000</c:v>
                </c:pt>
                <c:pt idx="372">
                  <c:v>835000</c:v>
                </c:pt>
                <c:pt idx="373">
                  <c:v>840000</c:v>
                </c:pt>
                <c:pt idx="374">
                  <c:v>845000</c:v>
                </c:pt>
                <c:pt idx="375">
                  <c:v>850000</c:v>
                </c:pt>
                <c:pt idx="376">
                  <c:v>855000</c:v>
                </c:pt>
                <c:pt idx="377">
                  <c:v>860000</c:v>
                </c:pt>
                <c:pt idx="378">
                  <c:v>865000</c:v>
                </c:pt>
                <c:pt idx="379">
                  <c:v>870000</c:v>
                </c:pt>
                <c:pt idx="380">
                  <c:v>875000</c:v>
                </c:pt>
                <c:pt idx="381">
                  <c:v>880000</c:v>
                </c:pt>
                <c:pt idx="382">
                  <c:v>885000</c:v>
                </c:pt>
                <c:pt idx="383">
                  <c:v>890000</c:v>
                </c:pt>
                <c:pt idx="384">
                  <c:v>895000</c:v>
                </c:pt>
                <c:pt idx="385">
                  <c:v>900000</c:v>
                </c:pt>
                <c:pt idx="386">
                  <c:v>905000</c:v>
                </c:pt>
                <c:pt idx="387">
                  <c:v>910000</c:v>
                </c:pt>
                <c:pt idx="388">
                  <c:v>915000</c:v>
                </c:pt>
                <c:pt idx="389">
                  <c:v>920000</c:v>
                </c:pt>
                <c:pt idx="390">
                  <c:v>925000</c:v>
                </c:pt>
                <c:pt idx="391">
                  <c:v>930000</c:v>
                </c:pt>
                <c:pt idx="392">
                  <c:v>935000</c:v>
                </c:pt>
                <c:pt idx="393">
                  <c:v>940000</c:v>
                </c:pt>
                <c:pt idx="394">
                  <c:v>945000</c:v>
                </c:pt>
                <c:pt idx="395">
                  <c:v>950000</c:v>
                </c:pt>
                <c:pt idx="396">
                  <c:v>955000</c:v>
                </c:pt>
                <c:pt idx="397">
                  <c:v>960000</c:v>
                </c:pt>
                <c:pt idx="398">
                  <c:v>965000</c:v>
                </c:pt>
                <c:pt idx="399">
                  <c:v>970000</c:v>
                </c:pt>
                <c:pt idx="400">
                  <c:v>975000</c:v>
                </c:pt>
                <c:pt idx="401">
                  <c:v>980000</c:v>
                </c:pt>
                <c:pt idx="402">
                  <c:v>985000</c:v>
                </c:pt>
                <c:pt idx="403">
                  <c:v>990000</c:v>
                </c:pt>
                <c:pt idx="404">
                  <c:v>995000</c:v>
                </c:pt>
                <c:pt idx="405">
                  <c:v>1000000</c:v>
                </c:pt>
                <c:pt idx="406">
                  <c:v>1005000</c:v>
                </c:pt>
                <c:pt idx="407">
                  <c:v>1010000</c:v>
                </c:pt>
                <c:pt idx="408">
                  <c:v>1015000</c:v>
                </c:pt>
                <c:pt idx="409">
                  <c:v>1020000</c:v>
                </c:pt>
                <c:pt idx="410">
                  <c:v>1025000</c:v>
                </c:pt>
                <c:pt idx="411">
                  <c:v>1030000</c:v>
                </c:pt>
                <c:pt idx="412">
                  <c:v>1035000</c:v>
                </c:pt>
                <c:pt idx="413">
                  <c:v>1040000</c:v>
                </c:pt>
                <c:pt idx="414">
                  <c:v>1045000</c:v>
                </c:pt>
                <c:pt idx="415">
                  <c:v>1050000</c:v>
                </c:pt>
                <c:pt idx="416">
                  <c:v>1055000</c:v>
                </c:pt>
                <c:pt idx="417">
                  <c:v>1060000</c:v>
                </c:pt>
                <c:pt idx="418">
                  <c:v>1065000</c:v>
                </c:pt>
                <c:pt idx="419">
                  <c:v>1070000</c:v>
                </c:pt>
                <c:pt idx="420">
                  <c:v>1075000</c:v>
                </c:pt>
                <c:pt idx="421">
                  <c:v>1080000</c:v>
                </c:pt>
                <c:pt idx="422">
                  <c:v>1085000</c:v>
                </c:pt>
                <c:pt idx="423">
                  <c:v>1090000</c:v>
                </c:pt>
                <c:pt idx="424">
                  <c:v>1095000</c:v>
                </c:pt>
                <c:pt idx="425">
                  <c:v>1100000</c:v>
                </c:pt>
                <c:pt idx="426">
                  <c:v>1105000</c:v>
                </c:pt>
                <c:pt idx="427">
                  <c:v>1110000</c:v>
                </c:pt>
                <c:pt idx="428">
                  <c:v>1115000</c:v>
                </c:pt>
                <c:pt idx="429">
                  <c:v>1120000</c:v>
                </c:pt>
                <c:pt idx="430">
                  <c:v>1125000</c:v>
                </c:pt>
                <c:pt idx="431">
                  <c:v>1130000</c:v>
                </c:pt>
                <c:pt idx="432">
                  <c:v>1135000</c:v>
                </c:pt>
                <c:pt idx="433">
                  <c:v>1140000</c:v>
                </c:pt>
                <c:pt idx="434">
                  <c:v>1145000</c:v>
                </c:pt>
                <c:pt idx="435">
                  <c:v>1150000</c:v>
                </c:pt>
                <c:pt idx="436">
                  <c:v>1155000</c:v>
                </c:pt>
                <c:pt idx="437">
                  <c:v>1160000</c:v>
                </c:pt>
                <c:pt idx="438">
                  <c:v>1165000</c:v>
                </c:pt>
                <c:pt idx="439">
                  <c:v>1170000</c:v>
                </c:pt>
                <c:pt idx="440">
                  <c:v>1175000</c:v>
                </c:pt>
                <c:pt idx="441">
                  <c:v>1180000</c:v>
                </c:pt>
                <c:pt idx="442">
                  <c:v>1185000</c:v>
                </c:pt>
                <c:pt idx="443">
                  <c:v>1190000</c:v>
                </c:pt>
                <c:pt idx="444">
                  <c:v>1195000</c:v>
                </c:pt>
                <c:pt idx="445">
                  <c:v>1200000</c:v>
                </c:pt>
                <c:pt idx="446">
                  <c:v>1205000</c:v>
                </c:pt>
                <c:pt idx="447">
                  <c:v>1210000</c:v>
                </c:pt>
                <c:pt idx="448">
                  <c:v>1215000</c:v>
                </c:pt>
                <c:pt idx="449">
                  <c:v>1220000</c:v>
                </c:pt>
                <c:pt idx="450">
                  <c:v>1225000</c:v>
                </c:pt>
                <c:pt idx="451">
                  <c:v>1230000</c:v>
                </c:pt>
                <c:pt idx="452">
                  <c:v>1235000</c:v>
                </c:pt>
                <c:pt idx="453">
                  <c:v>1240000</c:v>
                </c:pt>
                <c:pt idx="454">
                  <c:v>1245000</c:v>
                </c:pt>
                <c:pt idx="455">
                  <c:v>1250000</c:v>
                </c:pt>
                <c:pt idx="456">
                  <c:v>1255000</c:v>
                </c:pt>
                <c:pt idx="457">
                  <c:v>1260000</c:v>
                </c:pt>
                <c:pt idx="458">
                  <c:v>1265000</c:v>
                </c:pt>
                <c:pt idx="459">
                  <c:v>1270000</c:v>
                </c:pt>
                <c:pt idx="460">
                  <c:v>1275000</c:v>
                </c:pt>
                <c:pt idx="461">
                  <c:v>1280000</c:v>
                </c:pt>
                <c:pt idx="462">
                  <c:v>1285000</c:v>
                </c:pt>
                <c:pt idx="463">
                  <c:v>1290000</c:v>
                </c:pt>
                <c:pt idx="464">
                  <c:v>1295000</c:v>
                </c:pt>
                <c:pt idx="465">
                  <c:v>1300000</c:v>
                </c:pt>
                <c:pt idx="466">
                  <c:v>1305000</c:v>
                </c:pt>
                <c:pt idx="467">
                  <c:v>1310000</c:v>
                </c:pt>
                <c:pt idx="468">
                  <c:v>1315000</c:v>
                </c:pt>
                <c:pt idx="469">
                  <c:v>1320000</c:v>
                </c:pt>
                <c:pt idx="470">
                  <c:v>1325000</c:v>
                </c:pt>
                <c:pt idx="471">
                  <c:v>1330000</c:v>
                </c:pt>
                <c:pt idx="472">
                  <c:v>1335000</c:v>
                </c:pt>
                <c:pt idx="473">
                  <c:v>1340000</c:v>
                </c:pt>
                <c:pt idx="474">
                  <c:v>1345000</c:v>
                </c:pt>
                <c:pt idx="475">
                  <c:v>1350000</c:v>
                </c:pt>
                <c:pt idx="476">
                  <c:v>1355000</c:v>
                </c:pt>
                <c:pt idx="477">
                  <c:v>1360000</c:v>
                </c:pt>
                <c:pt idx="478">
                  <c:v>1365000</c:v>
                </c:pt>
                <c:pt idx="479">
                  <c:v>1370000</c:v>
                </c:pt>
                <c:pt idx="480">
                  <c:v>1375000</c:v>
                </c:pt>
                <c:pt idx="481">
                  <c:v>1380000</c:v>
                </c:pt>
                <c:pt idx="482">
                  <c:v>1385000</c:v>
                </c:pt>
                <c:pt idx="483">
                  <c:v>1390000</c:v>
                </c:pt>
                <c:pt idx="484">
                  <c:v>1395000</c:v>
                </c:pt>
                <c:pt idx="485">
                  <c:v>1400000</c:v>
                </c:pt>
                <c:pt idx="486">
                  <c:v>1405000</c:v>
                </c:pt>
                <c:pt idx="487">
                  <c:v>1410000</c:v>
                </c:pt>
                <c:pt idx="488">
                  <c:v>1415000</c:v>
                </c:pt>
                <c:pt idx="489">
                  <c:v>1420000</c:v>
                </c:pt>
                <c:pt idx="490">
                  <c:v>1425000</c:v>
                </c:pt>
                <c:pt idx="491">
                  <c:v>1430000</c:v>
                </c:pt>
                <c:pt idx="492">
                  <c:v>1435000</c:v>
                </c:pt>
                <c:pt idx="493">
                  <c:v>1440000</c:v>
                </c:pt>
                <c:pt idx="494">
                  <c:v>1445000</c:v>
                </c:pt>
                <c:pt idx="495">
                  <c:v>1450000</c:v>
                </c:pt>
                <c:pt idx="496">
                  <c:v>1455000</c:v>
                </c:pt>
                <c:pt idx="497">
                  <c:v>1460000</c:v>
                </c:pt>
                <c:pt idx="498">
                  <c:v>1465000</c:v>
                </c:pt>
                <c:pt idx="499">
                  <c:v>1470000</c:v>
                </c:pt>
                <c:pt idx="500">
                  <c:v>1475000</c:v>
                </c:pt>
                <c:pt idx="501">
                  <c:v>1480000</c:v>
                </c:pt>
                <c:pt idx="502">
                  <c:v>1485000</c:v>
                </c:pt>
                <c:pt idx="503">
                  <c:v>1490000</c:v>
                </c:pt>
                <c:pt idx="504">
                  <c:v>1495000</c:v>
                </c:pt>
                <c:pt idx="505">
                  <c:v>1500000</c:v>
                </c:pt>
                <c:pt idx="506">
                  <c:v>1505000</c:v>
                </c:pt>
                <c:pt idx="507">
                  <c:v>1510000</c:v>
                </c:pt>
                <c:pt idx="508">
                  <c:v>1515000</c:v>
                </c:pt>
                <c:pt idx="509">
                  <c:v>1520000</c:v>
                </c:pt>
                <c:pt idx="510">
                  <c:v>1525000</c:v>
                </c:pt>
                <c:pt idx="511">
                  <c:v>1530000</c:v>
                </c:pt>
                <c:pt idx="512">
                  <c:v>1535000</c:v>
                </c:pt>
                <c:pt idx="513">
                  <c:v>1540000</c:v>
                </c:pt>
                <c:pt idx="514">
                  <c:v>1545000</c:v>
                </c:pt>
                <c:pt idx="515">
                  <c:v>1550000</c:v>
                </c:pt>
                <c:pt idx="516">
                  <c:v>1555000</c:v>
                </c:pt>
                <c:pt idx="517">
                  <c:v>1560000</c:v>
                </c:pt>
                <c:pt idx="518">
                  <c:v>1565000</c:v>
                </c:pt>
                <c:pt idx="519">
                  <c:v>1570000</c:v>
                </c:pt>
                <c:pt idx="520">
                  <c:v>1575000</c:v>
                </c:pt>
                <c:pt idx="521">
                  <c:v>1580000</c:v>
                </c:pt>
                <c:pt idx="522">
                  <c:v>1585000</c:v>
                </c:pt>
                <c:pt idx="523">
                  <c:v>1590000</c:v>
                </c:pt>
                <c:pt idx="524">
                  <c:v>1595000</c:v>
                </c:pt>
                <c:pt idx="525">
                  <c:v>1600000</c:v>
                </c:pt>
                <c:pt idx="526">
                  <c:v>1605000</c:v>
                </c:pt>
                <c:pt idx="527">
                  <c:v>1610000</c:v>
                </c:pt>
                <c:pt idx="528">
                  <c:v>1615000</c:v>
                </c:pt>
                <c:pt idx="529">
                  <c:v>1620000</c:v>
                </c:pt>
                <c:pt idx="530">
                  <c:v>1625000</c:v>
                </c:pt>
                <c:pt idx="531">
                  <c:v>1630000</c:v>
                </c:pt>
                <c:pt idx="532">
                  <c:v>1635000</c:v>
                </c:pt>
                <c:pt idx="533">
                  <c:v>1640000</c:v>
                </c:pt>
                <c:pt idx="534">
                  <c:v>1645000</c:v>
                </c:pt>
                <c:pt idx="535">
                  <c:v>1650000</c:v>
                </c:pt>
                <c:pt idx="536">
                  <c:v>1655000</c:v>
                </c:pt>
                <c:pt idx="537">
                  <c:v>1660000</c:v>
                </c:pt>
                <c:pt idx="538">
                  <c:v>1665000</c:v>
                </c:pt>
                <c:pt idx="539">
                  <c:v>1670000</c:v>
                </c:pt>
                <c:pt idx="540">
                  <c:v>1675000</c:v>
                </c:pt>
                <c:pt idx="541">
                  <c:v>1680000</c:v>
                </c:pt>
                <c:pt idx="542">
                  <c:v>1685000</c:v>
                </c:pt>
                <c:pt idx="543">
                  <c:v>1690000</c:v>
                </c:pt>
                <c:pt idx="544">
                  <c:v>1695000</c:v>
                </c:pt>
                <c:pt idx="545">
                  <c:v>1700000</c:v>
                </c:pt>
                <c:pt idx="546">
                  <c:v>1705000</c:v>
                </c:pt>
                <c:pt idx="547">
                  <c:v>1710000</c:v>
                </c:pt>
                <c:pt idx="548">
                  <c:v>1715000</c:v>
                </c:pt>
                <c:pt idx="549">
                  <c:v>1720000</c:v>
                </c:pt>
                <c:pt idx="550">
                  <c:v>1725000</c:v>
                </c:pt>
                <c:pt idx="551">
                  <c:v>1730000</c:v>
                </c:pt>
                <c:pt idx="552">
                  <c:v>1735000</c:v>
                </c:pt>
                <c:pt idx="553">
                  <c:v>1740000</c:v>
                </c:pt>
                <c:pt idx="554">
                  <c:v>1745000</c:v>
                </c:pt>
                <c:pt idx="555">
                  <c:v>1750000</c:v>
                </c:pt>
                <c:pt idx="556">
                  <c:v>1755000</c:v>
                </c:pt>
                <c:pt idx="557">
                  <c:v>1760000</c:v>
                </c:pt>
                <c:pt idx="558">
                  <c:v>1765000</c:v>
                </c:pt>
                <c:pt idx="559">
                  <c:v>1770000</c:v>
                </c:pt>
                <c:pt idx="560">
                  <c:v>1775000</c:v>
                </c:pt>
                <c:pt idx="561">
                  <c:v>1780000</c:v>
                </c:pt>
                <c:pt idx="562">
                  <c:v>1785000</c:v>
                </c:pt>
                <c:pt idx="563">
                  <c:v>1790000</c:v>
                </c:pt>
                <c:pt idx="564">
                  <c:v>1795000</c:v>
                </c:pt>
                <c:pt idx="565">
                  <c:v>1800000</c:v>
                </c:pt>
                <c:pt idx="566">
                  <c:v>1805000</c:v>
                </c:pt>
                <c:pt idx="567">
                  <c:v>1810000</c:v>
                </c:pt>
                <c:pt idx="568">
                  <c:v>1815000</c:v>
                </c:pt>
                <c:pt idx="569">
                  <c:v>1820000</c:v>
                </c:pt>
                <c:pt idx="570">
                  <c:v>1825000</c:v>
                </c:pt>
                <c:pt idx="571">
                  <c:v>1830000</c:v>
                </c:pt>
                <c:pt idx="572">
                  <c:v>1835000</c:v>
                </c:pt>
                <c:pt idx="573">
                  <c:v>1840000</c:v>
                </c:pt>
                <c:pt idx="574">
                  <c:v>1845000</c:v>
                </c:pt>
                <c:pt idx="575">
                  <c:v>1850000</c:v>
                </c:pt>
                <c:pt idx="576">
                  <c:v>1855000</c:v>
                </c:pt>
                <c:pt idx="577">
                  <c:v>1860000</c:v>
                </c:pt>
                <c:pt idx="578">
                  <c:v>1865000</c:v>
                </c:pt>
                <c:pt idx="579">
                  <c:v>1870000</c:v>
                </c:pt>
                <c:pt idx="580">
                  <c:v>1875000</c:v>
                </c:pt>
                <c:pt idx="581">
                  <c:v>1880000</c:v>
                </c:pt>
                <c:pt idx="582">
                  <c:v>1885000</c:v>
                </c:pt>
                <c:pt idx="583">
                  <c:v>1890000</c:v>
                </c:pt>
                <c:pt idx="584">
                  <c:v>1895000</c:v>
                </c:pt>
                <c:pt idx="585">
                  <c:v>1900000</c:v>
                </c:pt>
                <c:pt idx="586">
                  <c:v>1905000</c:v>
                </c:pt>
                <c:pt idx="587">
                  <c:v>1910000</c:v>
                </c:pt>
                <c:pt idx="588">
                  <c:v>1915000</c:v>
                </c:pt>
                <c:pt idx="589">
                  <c:v>1920000</c:v>
                </c:pt>
                <c:pt idx="590">
                  <c:v>1925000</c:v>
                </c:pt>
                <c:pt idx="591">
                  <c:v>1930000</c:v>
                </c:pt>
                <c:pt idx="592">
                  <c:v>1935000</c:v>
                </c:pt>
                <c:pt idx="593">
                  <c:v>1940000</c:v>
                </c:pt>
                <c:pt idx="594">
                  <c:v>1945000</c:v>
                </c:pt>
                <c:pt idx="595">
                  <c:v>1950000</c:v>
                </c:pt>
                <c:pt idx="596">
                  <c:v>1955000</c:v>
                </c:pt>
                <c:pt idx="597">
                  <c:v>1960000</c:v>
                </c:pt>
                <c:pt idx="598">
                  <c:v>1965000</c:v>
                </c:pt>
                <c:pt idx="599">
                  <c:v>1970000</c:v>
                </c:pt>
                <c:pt idx="600">
                  <c:v>1975000</c:v>
                </c:pt>
                <c:pt idx="601">
                  <c:v>1980000</c:v>
                </c:pt>
                <c:pt idx="602">
                  <c:v>1985000</c:v>
                </c:pt>
                <c:pt idx="603">
                  <c:v>1990000</c:v>
                </c:pt>
                <c:pt idx="604">
                  <c:v>1995000</c:v>
                </c:pt>
                <c:pt idx="605">
                  <c:v>2000000</c:v>
                </c:pt>
                <c:pt idx="606">
                  <c:v>2250000</c:v>
                </c:pt>
                <c:pt idx="607">
                  <c:v>2500000</c:v>
                </c:pt>
                <c:pt idx="608">
                  <c:v>2750000</c:v>
                </c:pt>
                <c:pt idx="609">
                  <c:v>3000000</c:v>
                </c:pt>
                <c:pt idx="610">
                  <c:v>3250000</c:v>
                </c:pt>
                <c:pt idx="611">
                  <c:v>3500000</c:v>
                </c:pt>
                <c:pt idx="612">
                  <c:v>3750000</c:v>
                </c:pt>
                <c:pt idx="613">
                  <c:v>4000000</c:v>
                </c:pt>
                <c:pt idx="614">
                  <c:v>4250000</c:v>
                </c:pt>
                <c:pt idx="615">
                  <c:v>4500000</c:v>
                </c:pt>
                <c:pt idx="616">
                  <c:v>4750000</c:v>
                </c:pt>
                <c:pt idx="617">
                  <c:v>5000000</c:v>
                </c:pt>
                <c:pt idx="618">
                  <c:v>5100000</c:v>
                </c:pt>
                <c:pt idx="619">
                  <c:v>5200000</c:v>
                </c:pt>
                <c:pt idx="620">
                  <c:v>5300000</c:v>
                </c:pt>
                <c:pt idx="621">
                  <c:v>5400000</c:v>
                </c:pt>
                <c:pt idx="622">
                  <c:v>5500000</c:v>
                </c:pt>
                <c:pt idx="623">
                  <c:v>5600000</c:v>
                </c:pt>
                <c:pt idx="624">
                  <c:v>5700000</c:v>
                </c:pt>
                <c:pt idx="625">
                  <c:v>5800000</c:v>
                </c:pt>
                <c:pt idx="626">
                  <c:v>5900000</c:v>
                </c:pt>
                <c:pt idx="627">
                  <c:v>6000000</c:v>
                </c:pt>
                <c:pt idx="628">
                  <c:v>6100000</c:v>
                </c:pt>
                <c:pt idx="629">
                  <c:v>6200000</c:v>
                </c:pt>
                <c:pt idx="630">
                  <c:v>6300000</c:v>
                </c:pt>
                <c:pt idx="631">
                  <c:v>6400000</c:v>
                </c:pt>
                <c:pt idx="632">
                  <c:v>6500000</c:v>
                </c:pt>
                <c:pt idx="633">
                  <c:v>6600000</c:v>
                </c:pt>
                <c:pt idx="634">
                  <c:v>6700000</c:v>
                </c:pt>
                <c:pt idx="635">
                  <c:v>6800000</c:v>
                </c:pt>
                <c:pt idx="636">
                  <c:v>6900000</c:v>
                </c:pt>
                <c:pt idx="637">
                  <c:v>7000000</c:v>
                </c:pt>
                <c:pt idx="638">
                  <c:v>7100000</c:v>
                </c:pt>
                <c:pt idx="639">
                  <c:v>7200000</c:v>
                </c:pt>
                <c:pt idx="640">
                  <c:v>7300000</c:v>
                </c:pt>
                <c:pt idx="641">
                  <c:v>7400000</c:v>
                </c:pt>
                <c:pt idx="642">
                  <c:v>7500000</c:v>
                </c:pt>
                <c:pt idx="643">
                  <c:v>7600000</c:v>
                </c:pt>
                <c:pt idx="644">
                  <c:v>7700000</c:v>
                </c:pt>
                <c:pt idx="645">
                  <c:v>7800000</c:v>
                </c:pt>
                <c:pt idx="646">
                  <c:v>7900000</c:v>
                </c:pt>
                <c:pt idx="647">
                  <c:v>8000000</c:v>
                </c:pt>
                <c:pt idx="648">
                  <c:v>8100000</c:v>
                </c:pt>
                <c:pt idx="649">
                  <c:v>8200000</c:v>
                </c:pt>
                <c:pt idx="650">
                  <c:v>8300000</c:v>
                </c:pt>
                <c:pt idx="651">
                  <c:v>8400000</c:v>
                </c:pt>
                <c:pt idx="652">
                  <c:v>8500000</c:v>
                </c:pt>
                <c:pt idx="653">
                  <c:v>8600000</c:v>
                </c:pt>
                <c:pt idx="654">
                  <c:v>8700000</c:v>
                </c:pt>
                <c:pt idx="655">
                  <c:v>8800000</c:v>
                </c:pt>
                <c:pt idx="656">
                  <c:v>8900000</c:v>
                </c:pt>
                <c:pt idx="657">
                  <c:v>9000000</c:v>
                </c:pt>
                <c:pt idx="658">
                  <c:v>9100000</c:v>
                </c:pt>
                <c:pt idx="659">
                  <c:v>9200000</c:v>
                </c:pt>
                <c:pt idx="660">
                  <c:v>9300000</c:v>
                </c:pt>
                <c:pt idx="661">
                  <c:v>9400000</c:v>
                </c:pt>
                <c:pt idx="662">
                  <c:v>9500000</c:v>
                </c:pt>
                <c:pt idx="663">
                  <c:v>9600000</c:v>
                </c:pt>
                <c:pt idx="664">
                  <c:v>9700000</c:v>
                </c:pt>
                <c:pt idx="665">
                  <c:v>9800000</c:v>
                </c:pt>
                <c:pt idx="666">
                  <c:v>9900000</c:v>
                </c:pt>
                <c:pt idx="667">
                  <c:v>10000000</c:v>
                </c:pt>
              </c:numCache>
            </c:numRef>
          </c:xVal>
          <c:yVal>
            <c:numRef>
              <c:f>'Bode Plots Calculations'!$BB$9:$BB$676</c:f>
              <c:numCache>
                <c:formatCode>General</c:formatCode>
                <c:ptCount val="668"/>
                <c:pt idx="0">
                  <c:v>48.956577708468664</c:v>
                </c:pt>
                <c:pt idx="1">
                  <c:v>48.898275950280592</c:v>
                </c:pt>
                <c:pt idx="2">
                  <c:v>48.802812616317013</c:v>
                </c:pt>
                <c:pt idx="3">
                  <c:v>48.672594049119553</c:v>
                </c:pt>
                <c:pt idx="4">
                  <c:v>48.510710298431164</c:v>
                </c:pt>
                <c:pt idx="5">
                  <c:v>48.320712016741524</c:v>
                </c:pt>
                <c:pt idx="6">
                  <c:v>48.106386195021429</c:v>
                </c:pt>
                <c:pt idx="7">
                  <c:v>47.871555160741053</c:v>
                </c:pt>
                <c:pt idx="8">
                  <c:v>47.619914140659432</c:v>
                </c:pt>
                <c:pt idx="9">
                  <c:v>47.354913389698588</c:v>
                </c:pt>
                <c:pt idx="10">
                  <c:v>44.488908162373477</c:v>
                </c:pt>
                <c:pt idx="11">
                  <c:v>41.92373134883767</c:v>
                </c:pt>
                <c:pt idx="12">
                  <c:v>39.816709165009755</c:v>
                </c:pt>
                <c:pt idx="13">
                  <c:v>38.072578764831391</c:v>
                </c:pt>
                <c:pt idx="14">
                  <c:v>36.598174426512585</c:v>
                </c:pt>
                <c:pt idx="15">
                  <c:v>35.32649873478271</c:v>
                </c:pt>
                <c:pt idx="16">
                  <c:v>34.210931493606878</c:v>
                </c:pt>
                <c:pt idx="17">
                  <c:v>33.218551255516452</c:v>
                </c:pt>
                <c:pt idx="18">
                  <c:v>32.325529386066584</c:v>
                </c:pt>
                <c:pt idx="19">
                  <c:v>26.378440342371242</c:v>
                </c:pt>
                <c:pt idx="20">
                  <c:v>22.874078172693203</c:v>
                </c:pt>
                <c:pt idx="21">
                  <c:v>20.385816401623792</c:v>
                </c:pt>
                <c:pt idx="22">
                  <c:v>18.457294376393946</c:v>
                </c:pt>
                <c:pt idx="23">
                  <c:v>16.884021016886187</c:v>
                </c:pt>
                <c:pt idx="24">
                  <c:v>15.556621766827806</c:v>
                </c:pt>
                <c:pt idx="25">
                  <c:v>14.409712215689465</c:v>
                </c:pt>
                <c:pt idx="26">
                  <c:v>13.401077130755555</c:v>
                </c:pt>
                <c:pt idx="27">
                  <c:v>12.501871359986168</c:v>
                </c:pt>
                <c:pt idx="28">
                  <c:v>9.0829411798906712</c:v>
                </c:pt>
                <c:pt idx="29">
                  <c:v>6.7246900566820713</c:v>
                </c:pt>
                <c:pt idx="30">
                  <c:v>4.96218320536771</c:v>
                </c:pt>
                <c:pt idx="31">
                  <c:v>3.5863368936700857</c:v>
                </c:pt>
                <c:pt idx="32">
                  <c:v>2.4838823470987297</c:v>
                </c:pt>
                <c:pt idx="33">
                  <c:v>1.5857427701024376</c:v>
                </c:pt>
                <c:pt idx="34">
                  <c:v>0.8461720718105582</c:v>
                </c:pt>
                <c:pt idx="35">
                  <c:v>0.23300194167017874</c:v>
                </c:pt>
                <c:pt idx="36">
                  <c:v>-0.27742022775768993</c:v>
                </c:pt>
                <c:pt idx="37">
                  <c:v>-0.70307962676071112</c:v>
                </c:pt>
                <c:pt idx="38">
                  <c:v>-1.0580056930723312</c:v>
                </c:pt>
                <c:pt idx="39">
                  <c:v>-1.3533594009208185</c:v>
                </c:pt>
                <c:pt idx="40">
                  <c:v>-1.5981574411376984</c:v>
                </c:pt>
                <c:pt idx="41">
                  <c:v>-1.7997744090810566</c:v>
                </c:pt>
                <c:pt idx="42">
                  <c:v>-1.9643030627131148</c:v>
                </c:pt>
                <c:pt idx="43">
                  <c:v>-2.0968201201648609</c:v>
                </c:pt>
                <c:pt idx="44">
                  <c:v>-2.2015869107308239</c:v>
                </c:pt>
                <c:pt idx="45">
                  <c:v>-2.2822036838849695</c:v>
                </c:pt>
                <c:pt idx="46">
                  <c:v>-2.3417300738745701</c:v>
                </c:pt>
                <c:pt idx="47">
                  <c:v>-2.3827802986493234</c:v>
                </c:pt>
                <c:pt idx="48">
                  <c:v>-2.4075991539153758</c:v>
                </c:pt>
                <c:pt idx="49">
                  <c:v>-2.4181231925482982</c:v>
                </c:pt>
                <c:pt idx="50">
                  <c:v>-2.4160303376117227</c:v>
                </c:pt>
                <c:pt idx="51">
                  <c:v>-2.4027803750819317</c:v>
                </c:pt>
                <c:pt idx="52">
                  <c:v>-2.379648195283063</c:v>
                </c:pt>
                <c:pt idx="53">
                  <c:v>-2.3477512282138884</c:v>
                </c:pt>
                <c:pt idx="54">
                  <c:v>-2.3080722012424881</c:v>
                </c:pt>
                <c:pt idx="55">
                  <c:v>-2.2614781075536343</c:v>
                </c:pt>
                <c:pt idx="56">
                  <c:v>-2.2087360895495776</c:v>
                </c:pt>
                <c:pt idx="57">
                  <c:v>-2.1505267987217902</c:v>
                </c:pt>
                <c:pt idx="58">
                  <c:v>-2.0874556820802281</c:v>
                </c:pt>
                <c:pt idx="59">
                  <c:v>-2.0200625576096227</c:v>
                </c:pt>
                <c:pt idx="60">
                  <c:v>-1.9488297719310079</c:v>
                </c:pt>
                <c:pt idx="61">
                  <c:v>-1.87418917827219</c:v>
                </c:pt>
                <c:pt idx="62">
                  <c:v>-1.7965281288804564</c:v>
                </c:pt>
                <c:pt idx="63">
                  <c:v>-1.7161946407631581</c:v>
                </c:pt>
                <c:pt idx="64">
                  <c:v>-1.6335018652795541</c:v>
                </c:pt>
                <c:pt idx="65">
                  <c:v>-1.5487319692048871</c:v>
                </c:pt>
                <c:pt idx="66">
                  <c:v>-1.462139516329128</c:v>
                </c:pt>
                <c:pt idx="67">
                  <c:v>-1.3739544235653547</c:v>
                </c:pt>
                <c:pt idx="68">
                  <c:v>-1.2843845532353317</c:v>
                </c:pt>
                <c:pt idx="69">
                  <c:v>-1.1936179931281394</c:v>
                </c:pt>
                <c:pt idx="70">
                  <c:v>-1.1018250676577912</c:v>
                </c:pt>
                <c:pt idx="71">
                  <c:v>-1.0091601166336135</c:v>
                </c:pt>
                <c:pt idx="72">
                  <c:v>-0.91576307252659728</c:v>
                </c:pt>
                <c:pt idx="73">
                  <c:v>-0.82176086244587965</c:v>
                </c:pt>
                <c:pt idx="74">
                  <c:v>-0.72726865715453626</c:v>
                </c:pt>
                <c:pt idx="75">
                  <c:v>-0.63239098621088397</c:v>
                </c:pt>
                <c:pt idx="76">
                  <c:v>-0.53722273560443701</c:v>
                </c:pt>
                <c:pt idx="77">
                  <c:v>-0.44185004197244981</c:v>
                </c:pt>
                <c:pt idx="78">
                  <c:v>-0.34635109555742261</c:v>
                </c:pt>
                <c:pt idx="79">
                  <c:v>-0.25079686243627797</c:v>
                </c:pt>
                <c:pt idx="80">
                  <c:v>-0.15525173516904942</c:v>
                </c:pt>
                <c:pt idx="81">
                  <c:v>-5.977411983630599E-2</c:v>
                </c:pt>
                <c:pt idx="82">
                  <c:v>3.5583033571942098E-2</c:v>
                </c:pt>
                <c:pt idx="83">
                  <c:v>0.13077175131641589</c:v>
                </c:pt>
                <c:pt idx="84">
                  <c:v>0.22574860126033783</c:v>
                </c:pt>
                <c:pt idx="85">
                  <c:v>0.32047429869549626</c:v>
                </c:pt>
                <c:pt idx="86">
                  <c:v>0.41491334847926326</c:v>
                </c:pt>
                <c:pt idx="87">
                  <c:v>0.50903371979916112</c:v>
                </c:pt>
                <c:pt idx="88">
                  <c:v>0.60280655029998553</c:v>
                </c:pt>
                <c:pt idx="89">
                  <c:v>0.69620587667279799</c:v>
                </c:pt>
                <c:pt idx="90">
                  <c:v>0.78920838912401481</c:v>
                </c:pt>
                <c:pt idx="91">
                  <c:v>0.88179320742223555</c:v>
                </c:pt>
                <c:pt idx="92">
                  <c:v>0.97394167646630658</c:v>
                </c:pt>
                <c:pt idx="93">
                  <c:v>1.0656371795342843</c:v>
                </c:pt>
                <c:pt idx="94">
                  <c:v>1.156864967564105</c:v>
                </c:pt>
                <c:pt idx="95">
                  <c:v>1.2476120029855435</c:v>
                </c:pt>
                <c:pt idx="96">
                  <c:v>1.3378668167730354</c:v>
                </c:pt>
                <c:pt idx="97">
                  <c:v>1.4276193775216817</c:v>
                </c:pt>
                <c:pt idx="98">
                  <c:v>1.5168609714671402</c:v>
                </c:pt>
                <c:pt idx="99">
                  <c:v>1.6055840924755409</c:v>
                </c:pt>
                <c:pt idx="100">
                  <c:v>1.6937823411236397</c:v>
                </c:pt>
                <c:pt idx="101">
                  <c:v>1.7814503320735375</c:v>
                </c:pt>
                <c:pt idx="102">
                  <c:v>1.8685836090215424</c:v>
                </c:pt>
                <c:pt idx="103">
                  <c:v>1.9551785665683852</c:v>
                </c:pt>
                <c:pt idx="104">
                  <c:v>2.0412323784185791</c:v>
                </c:pt>
                <c:pt idx="105">
                  <c:v>2.1267429313710746</c:v>
                </c:pt>
                <c:pt idx="106">
                  <c:v>2.2117087646127005</c:v>
                </c:pt>
                <c:pt idx="107">
                  <c:v>2.2961290138696859</c:v>
                </c:pt>
                <c:pt idx="108">
                  <c:v>2.3800033600127781</c:v>
                </c:pt>
                <c:pt idx="109">
                  <c:v>2.4633319817472814</c:v>
                </c:pt>
                <c:pt idx="110">
                  <c:v>2.5461155120518515</c:v>
                </c:pt>
                <c:pt idx="111">
                  <c:v>2.6283549980595495</c:v>
                </c:pt>
                <c:pt idx="112">
                  <c:v>2.7100518641010103</c:v>
                </c:pt>
                <c:pt idx="113">
                  <c:v>2.7912078776540987</c:v>
                </c:pt>
                <c:pt idx="114">
                  <c:v>2.8718251179660363</c:v>
                </c:pt>
                <c:pt idx="115">
                  <c:v>2.951905947134168</c:v>
                </c:pt>
                <c:pt idx="116">
                  <c:v>3.031452983449511</c:v>
                </c:pt>
                <c:pt idx="117">
                  <c:v>3.1104690768236716</c:v>
                </c:pt>
                <c:pt idx="118">
                  <c:v>3.188957286134789</c:v>
                </c:pt>
                <c:pt idx="119">
                  <c:v>3.2669208583417593</c:v>
                </c:pt>
                <c:pt idx="120">
                  <c:v>3.3443632092284341</c:v>
                </c:pt>
                <c:pt idx="121">
                  <c:v>3.4212879056509053</c:v>
                </c:pt>
                <c:pt idx="122">
                  <c:v>3.4976986491711766</c:v>
                </c:pt>
                <c:pt idx="123">
                  <c:v>3.5735992609702167</c:v>
                </c:pt>
                <c:pt idx="124">
                  <c:v>3.6489936679418533</c:v>
                </c:pt>
                <c:pt idx="125">
                  <c:v>3.7238858898769318</c:v>
                </c:pt>
                <c:pt idx="126">
                  <c:v>3.7982800276544033</c:v>
                </c:pt>
                <c:pt idx="127">
                  <c:v>3.8721802523626114</c:v>
                </c:pt>
                <c:pt idx="128">
                  <c:v>3.945590795280153</c:v>
                </c:pt>
                <c:pt idx="129">
                  <c:v>4.0185159386511202</c:v>
                </c:pt>
                <c:pt idx="130">
                  <c:v>4.0909600071948535</c:v>
                </c:pt>
                <c:pt idx="131">
                  <c:v>4.1629273602947539</c:v>
                </c:pt>
                <c:pt idx="132">
                  <c:v>4.2344223848151872</c:v>
                </c:pt>
                <c:pt idx="133">
                  <c:v>4.3054494884993524</c:v>
                </c:pt>
                <c:pt idx="134">
                  <c:v>4.3760130939046569</c:v>
                </c:pt>
                <c:pt idx="135">
                  <c:v>4.4461176328354188</c:v>
                </c:pt>
                <c:pt idx="136">
                  <c:v>4.5157675412358618</c:v>
                </c:pt>
                <c:pt idx="137">
                  <c:v>4.5849672545090758</c:v>
                </c:pt>
                <c:pt idx="138">
                  <c:v>4.6537212032302939</c:v>
                </c:pt>
                <c:pt idx="139">
                  <c:v>4.7220338092251843</c:v>
                </c:pt>
                <c:pt idx="140">
                  <c:v>4.7899094819860704</c:v>
                </c:pt>
                <c:pt idx="141">
                  <c:v>4.8573526154009956</c:v>
                </c:pt>
                <c:pt idx="142">
                  <c:v>4.9243675847724697</c:v>
                </c:pt>
                <c:pt idx="143">
                  <c:v>4.9909587441043142</c:v>
                </c:pt>
                <c:pt idx="144">
                  <c:v>5.0571304236369121</c:v>
                </c:pt>
                <c:pt idx="145">
                  <c:v>5.122886927612238</c:v>
                </c:pt>
                <c:pt idx="146">
                  <c:v>5.1882325322517087</c:v>
                </c:pt>
                <c:pt idx="147">
                  <c:v>5.2531714839310419</c:v>
                </c:pt>
                <c:pt idx="148">
                  <c:v>5.3177079975374504</c:v>
                </c:pt>
                <c:pt idx="149">
                  <c:v>5.3818462549955441</c:v>
                </c:pt>
                <c:pt idx="150">
                  <c:v>5.4455904039494136</c:v>
                </c:pt>
                <c:pt idx="151">
                  <c:v>5.5089445565891557</c:v>
                </c:pt>
                <c:pt idx="152">
                  <c:v>5.5719127886110185</c:v>
                </c:pt>
                <c:pt idx="153">
                  <c:v>5.634499138301071</c:v>
                </c:pt>
                <c:pt idx="154">
                  <c:v>5.696707605733204</c:v>
                </c:pt>
                <c:pt idx="155">
                  <c:v>5.7585421520725442</c:v>
                </c:pt>
                <c:pt idx="156">
                  <c:v>5.8200066989765409</c:v>
                </c:pt>
                <c:pt idx="157">
                  <c:v>5.8811051280860296</c:v>
                </c:pt>
                <c:pt idx="158">
                  <c:v>5.9418412805994443</c:v>
                </c:pt>
                <c:pt idx="159">
                  <c:v>6.002218956923759</c:v>
                </c:pt>
                <c:pt idx="160">
                  <c:v>6.0622419163961236</c:v>
                </c:pt>
                <c:pt idx="161">
                  <c:v>6.1219138770707024</c:v>
                </c:pt>
                <c:pt idx="162">
                  <c:v>6.1812385155655072</c:v>
                </c:pt>
                <c:pt idx="163">
                  <c:v>6.2402194669645006</c:v>
                </c:pt>
                <c:pt idx="164">
                  <c:v>6.298860324770458</c:v>
                </c:pt>
                <c:pt idx="165">
                  <c:v>6.3571646409045224</c:v>
                </c:pt>
                <c:pt idx="166">
                  <c:v>6.4151359257485581</c:v>
                </c:pt>
                <c:pt idx="167">
                  <c:v>6.472777648226784</c:v>
                </c:pt>
                <c:pt idx="168">
                  <c:v>6.5300932359233368</c:v>
                </c:pt>
                <c:pt idx="169">
                  <c:v>6.5870860752327465</c:v>
                </c:pt>
                <c:pt idx="170">
                  <c:v>6.6437595115403925</c:v>
                </c:pt>
                <c:pt idx="171">
                  <c:v>6.7001168494303629</c:v>
                </c:pt>
                <c:pt idx="172">
                  <c:v>6.7561613529182036</c:v>
                </c:pt>
                <c:pt idx="173">
                  <c:v>6.8118962457062961</c:v>
                </c:pt>
                <c:pt idx="174">
                  <c:v>6.8673247114597036</c:v>
                </c:pt>
                <c:pt idx="175">
                  <c:v>6.9224498941006152</c:v>
                </c:pt>
                <c:pt idx="176">
                  <c:v>6.9772748981193944</c:v>
                </c:pt>
                <c:pt idx="177">
                  <c:v>7.0318027889007064</c:v>
                </c:pt>
                <c:pt idx="178">
                  <c:v>7.08603659306302</c:v>
                </c:pt>
                <c:pt idx="179">
                  <c:v>7.1399792988101041</c:v>
                </c:pt>
                <c:pt idx="180">
                  <c:v>7.1936338562931272</c:v>
                </c:pt>
                <c:pt idx="181">
                  <c:v>7.2470031779821102</c:v>
                </c:pt>
                <c:pt idx="182">
                  <c:v>7.3000901390455661</c:v>
                </c:pt>
                <c:pt idx="183">
                  <c:v>7.3528975777372887</c:v>
                </c:pt>
                <c:pt idx="184">
                  <c:v>7.405428295789207</c:v>
                </c:pt>
                <c:pt idx="185">
                  <c:v>7.4576850588094885</c:v>
                </c:pt>
                <c:pt idx="186">
                  <c:v>7.5096705966849706</c:v>
                </c:pt>
                <c:pt idx="187">
                  <c:v>7.56138760398711</c:v>
                </c:pt>
                <c:pt idx="188">
                  <c:v>7.6128387403808055</c:v>
                </c:pt>
                <c:pt idx="189">
                  <c:v>7.6640266310353606</c:v>
                </c:pt>
                <c:pt idx="190">
                  <c:v>7.7149538670369591</c:v>
                </c:pt>
                <c:pt idx="191">
                  <c:v>7.7656230058021016</c:v>
                </c:pt>
                <c:pt idx="192">
                  <c:v>7.8160365714915203</c:v>
                </c:pt>
                <c:pt idx="193">
                  <c:v>7.8661970554239522</c:v>
                </c:pt>
                <c:pt idx="194">
                  <c:v>7.9161069164895217</c:v>
                </c:pt>
                <c:pt idx="195">
                  <c:v>7.9657685815621138</c:v>
                </c:pt>
                <c:pt idx="196">
                  <c:v>8.0151844459105366</c:v>
                </c:pt>
                <c:pt idx="197">
                  <c:v>8.0643568736080287</c:v>
                </c:pt>
                <c:pt idx="198">
                  <c:v>8.1132881979398075</c:v>
                </c:pt>
                <c:pt idx="199">
                  <c:v>8.1619807218084421</c:v>
                </c:pt>
                <c:pt idx="200">
                  <c:v>8.210436718136684</c:v>
                </c:pt>
                <c:pt idx="201">
                  <c:v>8.2586584302675838</c:v>
                </c:pt>
                <c:pt idx="202">
                  <c:v>8.3066480723617211</c:v>
                </c:pt>
                <c:pt idx="203">
                  <c:v>8.3544078297912137</c:v>
                </c:pt>
                <c:pt idx="204">
                  <c:v>8.4019398595304597</c:v>
                </c:pt>
                <c:pt idx="205">
                  <c:v>8.4492462905434333</c:v>
                </c:pt>
                <c:pt idx="206">
                  <c:v>8.4963292241673241</c:v>
                </c:pt>
                <c:pt idx="207">
                  <c:v>8.5431907344924447</c:v>
                </c:pt>
                <c:pt idx="208">
                  <c:v>8.5898328687383536</c:v>
                </c:pt>
                <c:pt idx="209">
                  <c:v>8.636257647625925</c:v>
                </c:pt>
                <c:pt idx="210">
                  <c:v>8.6824670657454917</c:v>
                </c:pt>
                <c:pt idx="211">
                  <c:v>8.7284630919207942</c:v>
                </c:pt>
                <c:pt idx="212">
                  <c:v>8.774247669568835</c:v>
                </c:pt>
                <c:pt idx="213">
                  <c:v>8.8198227170554286</c:v>
                </c:pt>
                <c:pt idx="214">
                  <c:v>8.8651901280465459</c:v>
                </c:pt>
                <c:pt idx="215">
                  <c:v>8.9103517718553213</c:v>
                </c:pt>
                <c:pt idx="216">
                  <c:v>8.9553094937847142</c:v>
                </c:pt>
                <c:pt idx="217">
                  <c:v>9.0000651154658389</c:v>
                </c:pt>
                <c:pt idx="218">
                  <c:v>9.0446204351918684</c:v>
                </c:pt>
                <c:pt idx="219">
                  <c:v>9.0889772282476358</c:v>
                </c:pt>
                <c:pt idx="220">
                  <c:v>9.1331372472347567</c:v>
                </c:pt>
                <c:pt idx="221">
                  <c:v>9.1771022223924472</c:v>
                </c:pt>
                <c:pt idx="222">
                  <c:v>9.2208738619138852</c:v>
                </c:pt>
                <c:pt idx="223">
                  <c:v>9.2644538522582778</c:v>
                </c:pt>
                <c:pt idx="224">
                  <c:v>9.3078438584585061</c:v>
                </c:pt>
                <c:pt idx="225">
                  <c:v>9.3510455244245065</c:v>
                </c:pt>
                <c:pt idx="226">
                  <c:v>9.7730506143434752</c:v>
                </c:pt>
                <c:pt idx="227">
                  <c:v>10.177884115904623</c:v>
                </c:pt>
                <c:pt idx="228">
                  <c:v>10.566884360469119</c:v>
                </c:pt>
                <c:pt idx="229">
                  <c:v>10.94123433212825</c:v>
                </c:pt>
                <c:pt idx="230">
                  <c:v>11.301981661071137</c:v>
                </c:pt>
                <c:pt idx="231">
                  <c:v>11.650055678617724</c:v>
                </c:pt>
                <c:pt idx="232">
                  <c:v>11.986281966461359</c:v>
                </c:pt>
                <c:pt idx="233">
                  <c:v>12.311394784239475</c:v>
                </c:pt>
                <c:pt idx="234">
                  <c:v>12.626047707593306</c:v>
                </c:pt>
                <c:pt idx="235">
                  <c:v>12.930822759636273</c:v>
                </c:pt>
                <c:pt idx="236">
                  <c:v>13.226238274771351</c:v>
                </c:pt>
                <c:pt idx="237">
                  <c:v>13.512755695770808</c:v>
                </c:pt>
                <c:pt idx="238">
                  <c:v>13.790785472764798</c:v>
                </c:pt>
                <c:pt idx="239">
                  <c:v>14.060692205707531</c:v>
                </c:pt>
                <c:pt idx="240">
                  <c:v>14.322799149306721</c:v>
                </c:pt>
                <c:pt idx="241">
                  <c:v>14.577392180623809</c:v>
                </c:pt>
                <c:pt idx="242">
                  <c:v>14.824723313946386</c:v>
                </c:pt>
                <c:pt idx="243">
                  <c:v>15.065013834546752</c:v>
                </c:pt>
                <c:pt idx="244">
                  <c:v>15.298457112100346</c:v>
                </c:pt>
                <c:pt idx="245">
                  <c:v>15.525221145446491</c:v>
                </c:pt>
                <c:pt idx="246">
                  <c:v>15.745450882703116</c:v>
                </c:pt>
                <c:pt idx="247">
                  <c:v>15.959270354222582</c:v>
                </c:pt>
                <c:pt idx="248">
                  <c:v>16.166784650274018</c:v>
                </c:pt>
                <c:pt idx="249">
                  <c:v>16.368081770474724</c:v>
                </c:pt>
                <c:pt idx="250">
                  <c:v>16.563234367720732</c:v>
                </c:pt>
                <c:pt idx="251">
                  <c:v>16.752301405564541</c:v>
                </c:pt>
                <c:pt idx="252">
                  <c:v>16.935329744562143</c:v>
                </c:pt>
                <c:pt idx="253">
                  <c:v>17.112355669988702</c:v>
                </c:pt>
                <c:pt idx="254">
                  <c:v>17.283406370449118</c:v>
                </c:pt>
                <c:pt idx="255">
                  <c:v>17.44850137424859</c:v>
                </c:pt>
                <c:pt idx="256">
                  <c:v>17.607653947917715</c:v>
                </c:pt>
                <c:pt idx="257">
                  <c:v>17.760872458995948</c:v>
                </c:pt>
                <c:pt idx="258">
                  <c:v>17.908161703069496</c:v>
                </c:pt>
                <c:pt idx="259">
                  <c:v>18.049524193144574</c:v>
                </c:pt>
                <c:pt idx="260">
                  <c:v>18.18496140773275</c:v>
                </c:pt>
                <c:pt idx="261">
                  <c:v>18.31447499255535</c:v>
                </c:pt>
                <c:pt idx="262">
                  <c:v>18.438067909562406</c:v>
                </c:pt>
                <c:pt idx="263">
                  <c:v>18.555745526035288</c:v>
                </c:pt>
                <c:pt idx="264">
                  <c:v>18.667516635922116</c:v>
                </c:pt>
                <c:pt idx="265">
                  <c:v>18.773394405259808</c:v>
                </c:pt>
                <c:pt idx="266">
                  <c:v>18.873397233575229</c:v>
                </c:pt>
                <c:pt idx="267">
                  <c:v>18.967549523531666</c:v>
                </c:pt>
                <c:pt idx="268">
                  <c:v>19.055882351785364</c:v>
                </c:pt>
                <c:pt idx="269">
                  <c:v>19.138434035018484</c:v>
                </c:pt>
                <c:pt idx="270">
                  <c:v>19.215250586386702</c:v>
                </c:pt>
                <c:pt idx="271">
                  <c:v>19.2863860591176</c:v>
                </c:pt>
                <c:pt idx="272">
                  <c:v>19.351902775667277</c:v>
                </c:pt>
                <c:pt idx="273">
                  <c:v>19.411871442626737</c:v>
                </c:pt>
                <c:pt idx="274">
                  <c:v>19.466371153402054</c:v>
                </c:pt>
                <c:pt idx="275">
                  <c:v>19.515489282507389</c:v>
                </c:pt>
                <c:pt idx="276">
                  <c:v>19.559321277042866</c:v>
                </c:pt>
                <c:pt idx="277">
                  <c:v>19.597970352521592</c:v>
                </c:pt>
                <c:pt idx="278">
                  <c:v>19.63154710160914</c:v>
                </c:pt>
                <c:pt idx="279">
                  <c:v>19.660169025503279</c:v>
                </c:pt>
                <c:pt idx="280">
                  <c:v>19.683959998581013</c:v>
                </c:pt>
                <c:pt idx="281">
                  <c:v>19.703049677555487</c:v>
                </c:pt>
                <c:pt idx="282">
                  <c:v>19.717572866711656</c:v>
                </c:pt>
                <c:pt idx="283">
                  <c:v>19.727668850832437</c:v>
                </c:pt>
                <c:pt idx="284">
                  <c:v>19.73348070720337</c:v>
                </c:pt>
                <c:pt idx="285">
                  <c:v>19.735154607618391</c:v>
                </c:pt>
                <c:pt idx="286">
                  <c:v>19.732839120635759</c:v>
                </c:pt>
                <c:pt idx="287">
                  <c:v>19.726684523487581</c:v>
                </c:pt>
                <c:pt idx="288">
                  <c:v>19.716842132069608</c:v>
                </c:pt>
                <c:pt idx="289">
                  <c:v>19.703463656369692</c:v>
                </c:pt>
                <c:pt idx="290">
                  <c:v>19.686700587572986</c:v>
                </c:pt>
                <c:pt idx="291">
                  <c:v>19.666703621946031</c:v>
                </c:pt>
                <c:pt idx="292">
                  <c:v>19.643622125482278</c:v>
                </c:pt>
                <c:pt idx="293">
                  <c:v>19.61760364221654</c:v>
                </c:pt>
                <c:pt idx="294">
                  <c:v>19.588793448107527</c:v>
                </c:pt>
                <c:pt idx="295">
                  <c:v>19.557334151462943</c:v>
                </c:pt>
                <c:pt idx="296">
                  <c:v>19.523365340053576</c:v>
                </c:pt>
                <c:pt idx="297">
                  <c:v>19.4870232743374</c:v>
                </c:pt>
                <c:pt idx="298">
                  <c:v>19.448440625596071</c:v>
                </c:pt>
                <c:pt idx="299">
                  <c:v>19.407746257273271</c:v>
                </c:pt>
                <c:pt idx="300">
                  <c:v>19.365065047392804</c:v>
                </c:pt>
                <c:pt idx="301">
                  <c:v>19.320517749619931</c:v>
                </c:pt>
                <c:pt idx="302">
                  <c:v>19.274220890302121</c:v>
                </c:pt>
                <c:pt idx="303">
                  <c:v>19.226286698678521</c:v>
                </c:pt>
                <c:pt idx="304">
                  <c:v>19.176823067370048</c:v>
                </c:pt>
                <c:pt idx="305">
                  <c:v>19.125933540245093</c:v>
                </c:pt>
                <c:pt idx="306">
                  <c:v>19.073717324789627</c:v>
                </c:pt>
                <c:pt idx="307">
                  <c:v>19.02026932618611</c:v>
                </c:pt>
                <c:pt idx="308">
                  <c:v>18.965680200414226</c:v>
                </c:pt>
                <c:pt idx="309">
                  <c:v>18.91003642382055</c:v>
                </c:pt>
                <c:pt idx="310">
                  <c:v>18.853420376756866</c:v>
                </c:pt>
                <c:pt idx="311">
                  <c:v>18.795910439051756</c:v>
                </c:pt>
                <c:pt idx="312">
                  <c:v>18.737581095252484</c:v>
                </c:pt>
                <c:pt idx="313">
                  <c:v>18.678503047748784</c:v>
                </c:pt>
                <c:pt idx="314">
                  <c:v>18.618743336064789</c:v>
                </c:pt>
                <c:pt idx="315">
                  <c:v>18.558365460775349</c:v>
                </c:pt>
                <c:pt idx="316">
                  <c:v>18.497429510667764</c:v>
                </c:pt>
                <c:pt idx="317">
                  <c:v>18.435992291926496</c:v>
                </c:pt>
                <c:pt idx="318">
                  <c:v>18.374107458266231</c:v>
                </c:pt>
                <c:pt idx="319">
                  <c:v>18.311825641076883</c:v>
                </c:pt>
                <c:pt idx="320">
                  <c:v>18.249194578771743</c:v>
                </c:pt>
                <c:pt idx="321">
                  <c:v>18.186259244647694</c:v>
                </c:pt>
                <c:pt idx="322">
                  <c:v>18.123061972673447</c:v>
                </c:pt>
                <c:pt idx="323">
                  <c:v>18.059642580718741</c:v>
                </c:pt>
                <c:pt idx="324">
                  <c:v>17.996038490825029</c:v>
                </c:pt>
                <c:pt idx="325">
                  <c:v>17.932284846195984</c:v>
                </c:pt>
                <c:pt idx="326">
                  <c:v>17.868414624655731</c:v>
                </c:pt>
                <c:pt idx="327">
                  <c:v>17.804458748383773</c:v>
                </c:pt>
                <c:pt idx="328">
                  <c:v>17.740446189789438</c:v>
                </c:pt>
                <c:pt idx="329">
                  <c:v>17.676404073435368</c:v>
                </c:pt>
                <c:pt idx="330">
                  <c:v>17.612357773959971</c:v>
                </c:pt>
                <c:pt idx="331">
                  <c:v>17.548331009983706</c:v>
                </c:pt>
                <c:pt idx="332">
                  <c:v>17.484345934013405</c:v>
                </c:pt>
                <c:pt idx="333">
                  <c:v>17.420423218383903</c:v>
                </c:pt>
                <c:pt idx="334">
                  <c:v>17.356582137297046</c:v>
                </c:pt>
                <c:pt idx="335">
                  <c:v>17.292840645035255</c:v>
                </c:pt>
                <c:pt idx="336">
                  <c:v>17.229215450440702</c:v>
                </c:pt>
                <c:pt idx="337">
                  <c:v>17.165722087762287</c:v>
                </c:pt>
                <c:pt idx="338">
                  <c:v>17.102374983981083</c:v>
                </c:pt>
                <c:pt idx="339">
                  <c:v>17.039187522731343</c:v>
                </c:pt>
                <c:pt idx="340">
                  <c:v>16.976172104938772</c:v>
                </c:pt>
                <c:pt idx="341">
                  <c:v>16.913340206300589</c:v>
                </c:pt>
                <c:pt idx="342">
                  <c:v>16.850702431733524</c:v>
                </c:pt>
                <c:pt idx="343">
                  <c:v>16.788268566916351</c:v>
                </c:pt>
                <c:pt idx="344">
                  <c:v>16.726047627052843</c:v>
                </c:pt>
                <c:pt idx="345">
                  <c:v>16.664047902979831</c:v>
                </c:pt>
                <c:pt idx="346">
                  <c:v>16.602277004742767</c:v>
                </c:pt>
                <c:pt idx="347">
                  <c:v>16.540741902758917</c:v>
                </c:pt>
                <c:pt idx="348">
                  <c:v>16.479448966684874</c:v>
                </c:pt>
                <c:pt idx="349">
                  <c:v>16.418404002102108</c:v>
                </c:pt>
                <c:pt idx="350">
                  <c:v>16.357612285130326</c:v>
                </c:pt>
                <c:pt idx="351">
                  <c:v>16.297078595074844</c:v>
                </c:pt>
                <c:pt idx="352">
                  <c:v>16.236807245210002</c:v>
                </c:pt>
                <c:pt idx="353">
                  <c:v>16.176802111796853</c:v>
                </c:pt>
                <c:pt idx="354">
                  <c:v>16.117066661429135</c:v>
                </c:pt>
                <c:pt idx="355">
                  <c:v>16.057603976797584</c:v>
                </c:pt>
                <c:pt idx="356">
                  <c:v>15.998416780958589</c:v>
                </c:pt>
                <c:pt idx="357">
                  <c:v>15.939507460189208</c:v>
                </c:pt>
                <c:pt idx="358">
                  <c:v>15.880878085506771</c:v>
                </c:pt>
                <c:pt idx="359">
                  <c:v>15.822530432927351</c:v>
                </c:pt>
                <c:pt idx="360">
                  <c:v>15.764466002533897</c:v>
                </c:pt>
                <c:pt idx="361">
                  <c:v>15.706686036421022</c:v>
                </c:pt>
                <c:pt idx="362">
                  <c:v>15.649191535580268</c:v>
                </c:pt>
                <c:pt idx="363">
                  <c:v>15.591983275786024</c:v>
                </c:pt>
                <c:pt idx="364">
                  <c:v>15.535061822539365</c:v>
                </c:pt>
                <c:pt idx="365">
                  <c:v>15.478427545123925</c:v>
                </c:pt>
                <c:pt idx="366">
                  <c:v>15.422080629824864</c:v>
                </c:pt>
                <c:pt idx="367">
                  <c:v>15.366021092359404</c:v>
                </c:pt>
                <c:pt idx="368">
                  <c:v>15.310248789564563</c:v>
                </c:pt>
                <c:pt idx="369">
                  <c:v>15.254763430385323</c:v>
                </c:pt>
                <c:pt idx="370">
                  <c:v>15.199564586203904</c:v>
                </c:pt>
                <c:pt idx="371">
                  <c:v>15.144651700548625</c:v>
                </c:pt>
                <c:pt idx="372">
                  <c:v>15.090024098218667</c:v>
                </c:pt>
                <c:pt idx="373">
                  <c:v>15.035680993858788</c:v>
                </c:pt>
                <c:pt idx="374">
                  <c:v>14.981621500016463</c:v>
                </c:pt>
                <c:pt idx="375">
                  <c:v>14.927844634711583</c:v>
                </c:pt>
                <c:pt idx="376">
                  <c:v>14.87434932854759</c:v>
                </c:pt>
                <c:pt idx="377">
                  <c:v>14.821134431390796</c:v>
                </c:pt>
                <c:pt idx="378">
                  <c:v>14.7681987186435</c:v>
                </c:pt>
                <c:pt idx="379">
                  <c:v>14.715540897134643</c:v>
                </c:pt>
                <c:pt idx="380">
                  <c:v>14.663159610650712</c:v>
                </c:pt>
                <c:pt idx="381">
                  <c:v>14.611053445127954</c:v>
                </c:pt>
                <c:pt idx="382">
                  <c:v>14.559220933525944</c:v>
                </c:pt>
                <c:pt idx="383">
                  <c:v>14.507660560401344</c:v>
                </c:pt>
                <c:pt idx="384">
                  <c:v>14.456370766199409</c:v>
                </c:pt>
                <c:pt idx="385">
                  <c:v>14.405349951280096</c:v>
                </c:pt>
                <c:pt idx="386">
                  <c:v>14.354596479694194</c:v>
                </c:pt>
                <c:pt idx="387">
                  <c:v>14.304108682724513</c:v>
                </c:pt>
                <c:pt idx="388">
                  <c:v>14.253884862205728</c:v>
                </c:pt>
                <c:pt idx="389">
                  <c:v>14.203923293636173</c:v>
                </c:pt>
                <c:pt idx="390">
                  <c:v>14.154222229093701</c:v>
                </c:pt>
                <c:pt idx="391">
                  <c:v>14.104779899967317</c:v>
                </c:pt>
                <c:pt idx="392">
                  <c:v>14.05559451951534</c:v>
                </c:pt>
                <c:pt idx="393">
                  <c:v>14.006664285260435</c:v>
                </c:pt>
                <c:pt idx="394">
                  <c:v>13.957987381231092</c:v>
                </c:pt>
                <c:pt idx="395">
                  <c:v>13.909561980058678</c:v>
                </c:pt>
                <c:pt idx="396">
                  <c:v>13.861386244938496</c:v>
                </c:pt>
                <c:pt idx="397">
                  <c:v>13.813458331463043</c:v>
                </c:pt>
                <c:pt idx="398">
                  <c:v>13.765776389334821</c:v>
                </c:pt>
                <c:pt idx="399">
                  <c:v>13.718338563966036</c:v>
                </c:pt>
                <c:pt idx="400">
                  <c:v>13.671142997971693</c:v>
                </c:pt>
                <c:pt idx="401">
                  <c:v>13.624187832562537</c:v>
                </c:pt>
                <c:pt idx="402">
                  <c:v>13.577471208843633</c:v>
                </c:pt>
                <c:pt idx="403">
                  <c:v>13.530991269024311</c:v>
                </c:pt>
                <c:pt idx="404">
                  <c:v>13.484746157544619</c:v>
                </c:pt>
                <c:pt idx="405">
                  <c:v>13.43873402212331</c:v>
                </c:pt>
                <c:pt idx="406">
                  <c:v>13.392953014731965</c:v>
                </c:pt>
                <c:pt idx="407">
                  <c:v>13.347401292499697</c:v>
                </c:pt>
                <c:pt idx="408">
                  <c:v>13.302077018552529</c:v>
                </c:pt>
                <c:pt idx="409">
                  <c:v>13.256978362791298</c:v>
                </c:pt>
                <c:pt idx="410">
                  <c:v>13.21210350261188</c:v>
                </c:pt>
                <c:pt idx="411">
                  <c:v>13.167450623571028</c:v>
                </c:pt>
                <c:pt idx="412">
                  <c:v>13.123017920001161</c:v>
                </c:pt>
                <c:pt idx="413">
                  <c:v>13.07880359557717</c:v>
                </c:pt>
                <c:pt idx="414">
                  <c:v>13.034805863838063</c:v>
                </c:pt>
                <c:pt idx="415">
                  <c:v>12.991022948666206</c:v>
                </c:pt>
                <c:pt idx="416">
                  <c:v>12.947453084726735</c:v>
                </c:pt>
                <c:pt idx="417">
                  <c:v>12.904094517869481</c:v>
                </c:pt>
                <c:pt idx="418">
                  <c:v>12.860945505495767</c:v>
                </c:pt>
                <c:pt idx="419">
                  <c:v>12.818004316892079</c:v>
                </c:pt>
                <c:pt idx="420">
                  <c:v>12.775269233532827</c:v>
                </c:pt>
                <c:pt idx="421">
                  <c:v>12.732738549353877</c:v>
                </c:pt>
                <c:pt idx="422">
                  <c:v>12.690410570998765</c:v>
                </c:pt>
                <c:pt idx="423">
                  <c:v>12.648283618039295</c:v>
                </c:pt>
                <c:pt idx="424">
                  <c:v>12.606356023172015</c:v>
                </c:pt>
                <c:pt idx="425">
                  <c:v>12.564626132392132</c:v>
                </c:pt>
                <c:pt idx="426">
                  <c:v>12.523092305146257</c:v>
                </c:pt>
                <c:pt idx="427">
                  <c:v>12.481752914465327</c:v>
                </c:pt>
                <c:pt idx="428">
                  <c:v>12.440606347078916</c:v>
                </c:pt>
                <c:pt idx="429">
                  <c:v>12.399651003512131</c:v>
                </c:pt>
                <c:pt idx="430">
                  <c:v>12.358885298166239</c:v>
                </c:pt>
                <c:pt idx="431">
                  <c:v>12.318307659383997</c:v>
                </c:pt>
                <c:pt idx="432">
                  <c:v>12.277916529500752</c:v>
                </c:pt>
                <c:pt idx="433">
                  <c:v>12.23771036488219</c:v>
                </c:pt>
                <c:pt idx="434">
                  <c:v>12.197687635949608</c:v>
                </c:pt>
                <c:pt idx="435">
                  <c:v>12.157846827193563</c:v>
                </c:pt>
                <c:pt idx="436">
                  <c:v>12.11818643717667</c:v>
                </c:pt>
                <c:pt idx="437">
                  <c:v>12.07870497852624</c:v>
                </c:pt>
                <c:pt idx="438">
                  <c:v>12.039400977917527</c:v>
                </c:pt>
                <c:pt idx="439">
                  <c:v>12.000272976048139</c:v>
                </c:pt>
                <c:pt idx="440">
                  <c:v>11.961319527604289</c:v>
                </c:pt>
                <c:pt idx="441">
                  <c:v>11.922539201219482</c:v>
                </c:pt>
                <c:pt idx="442">
                  <c:v>11.883930579426085</c:v>
                </c:pt>
                <c:pt idx="443">
                  <c:v>11.845492258600407</c:v>
                </c:pt>
                <c:pt idx="444">
                  <c:v>11.807222848901686</c:v>
                </c:pt>
                <c:pt idx="445">
                  <c:v>11.769120974205475</c:v>
                </c:pt>
                <c:pt idx="446">
                  <c:v>11.731185272031855</c:v>
                </c:pt>
                <c:pt idx="447">
                  <c:v>11.693414393468851</c:v>
                </c:pt>
                <c:pt idx="448">
                  <c:v>11.655807003091471</c:v>
                </c:pt>
                <c:pt idx="449">
                  <c:v>11.618361778876675</c:v>
                </c:pt>
                <c:pt idx="450">
                  <c:v>11.581077412114652</c:v>
                </c:pt>
                <c:pt idx="451">
                  <c:v>11.543952607316699</c:v>
                </c:pt>
                <c:pt idx="452">
                  <c:v>11.506986082119992</c:v>
                </c:pt>
                <c:pt idx="453">
                  <c:v>11.470176567189554</c:v>
                </c:pt>
                <c:pt idx="454">
                  <c:v>11.433522806117653</c:v>
                </c:pt>
                <c:pt idx="455">
                  <c:v>11.397023555320906</c:v>
                </c:pt>
                <c:pt idx="456">
                  <c:v>11.360677583935278</c:v>
                </c:pt>
                <c:pt idx="457">
                  <c:v>11.324483673709242</c:v>
                </c:pt>
                <c:pt idx="458">
                  <c:v>11.288440618895279</c:v>
                </c:pt>
                <c:pt idx="459">
                  <c:v>11.252547226139914</c:v>
                </c:pt>
                <c:pt idx="460">
                  <c:v>11.216802314372444</c:v>
                </c:pt>
                <c:pt idx="461">
                  <c:v>11.181204714692601</c:v>
                </c:pt>
                <c:pt idx="462">
                  <c:v>11.145753270257179</c:v>
                </c:pt>
                <c:pt idx="463">
                  <c:v>11.110446836165957</c:v>
                </c:pt>
                <c:pt idx="464">
                  <c:v>11.075284279346851</c:v>
                </c:pt>
                <c:pt idx="465">
                  <c:v>11.040264478440578</c:v>
                </c:pt>
                <c:pt idx="466">
                  <c:v>11.005386323684913</c:v>
                </c:pt>
                <c:pt idx="467">
                  <c:v>10.970648716798621</c:v>
                </c:pt>
                <c:pt idx="468">
                  <c:v>10.936050570865174</c:v>
                </c:pt>
                <c:pt idx="469">
                  <c:v>10.901590810216426</c:v>
                </c:pt>
                <c:pt idx="470">
                  <c:v>10.867268370316228</c:v>
                </c:pt>
                <c:pt idx="471">
                  <c:v>10.833082197644181</c:v>
                </c:pt>
                <c:pt idx="472">
                  <c:v>10.799031249579507</c:v>
                </c:pt>
                <c:pt idx="473">
                  <c:v>10.765114494285172</c:v>
                </c:pt>
                <c:pt idx="474">
                  <c:v>10.731330910592348</c:v>
                </c:pt>
                <c:pt idx="475">
                  <c:v>10.697679487885221</c:v>
                </c:pt>
                <c:pt idx="476">
                  <c:v>10.664159225986243</c:v>
                </c:pt>
                <c:pt idx="477">
                  <c:v>10.630769135041884</c:v>
                </c:pt>
                <c:pt idx="478">
                  <c:v>10.597508235408924</c:v>
                </c:pt>
                <c:pt idx="479">
                  <c:v>10.564375557541329</c:v>
                </c:pt>
                <c:pt idx="480">
                  <c:v>10.531370141877797</c:v>
                </c:pt>
                <c:pt idx="481">
                  <c:v>10.498491038729949</c:v>
                </c:pt>
                <c:pt idx="482">
                  <c:v>10.465737308171253</c:v>
                </c:pt>
                <c:pt idx="483">
                  <c:v>10.433108019926697</c:v>
                </c:pt>
                <c:pt idx="484">
                  <c:v>10.400602253263253</c:v>
                </c:pt>
                <c:pt idx="485">
                  <c:v>10.36821909688115</c:v>
                </c:pt>
                <c:pt idx="486">
                  <c:v>10.335957648805994</c:v>
                </c:pt>
                <c:pt idx="487">
                  <c:v>10.3038170162817</c:v>
                </c:pt>
                <c:pt idx="488">
                  <c:v>10.271796315664423</c:v>
                </c:pt>
                <c:pt idx="489">
                  <c:v>10.239894672317289</c:v>
                </c:pt>
                <c:pt idx="490">
                  <c:v>10.208111220506071</c:v>
                </c:pt>
                <c:pt idx="491">
                  <c:v>10.176445103295856</c:v>
                </c:pt>
                <c:pt idx="492">
                  <c:v>10.14489547244863</c:v>
                </c:pt>
                <c:pt idx="493">
                  <c:v>10.113461488321793</c:v>
                </c:pt>
                <c:pt idx="494">
                  <c:v>10.082142319767737</c:v>
                </c:pt>
                <c:pt idx="495">
                  <c:v>10.05093714403432</c:v>
                </c:pt>
                <c:pt idx="496">
                  <c:v>10.019845146666409</c:v>
                </c:pt>
                <c:pt idx="497">
                  <c:v>9.9888655214083801</c:v>
                </c:pt>
                <c:pt idx="498">
                  <c:v>9.9579974701076281</c:v>
                </c:pt>
                <c:pt idx="499">
                  <c:v>9.9272402026191013</c:v>
                </c:pt>
                <c:pt idx="500">
                  <c:v>9.8965929367108636</c:v>
                </c:pt>
                <c:pt idx="501">
                  <c:v>9.8660548979706224</c:v>
                </c:pt>
                <c:pt idx="502">
                  <c:v>9.8356253197133388</c:v>
                </c:pt>
                <c:pt idx="503">
                  <c:v>9.8053034428897927</c:v>
                </c:pt>
                <c:pt idx="504">
                  <c:v>9.7750885159962326</c:v>
                </c:pt>
                <c:pt idx="505">
                  <c:v>9.7449797949849888</c:v>
                </c:pt>
                <c:pt idx="506">
                  <c:v>9.7149765431760962</c:v>
                </c:pt>
                <c:pt idx="507">
                  <c:v>9.6850780311700131</c:v>
                </c:pt>
                <c:pt idx="508">
                  <c:v>9.65528353676123</c:v>
                </c:pt>
                <c:pt idx="509">
                  <c:v>9.6255923448529899</c:v>
                </c:pt>
                <c:pt idx="510">
                  <c:v>9.5960037473729258</c:v>
                </c:pt>
                <c:pt idx="511">
                  <c:v>9.5665170431897728</c:v>
                </c:pt>
                <c:pt idx="512">
                  <c:v>9.5371315380309927</c:v>
                </c:pt>
                <c:pt idx="513">
                  <c:v>9.5078465444014597</c:v>
                </c:pt>
                <c:pt idx="514">
                  <c:v>9.4786613815030734</c:v>
                </c:pt>
                <c:pt idx="515">
                  <c:v>9.4495753751553622</c:v>
                </c:pt>
                <c:pt idx="516">
                  <c:v>9.420587857717063</c:v>
                </c:pt>
                <c:pt idx="517">
                  <c:v>9.3916981680086504</c:v>
                </c:pt>
                <c:pt idx="518">
                  <c:v>9.3629056512358151</c:v>
                </c:pt>
                <c:pt idx="519">
                  <c:v>9.3342096589139061</c:v>
                </c:pt>
                <c:pt idx="520">
                  <c:v>9.3056095487932815</c:v>
                </c:pt>
                <c:pt idx="521">
                  <c:v>9.2771046847856269</c:v>
                </c:pt>
                <c:pt idx="522">
                  <c:v>9.2486944368911441</c:v>
                </c:pt>
                <c:pt idx="523">
                  <c:v>9.2203781811267067</c:v>
                </c:pt>
                <c:pt idx="524">
                  <c:v>9.1921552994548943</c:v>
                </c:pt>
                <c:pt idx="525">
                  <c:v>9.1640251797139101</c:v>
                </c:pt>
                <c:pt idx="526">
                  <c:v>9.135987215548413</c:v>
                </c:pt>
                <c:pt idx="527">
                  <c:v>9.1080408063411884</c:v>
                </c:pt>
                <c:pt idx="528">
                  <c:v>9.0801853571457585</c:v>
                </c:pt>
                <c:pt idx="529">
                  <c:v>9.0524202786197812</c:v>
                </c:pt>
                <c:pt idx="530">
                  <c:v>9.0247449869593197</c:v>
                </c:pt>
                <c:pt idx="531">
                  <c:v>8.9971589038339932</c:v>
                </c:pt>
                <c:pt idx="532">
                  <c:v>8.9696614563228891</c:v>
                </c:pt>
                <c:pt idx="533">
                  <c:v>8.942252076851382</c:v>
                </c:pt>
                <c:pt idx="534">
                  <c:v>8.9149302031286943</c:v>
                </c:pt>
                <c:pt idx="535">
                  <c:v>8.8876952780863103</c:v>
                </c:pt>
                <c:pt idx="536">
                  <c:v>8.8605467498171606</c:v>
                </c:pt>
                <c:pt idx="537">
                  <c:v>8.8334840715155902</c:v>
                </c:pt>
                <c:pt idx="538">
                  <c:v>8.8065067014181491</c:v>
                </c:pt>
                <c:pt idx="539">
                  <c:v>8.7796141027450787</c:v>
                </c:pt>
                <c:pt idx="540">
                  <c:v>8.7528057436426092</c:v>
                </c:pt>
                <c:pt idx="541">
                  <c:v>8.7260810971260021</c:v>
                </c:pt>
                <c:pt idx="542">
                  <c:v>8.6994396410233215</c:v>
                </c:pt>
                <c:pt idx="543">
                  <c:v>8.672880857919921</c:v>
                </c:pt>
                <c:pt idx="544">
                  <c:v>8.6464042351036916</c:v>
                </c:pt>
                <c:pt idx="545">
                  <c:v>8.6200092645109958</c:v>
                </c:pt>
                <c:pt idx="546">
                  <c:v>8.5936954426733099</c:v>
                </c:pt>
                <c:pt idx="547">
                  <c:v>8.5674622706645671</c:v>
                </c:pt>
                <c:pt idx="548">
                  <c:v>8.5413092540491817</c:v>
                </c:pt>
                <c:pt idx="549">
                  <c:v>8.51523590283076</c:v>
                </c:pt>
                <c:pt idx="550">
                  <c:v>8.489241731401469</c:v>
                </c:pt>
                <c:pt idx="551">
                  <c:v>8.4633262584920761</c:v>
                </c:pt>
                <c:pt idx="552">
                  <c:v>8.4374890071226183</c:v>
                </c:pt>
                <c:pt idx="553">
                  <c:v>8.411729504553751</c:v>
                </c:pt>
                <c:pt idx="554">
                  <c:v>8.3860472822386924</c:v>
                </c:pt>
                <c:pt idx="555">
                  <c:v>8.3604418757758445</c:v>
                </c:pt>
                <c:pt idx="556">
                  <c:v>8.3349128248619557</c:v>
                </c:pt>
                <c:pt idx="557">
                  <c:v>8.3094596732459785</c:v>
                </c:pt>
                <c:pt idx="558">
                  <c:v>8.2840819686834557</c:v>
                </c:pt>
                <c:pt idx="559">
                  <c:v>8.2587792628915651</c:v>
                </c:pt>
                <c:pt idx="560">
                  <c:v>8.2335511115046902</c:v>
                </c:pt>
                <c:pt idx="561">
                  <c:v>8.2083970740306036</c:v>
                </c:pt>
                <c:pt idx="562">
                  <c:v>8.1833167138072209</c:v>
                </c:pt>
                <c:pt idx="563">
                  <c:v>8.1583095979599012</c:v>
                </c:pt>
                <c:pt idx="564">
                  <c:v>8.1333752973593008</c:v>
                </c:pt>
                <c:pt idx="565">
                  <c:v>8.1085133865797978</c:v>
                </c:pt>
                <c:pt idx="566">
                  <c:v>8.0837234438584264</c:v>
                </c:pt>
                <c:pt idx="567">
                  <c:v>8.0590050510543616</c:v>
                </c:pt>
                <c:pt idx="568">
                  <c:v>8.0343577936089243</c:v>
                </c:pt>
                <c:pt idx="569">
                  <c:v>8.0097812605060987</c:v>
                </c:pt>
                <c:pt idx="570">
                  <c:v>7.9852750442335738</c:v>
                </c:pt>
                <c:pt idx="571">
                  <c:v>7.9608387407442631</c:v>
                </c:pt>
                <c:pt idx="572">
                  <c:v>7.936471949418352</c:v>
                </c:pt>
                <c:pt idx="573">
                  <c:v>7.9121742730258129</c:v>
                </c:pt>
                <c:pt idx="574">
                  <c:v>7.8879453176893923</c:v>
                </c:pt>
                <c:pt idx="575">
                  <c:v>7.8637846928481325</c:v>
                </c:pt>
                <c:pt idx="576">
                  <c:v>7.8396920112212722</c:v>
                </c:pt>
                <c:pt idx="577">
                  <c:v>7.8156668887726868</c:v>
                </c:pt>
                <c:pt idx="578">
                  <c:v>7.7917089446757508</c:v>
                </c:pt>
                <c:pt idx="579">
                  <c:v>7.7678178012786496</c:v>
                </c:pt>
                <c:pt idx="580">
                  <c:v>7.7439930840701487</c:v>
                </c:pt>
                <c:pt idx="581">
                  <c:v>7.7202344216457908</c:v>
                </c:pt>
                <c:pt idx="582">
                  <c:v>7.6965414456745176</c:v>
                </c:pt>
                <c:pt idx="583">
                  <c:v>7.6729137908657528</c:v>
                </c:pt>
                <c:pt idx="584">
                  <c:v>7.6493510949368373</c:v>
                </c:pt>
                <c:pt idx="585">
                  <c:v>7.6258529985809531</c:v>
                </c:pt>
                <c:pt idx="586">
                  <c:v>7.6024191454353964</c:v>
                </c:pt>
                <c:pt idx="587">
                  <c:v>7.5790491820503005</c:v>
                </c:pt>
                <c:pt idx="588">
                  <c:v>7.5557427578577059</c:v>
                </c:pt>
                <c:pt idx="589">
                  <c:v>7.5324995251410645</c:v>
                </c:pt>
                <c:pt idx="590">
                  <c:v>7.5093191390051084</c:v>
                </c:pt>
                <c:pt idx="591">
                  <c:v>7.4862012573460817</c:v>
                </c:pt>
                <c:pt idx="592">
                  <c:v>7.4631455408224046</c:v>
                </c:pt>
                <c:pt idx="593">
                  <c:v>7.4401516528256408</c:v>
                </c:pt>
                <c:pt idx="594">
                  <c:v>7.417219259451862</c:v>
                </c:pt>
                <c:pt idx="595">
                  <c:v>7.3943480294733765</c:v>
                </c:pt>
                <c:pt idx="596">
                  <c:v>7.3715376343107994</c:v>
                </c:pt>
                <c:pt idx="597">
                  <c:v>7.3487877480054724</c:v>
                </c:pt>
                <c:pt idx="598">
                  <c:v>7.326098047192227</c:v>
                </c:pt>
                <c:pt idx="599">
                  <c:v>7.3034682110725022</c:v>
                </c:pt>
                <c:pt idx="600">
                  <c:v>7.2808979213877887</c:v>
                </c:pt>
                <c:pt idx="601">
                  <c:v>7.2583868623933876</c:v>
                </c:pt>
                <c:pt idx="602">
                  <c:v>7.2359347208325033</c:v>
                </c:pt>
                <c:pt idx="603">
                  <c:v>7.2135411859106879</c:v>
                </c:pt>
                <c:pt idx="604">
                  <c:v>7.1912059492705547</c:v>
                </c:pt>
                <c:pt idx="605">
                  <c:v>7.1689287049668309</c:v>
                </c:pt>
                <c:pt idx="606">
                  <c:v>6.1228808639342338</c:v>
                </c:pt>
                <c:pt idx="607">
                  <c:v>5.1903175155840922</c:v>
                </c:pt>
                <c:pt idx="608">
                  <c:v>4.3487559933190756</c:v>
                </c:pt>
                <c:pt idx="609">
                  <c:v>3.5818008305444438</c:v>
                </c:pt>
                <c:pt idx="610">
                  <c:v>2.8771291906561238</c:v>
                </c:pt>
                <c:pt idx="611">
                  <c:v>2.2252438356869537</c:v>
                </c:pt>
                <c:pt idx="612">
                  <c:v>1.6186690516494984</c:v>
                </c:pt>
                <c:pt idx="613">
                  <c:v>1.0514136651696537</c:v>
                </c:pt>
                <c:pt idx="614">
                  <c:v>0.51860142246764196</c:v>
                </c:pt>
                <c:pt idx="615">
                  <c:v>1.6209817976707116E-2</c:v>
                </c:pt>
                <c:pt idx="616">
                  <c:v>-0.45911871039493046</c:v>
                </c:pt>
                <c:pt idx="617">
                  <c:v>-0.91021603659210881</c:v>
                </c:pt>
                <c:pt idx="618">
                  <c:v>-1.0841478496749668</c:v>
                </c:pt>
                <c:pt idx="619">
                  <c:v>-1.2545242531627732</c:v>
                </c:pt>
                <c:pt idx="620">
                  <c:v>-1.4214942561604693</c:v>
                </c:pt>
                <c:pt idx="621">
                  <c:v>-1.5851975492797945</c:v>
                </c:pt>
                <c:pt idx="622">
                  <c:v>-1.7457652769441723</c:v>
                </c:pt>
                <c:pt idx="623">
                  <c:v>-1.9033207307359443</c:v>
                </c:pt>
                <c:pt idx="624">
                  <c:v>-2.0579799732959554</c:v>
                </c:pt>
                <c:pt idx="625">
                  <c:v>-2.2098524009778542</c:v>
                </c:pt>
                <c:pt idx="626">
                  <c:v>-2.3590412523525082</c:v>
                </c:pt>
                <c:pt idx="627">
                  <c:v>-2.5056440687177557</c:v>
                </c:pt>
                <c:pt idx="628">
                  <c:v>-2.6497531119680904</c:v>
                </c:pt>
                <c:pt idx="629">
                  <c:v>-2.7914557444944617</c:v>
                </c:pt>
                <c:pt idx="630">
                  <c:v>-2.9308347751981403</c:v>
                </c:pt>
                <c:pt idx="631">
                  <c:v>-3.0679687751987483</c:v>
                </c:pt>
                <c:pt idx="632">
                  <c:v>-3.2029323663823623</c:v>
                </c:pt>
                <c:pt idx="633">
                  <c:v>-3.33579648556054</c:v>
                </c:pt>
                <c:pt idx="634">
                  <c:v>-3.4666286266862523</c:v>
                </c:pt>
                <c:pt idx="635">
                  <c:v>-3.595493063290585</c:v>
                </c:pt>
                <c:pt idx="636">
                  <c:v>-3.7224510530586379</c:v>
                </c:pt>
                <c:pt idx="637">
                  <c:v>-3.8475610262486986</c:v>
                </c:pt>
                <c:pt idx="638">
                  <c:v>-3.9708787594717103</c:v>
                </c:pt>
                <c:pt idx="639">
                  <c:v>-4.0924575361836926</c:v>
                </c:pt>
                <c:pt idx="640">
                  <c:v>-4.2123482950998978</c:v>
                </c:pt>
                <c:pt idx="641">
                  <c:v>-4.3305997676124761</c:v>
                </c:pt>
                <c:pt idx="642">
                  <c:v>-4.44725860518178</c:v>
                </c:pt>
                <c:pt idx="643">
                  <c:v>-4.562369497572468</c:v>
                </c:pt>
                <c:pt idx="644">
                  <c:v>-4.675975282718384</c:v>
                </c:pt>
                <c:pt idx="645">
                  <c:v>-4.7881170489223956</c:v>
                </c:pt>
                <c:pt idx="646">
                  <c:v>-4.8988342300287524</c:v>
                </c:pt>
                <c:pt idx="647">
                  <c:v>-5.0081646941440621</c:v>
                </c:pt>
                <c:pt idx="648">
                  <c:v>-5.1161448264284477</c:v>
                </c:pt>
                <c:pt idx="649">
                  <c:v>-5.222809606429669</c:v>
                </c:pt>
                <c:pt idx="650">
                  <c:v>-5.3281926803893906</c:v>
                </c:pt>
                <c:pt idx="651">
                  <c:v>-5.4323264289116437</c:v>
                </c:pt>
                <c:pt idx="652">
                  <c:v>-5.5352420303485905</c:v>
                </c:pt>
                <c:pt idx="653">
                  <c:v>-5.6369695202272272</c:v>
                </c:pt>
                <c:pt idx="654">
                  <c:v>-5.737537847012149</c:v>
                </c:pt>
                <c:pt idx="655">
                  <c:v>-5.8369749244743012</c:v>
                </c:pt>
                <c:pt idx="656">
                  <c:v>-5.9353076809123637</c:v>
                </c:pt>
                <c:pt idx="657">
                  <c:v>-6.0325621054527954</c:v>
                </c:pt>
                <c:pt idx="658">
                  <c:v>-6.1287632916356003</c:v>
                </c:pt>
                <c:pt idx="659">
                  <c:v>-6.2239354784760694</c:v>
                </c:pt>
                <c:pt idx="660">
                  <c:v>-6.3181020891770423</c:v>
                </c:pt>
                <c:pt idx="661">
                  <c:v>-6.4112857676524557</c:v>
                </c:pt>
                <c:pt idx="662">
                  <c:v>-6.5035084130100653</c:v>
                </c:pt>
                <c:pt idx="663">
                  <c:v>-6.5947912121296213</c:v>
                </c:pt>
                <c:pt idx="664">
                  <c:v>-6.6851546704623317</c:v>
                </c:pt>
                <c:pt idx="665">
                  <c:v>-6.7746186411676508</c:v>
                </c:pt>
                <c:pt idx="666">
                  <c:v>-6.8632023526947794</c:v>
                </c:pt>
                <c:pt idx="667">
                  <c:v>-6.9509244349081403</c:v>
                </c:pt>
              </c:numCache>
            </c:numRef>
          </c:yVal>
          <c:smooth val="1"/>
          <c:extLst>
            <c:ext xmlns:c16="http://schemas.microsoft.com/office/drawing/2014/chart" uri="{C3380CC4-5D6E-409C-BE32-E72D297353CC}">
              <c16:uniqueId val="{00000000-A789-0545-B6EC-04D727F4B7A2}"/>
            </c:ext>
          </c:extLst>
        </c:ser>
        <c:dLbls>
          <c:showLegendKey val="0"/>
          <c:showVal val="0"/>
          <c:showCatName val="0"/>
          <c:showSerName val="0"/>
          <c:showPercent val="0"/>
          <c:showBubbleSize val="0"/>
        </c:dLbls>
        <c:axId val="183547392"/>
        <c:axId val="183549312"/>
      </c:scatterChart>
      <c:scatterChart>
        <c:scatterStyle val="lineMarker"/>
        <c:varyColors val="0"/>
        <c:ser>
          <c:idx val="3"/>
          <c:order val="1"/>
          <c:tx>
            <c:v>Actual Phase</c:v>
          </c:tx>
          <c:spPr>
            <a:ln w="38100">
              <a:solidFill>
                <a:srgbClr val="660066"/>
              </a:solidFill>
              <a:prstDash val="solid"/>
            </a:ln>
          </c:spPr>
          <c:marker>
            <c:symbol val="none"/>
          </c:marker>
          <c:xVal>
            <c:numRef>
              <c:f>'Bode Plots Calculations'!$A$9:$A$676</c:f>
              <c:numCache>
                <c:formatCode>General</c:formatCode>
                <c:ptCount val="668"/>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1500</c:v>
                </c:pt>
                <c:pt idx="29">
                  <c:v>2000</c:v>
                </c:pt>
                <c:pt idx="30">
                  <c:v>2500</c:v>
                </c:pt>
                <c:pt idx="31">
                  <c:v>3000</c:v>
                </c:pt>
                <c:pt idx="32">
                  <c:v>3500</c:v>
                </c:pt>
                <c:pt idx="33">
                  <c:v>4000</c:v>
                </c:pt>
                <c:pt idx="34">
                  <c:v>4500</c:v>
                </c:pt>
                <c:pt idx="35">
                  <c:v>5000</c:v>
                </c:pt>
                <c:pt idx="36">
                  <c:v>5500</c:v>
                </c:pt>
                <c:pt idx="37">
                  <c:v>6000</c:v>
                </c:pt>
                <c:pt idx="38">
                  <c:v>6500</c:v>
                </c:pt>
                <c:pt idx="39">
                  <c:v>7000</c:v>
                </c:pt>
                <c:pt idx="40">
                  <c:v>7500</c:v>
                </c:pt>
                <c:pt idx="41">
                  <c:v>8000</c:v>
                </c:pt>
                <c:pt idx="42">
                  <c:v>8500</c:v>
                </c:pt>
                <c:pt idx="43">
                  <c:v>9000</c:v>
                </c:pt>
                <c:pt idx="44">
                  <c:v>9500</c:v>
                </c:pt>
                <c:pt idx="45">
                  <c:v>10000</c:v>
                </c:pt>
                <c:pt idx="46">
                  <c:v>10500</c:v>
                </c:pt>
                <c:pt idx="47">
                  <c:v>11000</c:v>
                </c:pt>
                <c:pt idx="48">
                  <c:v>11500</c:v>
                </c:pt>
                <c:pt idx="49">
                  <c:v>12000</c:v>
                </c:pt>
                <c:pt idx="50">
                  <c:v>12500</c:v>
                </c:pt>
                <c:pt idx="51">
                  <c:v>13000</c:v>
                </c:pt>
                <c:pt idx="52">
                  <c:v>13500</c:v>
                </c:pt>
                <c:pt idx="53">
                  <c:v>14000</c:v>
                </c:pt>
                <c:pt idx="54">
                  <c:v>14500</c:v>
                </c:pt>
                <c:pt idx="55">
                  <c:v>15000</c:v>
                </c:pt>
                <c:pt idx="56">
                  <c:v>15500</c:v>
                </c:pt>
                <c:pt idx="57">
                  <c:v>16000</c:v>
                </c:pt>
                <c:pt idx="58">
                  <c:v>16500</c:v>
                </c:pt>
                <c:pt idx="59">
                  <c:v>17000</c:v>
                </c:pt>
                <c:pt idx="60">
                  <c:v>17500</c:v>
                </c:pt>
                <c:pt idx="61">
                  <c:v>18000</c:v>
                </c:pt>
                <c:pt idx="62">
                  <c:v>18500</c:v>
                </c:pt>
                <c:pt idx="63">
                  <c:v>19000</c:v>
                </c:pt>
                <c:pt idx="64">
                  <c:v>19500</c:v>
                </c:pt>
                <c:pt idx="65">
                  <c:v>20000</c:v>
                </c:pt>
                <c:pt idx="66">
                  <c:v>20500</c:v>
                </c:pt>
                <c:pt idx="67">
                  <c:v>21000</c:v>
                </c:pt>
                <c:pt idx="68">
                  <c:v>21500</c:v>
                </c:pt>
                <c:pt idx="69">
                  <c:v>22000</c:v>
                </c:pt>
                <c:pt idx="70">
                  <c:v>22500</c:v>
                </c:pt>
                <c:pt idx="71">
                  <c:v>23000</c:v>
                </c:pt>
                <c:pt idx="72">
                  <c:v>23500</c:v>
                </c:pt>
                <c:pt idx="73">
                  <c:v>24000</c:v>
                </c:pt>
                <c:pt idx="74">
                  <c:v>24500</c:v>
                </c:pt>
                <c:pt idx="75">
                  <c:v>25000</c:v>
                </c:pt>
                <c:pt idx="76">
                  <c:v>25500</c:v>
                </c:pt>
                <c:pt idx="77">
                  <c:v>26000</c:v>
                </c:pt>
                <c:pt idx="78">
                  <c:v>26500</c:v>
                </c:pt>
                <c:pt idx="79">
                  <c:v>27000</c:v>
                </c:pt>
                <c:pt idx="80">
                  <c:v>27500</c:v>
                </c:pt>
                <c:pt idx="81">
                  <c:v>28000</c:v>
                </c:pt>
                <c:pt idx="82">
                  <c:v>28500</c:v>
                </c:pt>
                <c:pt idx="83">
                  <c:v>29000</c:v>
                </c:pt>
                <c:pt idx="84">
                  <c:v>29500</c:v>
                </c:pt>
                <c:pt idx="85">
                  <c:v>30000</c:v>
                </c:pt>
                <c:pt idx="86">
                  <c:v>30500</c:v>
                </c:pt>
                <c:pt idx="87">
                  <c:v>31000</c:v>
                </c:pt>
                <c:pt idx="88">
                  <c:v>31500</c:v>
                </c:pt>
                <c:pt idx="89">
                  <c:v>32000</c:v>
                </c:pt>
                <c:pt idx="90">
                  <c:v>32500</c:v>
                </c:pt>
                <c:pt idx="91">
                  <c:v>33000</c:v>
                </c:pt>
                <c:pt idx="92">
                  <c:v>33500</c:v>
                </c:pt>
                <c:pt idx="93">
                  <c:v>34000</c:v>
                </c:pt>
                <c:pt idx="94">
                  <c:v>34500</c:v>
                </c:pt>
                <c:pt idx="95">
                  <c:v>35000</c:v>
                </c:pt>
                <c:pt idx="96">
                  <c:v>35500</c:v>
                </c:pt>
                <c:pt idx="97">
                  <c:v>36000</c:v>
                </c:pt>
                <c:pt idx="98">
                  <c:v>36500</c:v>
                </c:pt>
                <c:pt idx="99">
                  <c:v>37000</c:v>
                </c:pt>
                <c:pt idx="100">
                  <c:v>37500</c:v>
                </c:pt>
                <c:pt idx="101">
                  <c:v>38000</c:v>
                </c:pt>
                <c:pt idx="102">
                  <c:v>38500</c:v>
                </c:pt>
                <c:pt idx="103">
                  <c:v>39000</c:v>
                </c:pt>
                <c:pt idx="104">
                  <c:v>39500</c:v>
                </c:pt>
                <c:pt idx="105">
                  <c:v>40000</c:v>
                </c:pt>
                <c:pt idx="106">
                  <c:v>40500</c:v>
                </c:pt>
                <c:pt idx="107">
                  <c:v>41000</c:v>
                </c:pt>
                <c:pt idx="108">
                  <c:v>41500</c:v>
                </c:pt>
                <c:pt idx="109">
                  <c:v>42000</c:v>
                </c:pt>
                <c:pt idx="110">
                  <c:v>42500</c:v>
                </c:pt>
                <c:pt idx="111">
                  <c:v>43000</c:v>
                </c:pt>
                <c:pt idx="112">
                  <c:v>43500</c:v>
                </c:pt>
                <c:pt idx="113">
                  <c:v>44000</c:v>
                </c:pt>
                <c:pt idx="114">
                  <c:v>44500</c:v>
                </c:pt>
                <c:pt idx="115">
                  <c:v>45000</c:v>
                </c:pt>
                <c:pt idx="116">
                  <c:v>45500</c:v>
                </c:pt>
                <c:pt idx="117">
                  <c:v>46000</c:v>
                </c:pt>
                <c:pt idx="118">
                  <c:v>46500</c:v>
                </c:pt>
                <c:pt idx="119">
                  <c:v>47000</c:v>
                </c:pt>
                <c:pt idx="120">
                  <c:v>47500</c:v>
                </c:pt>
                <c:pt idx="121">
                  <c:v>48000</c:v>
                </c:pt>
                <c:pt idx="122">
                  <c:v>48500</c:v>
                </c:pt>
                <c:pt idx="123">
                  <c:v>49000</c:v>
                </c:pt>
                <c:pt idx="124">
                  <c:v>49500</c:v>
                </c:pt>
                <c:pt idx="125">
                  <c:v>50000</c:v>
                </c:pt>
                <c:pt idx="126">
                  <c:v>50500</c:v>
                </c:pt>
                <c:pt idx="127">
                  <c:v>51000</c:v>
                </c:pt>
                <c:pt idx="128">
                  <c:v>51500</c:v>
                </c:pt>
                <c:pt idx="129">
                  <c:v>52000</c:v>
                </c:pt>
                <c:pt idx="130">
                  <c:v>52500</c:v>
                </c:pt>
                <c:pt idx="131">
                  <c:v>53000</c:v>
                </c:pt>
                <c:pt idx="132">
                  <c:v>53500</c:v>
                </c:pt>
                <c:pt idx="133">
                  <c:v>54000</c:v>
                </c:pt>
                <c:pt idx="134">
                  <c:v>54500</c:v>
                </c:pt>
                <c:pt idx="135">
                  <c:v>55000</c:v>
                </c:pt>
                <c:pt idx="136">
                  <c:v>55500</c:v>
                </c:pt>
                <c:pt idx="137">
                  <c:v>56000</c:v>
                </c:pt>
                <c:pt idx="138">
                  <c:v>56500</c:v>
                </c:pt>
                <c:pt idx="139">
                  <c:v>57000</c:v>
                </c:pt>
                <c:pt idx="140">
                  <c:v>57500</c:v>
                </c:pt>
                <c:pt idx="141">
                  <c:v>58000</c:v>
                </c:pt>
                <c:pt idx="142">
                  <c:v>58500</c:v>
                </c:pt>
                <c:pt idx="143">
                  <c:v>59000</c:v>
                </c:pt>
                <c:pt idx="144">
                  <c:v>59500</c:v>
                </c:pt>
                <c:pt idx="145">
                  <c:v>60000</c:v>
                </c:pt>
                <c:pt idx="146">
                  <c:v>60500</c:v>
                </c:pt>
                <c:pt idx="147">
                  <c:v>61000</c:v>
                </c:pt>
                <c:pt idx="148">
                  <c:v>61500</c:v>
                </c:pt>
                <c:pt idx="149">
                  <c:v>62000</c:v>
                </c:pt>
                <c:pt idx="150">
                  <c:v>62500</c:v>
                </c:pt>
                <c:pt idx="151">
                  <c:v>63000</c:v>
                </c:pt>
                <c:pt idx="152">
                  <c:v>63500</c:v>
                </c:pt>
                <c:pt idx="153">
                  <c:v>64000</c:v>
                </c:pt>
                <c:pt idx="154">
                  <c:v>64500</c:v>
                </c:pt>
                <c:pt idx="155">
                  <c:v>65000</c:v>
                </c:pt>
                <c:pt idx="156">
                  <c:v>65500</c:v>
                </c:pt>
                <c:pt idx="157">
                  <c:v>66000</c:v>
                </c:pt>
                <c:pt idx="158">
                  <c:v>66500</c:v>
                </c:pt>
                <c:pt idx="159">
                  <c:v>67000</c:v>
                </c:pt>
                <c:pt idx="160">
                  <c:v>67500</c:v>
                </c:pt>
                <c:pt idx="161">
                  <c:v>68000</c:v>
                </c:pt>
                <c:pt idx="162">
                  <c:v>68500</c:v>
                </c:pt>
                <c:pt idx="163">
                  <c:v>69000</c:v>
                </c:pt>
                <c:pt idx="164">
                  <c:v>69500</c:v>
                </c:pt>
                <c:pt idx="165">
                  <c:v>70000</c:v>
                </c:pt>
                <c:pt idx="166">
                  <c:v>70500</c:v>
                </c:pt>
                <c:pt idx="167">
                  <c:v>71000</c:v>
                </c:pt>
                <c:pt idx="168">
                  <c:v>71500</c:v>
                </c:pt>
                <c:pt idx="169">
                  <c:v>72000</c:v>
                </c:pt>
                <c:pt idx="170">
                  <c:v>72500</c:v>
                </c:pt>
                <c:pt idx="171">
                  <c:v>73000</c:v>
                </c:pt>
                <c:pt idx="172">
                  <c:v>73500</c:v>
                </c:pt>
                <c:pt idx="173">
                  <c:v>74000</c:v>
                </c:pt>
                <c:pt idx="174">
                  <c:v>74500</c:v>
                </c:pt>
                <c:pt idx="175">
                  <c:v>75000</c:v>
                </c:pt>
                <c:pt idx="176">
                  <c:v>75500</c:v>
                </c:pt>
                <c:pt idx="177">
                  <c:v>76000</c:v>
                </c:pt>
                <c:pt idx="178">
                  <c:v>76500</c:v>
                </c:pt>
                <c:pt idx="179">
                  <c:v>77000</c:v>
                </c:pt>
                <c:pt idx="180">
                  <c:v>77500</c:v>
                </c:pt>
                <c:pt idx="181">
                  <c:v>78000</c:v>
                </c:pt>
                <c:pt idx="182">
                  <c:v>78500</c:v>
                </c:pt>
                <c:pt idx="183">
                  <c:v>79000</c:v>
                </c:pt>
                <c:pt idx="184">
                  <c:v>79500</c:v>
                </c:pt>
                <c:pt idx="185">
                  <c:v>80000</c:v>
                </c:pt>
                <c:pt idx="186">
                  <c:v>80500</c:v>
                </c:pt>
                <c:pt idx="187">
                  <c:v>81000</c:v>
                </c:pt>
                <c:pt idx="188">
                  <c:v>81500</c:v>
                </c:pt>
                <c:pt idx="189">
                  <c:v>82000</c:v>
                </c:pt>
                <c:pt idx="190">
                  <c:v>82500</c:v>
                </c:pt>
                <c:pt idx="191">
                  <c:v>83000</c:v>
                </c:pt>
                <c:pt idx="192">
                  <c:v>83500</c:v>
                </c:pt>
                <c:pt idx="193">
                  <c:v>84000</c:v>
                </c:pt>
                <c:pt idx="194">
                  <c:v>84500</c:v>
                </c:pt>
                <c:pt idx="195">
                  <c:v>85000</c:v>
                </c:pt>
                <c:pt idx="196">
                  <c:v>85500</c:v>
                </c:pt>
                <c:pt idx="197">
                  <c:v>86000</c:v>
                </c:pt>
                <c:pt idx="198">
                  <c:v>86500</c:v>
                </c:pt>
                <c:pt idx="199">
                  <c:v>87000</c:v>
                </c:pt>
                <c:pt idx="200">
                  <c:v>87500</c:v>
                </c:pt>
                <c:pt idx="201">
                  <c:v>88000</c:v>
                </c:pt>
                <c:pt idx="202">
                  <c:v>88500</c:v>
                </c:pt>
                <c:pt idx="203">
                  <c:v>89000</c:v>
                </c:pt>
                <c:pt idx="204">
                  <c:v>89500</c:v>
                </c:pt>
                <c:pt idx="205">
                  <c:v>90000</c:v>
                </c:pt>
                <c:pt idx="206">
                  <c:v>90500</c:v>
                </c:pt>
                <c:pt idx="207">
                  <c:v>91000</c:v>
                </c:pt>
                <c:pt idx="208">
                  <c:v>91500</c:v>
                </c:pt>
                <c:pt idx="209">
                  <c:v>92000</c:v>
                </c:pt>
                <c:pt idx="210">
                  <c:v>92500</c:v>
                </c:pt>
                <c:pt idx="211">
                  <c:v>93000</c:v>
                </c:pt>
                <c:pt idx="212">
                  <c:v>93500</c:v>
                </c:pt>
                <c:pt idx="213">
                  <c:v>94000</c:v>
                </c:pt>
                <c:pt idx="214">
                  <c:v>94500</c:v>
                </c:pt>
                <c:pt idx="215">
                  <c:v>95000</c:v>
                </c:pt>
                <c:pt idx="216">
                  <c:v>95500</c:v>
                </c:pt>
                <c:pt idx="217">
                  <c:v>96000</c:v>
                </c:pt>
                <c:pt idx="218">
                  <c:v>96500</c:v>
                </c:pt>
                <c:pt idx="219">
                  <c:v>97000</c:v>
                </c:pt>
                <c:pt idx="220">
                  <c:v>97500</c:v>
                </c:pt>
                <c:pt idx="221">
                  <c:v>98000</c:v>
                </c:pt>
                <c:pt idx="222">
                  <c:v>98500</c:v>
                </c:pt>
                <c:pt idx="223">
                  <c:v>99000</c:v>
                </c:pt>
                <c:pt idx="224">
                  <c:v>99500</c:v>
                </c:pt>
                <c:pt idx="225">
                  <c:v>100000</c:v>
                </c:pt>
                <c:pt idx="226">
                  <c:v>105000</c:v>
                </c:pt>
                <c:pt idx="227">
                  <c:v>110000</c:v>
                </c:pt>
                <c:pt idx="228">
                  <c:v>115000</c:v>
                </c:pt>
                <c:pt idx="229">
                  <c:v>120000</c:v>
                </c:pt>
                <c:pt idx="230">
                  <c:v>125000</c:v>
                </c:pt>
                <c:pt idx="231">
                  <c:v>130000</c:v>
                </c:pt>
                <c:pt idx="232">
                  <c:v>135000</c:v>
                </c:pt>
                <c:pt idx="233">
                  <c:v>140000</c:v>
                </c:pt>
                <c:pt idx="234">
                  <c:v>145000</c:v>
                </c:pt>
                <c:pt idx="235">
                  <c:v>150000</c:v>
                </c:pt>
                <c:pt idx="236">
                  <c:v>155000</c:v>
                </c:pt>
                <c:pt idx="237">
                  <c:v>160000</c:v>
                </c:pt>
                <c:pt idx="238">
                  <c:v>165000</c:v>
                </c:pt>
                <c:pt idx="239">
                  <c:v>170000</c:v>
                </c:pt>
                <c:pt idx="240">
                  <c:v>175000</c:v>
                </c:pt>
                <c:pt idx="241">
                  <c:v>180000</c:v>
                </c:pt>
                <c:pt idx="242">
                  <c:v>185000</c:v>
                </c:pt>
                <c:pt idx="243">
                  <c:v>190000</c:v>
                </c:pt>
                <c:pt idx="244">
                  <c:v>195000</c:v>
                </c:pt>
                <c:pt idx="245">
                  <c:v>200000</c:v>
                </c:pt>
                <c:pt idx="246">
                  <c:v>205000</c:v>
                </c:pt>
                <c:pt idx="247">
                  <c:v>210000</c:v>
                </c:pt>
                <c:pt idx="248">
                  <c:v>215000</c:v>
                </c:pt>
                <c:pt idx="249">
                  <c:v>220000</c:v>
                </c:pt>
                <c:pt idx="250">
                  <c:v>225000</c:v>
                </c:pt>
                <c:pt idx="251">
                  <c:v>230000</c:v>
                </c:pt>
                <c:pt idx="252">
                  <c:v>235000</c:v>
                </c:pt>
                <c:pt idx="253">
                  <c:v>240000</c:v>
                </c:pt>
                <c:pt idx="254">
                  <c:v>245000</c:v>
                </c:pt>
                <c:pt idx="255">
                  <c:v>250000</c:v>
                </c:pt>
                <c:pt idx="256">
                  <c:v>255000</c:v>
                </c:pt>
                <c:pt idx="257">
                  <c:v>260000</c:v>
                </c:pt>
                <c:pt idx="258">
                  <c:v>265000</c:v>
                </c:pt>
                <c:pt idx="259">
                  <c:v>270000</c:v>
                </c:pt>
                <c:pt idx="260">
                  <c:v>275000</c:v>
                </c:pt>
                <c:pt idx="261">
                  <c:v>280000</c:v>
                </c:pt>
                <c:pt idx="262">
                  <c:v>285000</c:v>
                </c:pt>
                <c:pt idx="263">
                  <c:v>290000</c:v>
                </c:pt>
                <c:pt idx="264">
                  <c:v>295000</c:v>
                </c:pt>
                <c:pt idx="265">
                  <c:v>300000</c:v>
                </c:pt>
                <c:pt idx="266">
                  <c:v>305000</c:v>
                </c:pt>
                <c:pt idx="267">
                  <c:v>310000</c:v>
                </c:pt>
                <c:pt idx="268">
                  <c:v>315000</c:v>
                </c:pt>
                <c:pt idx="269">
                  <c:v>320000</c:v>
                </c:pt>
                <c:pt idx="270">
                  <c:v>325000</c:v>
                </c:pt>
                <c:pt idx="271">
                  <c:v>330000</c:v>
                </c:pt>
                <c:pt idx="272">
                  <c:v>335000</c:v>
                </c:pt>
                <c:pt idx="273">
                  <c:v>340000</c:v>
                </c:pt>
                <c:pt idx="274">
                  <c:v>345000</c:v>
                </c:pt>
                <c:pt idx="275">
                  <c:v>350000</c:v>
                </c:pt>
                <c:pt idx="276">
                  <c:v>355000</c:v>
                </c:pt>
                <c:pt idx="277">
                  <c:v>360000</c:v>
                </c:pt>
                <c:pt idx="278">
                  <c:v>365000</c:v>
                </c:pt>
                <c:pt idx="279">
                  <c:v>370000</c:v>
                </c:pt>
                <c:pt idx="280">
                  <c:v>375000</c:v>
                </c:pt>
                <c:pt idx="281">
                  <c:v>380000</c:v>
                </c:pt>
                <c:pt idx="282">
                  <c:v>385000</c:v>
                </c:pt>
                <c:pt idx="283">
                  <c:v>390000</c:v>
                </c:pt>
                <c:pt idx="284">
                  <c:v>395000</c:v>
                </c:pt>
                <c:pt idx="285">
                  <c:v>400000</c:v>
                </c:pt>
                <c:pt idx="286">
                  <c:v>405000</c:v>
                </c:pt>
                <c:pt idx="287">
                  <c:v>410000</c:v>
                </c:pt>
                <c:pt idx="288">
                  <c:v>415000</c:v>
                </c:pt>
                <c:pt idx="289">
                  <c:v>420000</c:v>
                </c:pt>
                <c:pt idx="290">
                  <c:v>425000</c:v>
                </c:pt>
                <c:pt idx="291">
                  <c:v>430000</c:v>
                </c:pt>
                <c:pt idx="292">
                  <c:v>435000</c:v>
                </c:pt>
                <c:pt idx="293">
                  <c:v>440000</c:v>
                </c:pt>
                <c:pt idx="294">
                  <c:v>445000</c:v>
                </c:pt>
                <c:pt idx="295">
                  <c:v>450000</c:v>
                </c:pt>
                <c:pt idx="296">
                  <c:v>455000</c:v>
                </c:pt>
                <c:pt idx="297">
                  <c:v>460000</c:v>
                </c:pt>
                <c:pt idx="298">
                  <c:v>465000</c:v>
                </c:pt>
                <c:pt idx="299">
                  <c:v>470000</c:v>
                </c:pt>
                <c:pt idx="300">
                  <c:v>475000</c:v>
                </c:pt>
                <c:pt idx="301">
                  <c:v>480000</c:v>
                </c:pt>
                <c:pt idx="302">
                  <c:v>485000</c:v>
                </c:pt>
                <c:pt idx="303">
                  <c:v>490000</c:v>
                </c:pt>
                <c:pt idx="304">
                  <c:v>495000</c:v>
                </c:pt>
                <c:pt idx="305">
                  <c:v>500000</c:v>
                </c:pt>
                <c:pt idx="306">
                  <c:v>505000</c:v>
                </c:pt>
                <c:pt idx="307">
                  <c:v>510000</c:v>
                </c:pt>
                <c:pt idx="308">
                  <c:v>515000</c:v>
                </c:pt>
                <c:pt idx="309">
                  <c:v>520000</c:v>
                </c:pt>
                <c:pt idx="310">
                  <c:v>525000</c:v>
                </c:pt>
                <c:pt idx="311">
                  <c:v>530000</c:v>
                </c:pt>
                <c:pt idx="312">
                  <c:v>535000</c:v>
                </c:pt>
                <c:pt idx="313">
                  <c:v>540000</c:v>
                </c:pt>
                <c:pt idx="314">
                  <c:v>545000</c:v>
                </c:pt>
                <c:pt idx="315">
                  <c:v>550000</c:v>
                </c:pt>
                <c:pt idx="316">
                  <c:v>555000</c:v>
                </c:pt>
                <c:pt idx="317">
                  <c:v>560000</c:v>
                </c:pt>
                <c:pt idx="318">
                  <c:v>565000</c:v>
                </c:pt>
                <c:pt idx="319">
                  <c:v>570000</c:v>
                </c:pt>
                <c:pt idx="320">
                  <c:v>575000</c:v>
                </c:pt>
                <c:pt idx="321">
                  <c:v>580000</c:v>
                </c:pt>
                <c:pt idx="322">
                  <c:v>585000</c:v>
                </c:pt>
                <c:pt idx="323">
                  <c:v>590000</c:v>
                </c:pt>
                <c:pt idx="324">
                  <c:v>595000</c:v>
                </c:pt>
                <c:pt idx="325">
                  <c:v>600000</c:v>
                </c:pt>
                <c:pt idx="326">
                  <c:v>605000</c:v>
                </c:pt>
                <c:pt idx="327">
                  <c:v>610000</c:v>
                </c:pt>
                <c:pt idx="328">
                  <c:v>615000</c:v>
                </c:pt>
                <c:pt idx="329">
                  <c:v>620000</c:v>
                </c:pt>
                <c:pt idx="330">
                  <c:v>625000</c:v>
                </c:pt>
                <c:pt idx="331">
                  <c:v>630000</c:v>
                </c:pt>
                <c:pt idx="332">
                  <c:v>635000</c:v>
                </c:pt>
                <c:pt idx="333">
                  <c:v>640000</c:v>
                </c:pt>
                <c:pt idx="334">
                  <c:v>645000</c:v>
                </c:pt>
                <c:pt idx="335">
                  <c:v>650000</c:v>
                </c:pt>
                <c:pt idx="336">
                  <c:v>655000</c:v>
                </c:pt>
                <c:pt idx="337">
                  <c:v>660000</c:v>
                </c:pt>
                <c:pt idx="338">
                  <c:v>665000</c:v>
                </c:pt>
                <c:pt idx="339">
                  <c:v>670000</c:v>
                </c:pt>
                <c:pt idx="340">
                  <c:v>675000</c:v>
                </c:pt>
                <c:pt idx="341">
                  <c:v>680000</c:v>
                </c:pt>
                <c:pt idx="342">
                  <c:v>685000</c:v>
                </c:pt>
                <c:pt idx="343">
                  <c:v>690000</c:v>
                </c:pt>
                <c:pt idx="344">
                  <c:v>695000</c:v>
                </c:pt>
                <c:pt idx="345">
                  <c:v>700000</c:v>
                </c:pt>
                <c:pt idx="346">
                  <c:v>705000</c:v>
                </c:pt>
                <c:pt idx="347">
                  <c:v>710000</c:v>
                </c:pt>
                <c:pt idx="348">
                  <c:v>715000</c:v>
                </c:pt>
                <c:pt idx="349">
                  <c:v>720000</c:v>
                </c:pt>
                <c:pt idx="350">
                  <c:v>725000</c:v>
                </c:pt>
                <c:pt idx="351">
                  <c:v>730000</c:v>
                </c:pt>
                <c:pt idx="352">
                  <c:v>735000</c:v>
                </c:pt>
                <c:pt idx="353">
                  <c:v>740000</c:v>
                </c:pt>
                <c:pt idx="354">
                  <c:v>745000</c:v>
                </c:pt>
                <c:pt idx="355">
                  <c:v>750000</c:v>
                </c:pt>
                <c:pt idx="356">
                  <c:v>755000</c:v>
                </c:pt>
                <c:pt idx="357">
                  <c:v>760000</c:v>
                </c:pt>
                <c:pt idx="358">
                  <c:v>765000</c:v>
                </c:pt>
                <c:pt idx="359">
                  <c:v>770000</c:v>
                </c:pt>
                <c:pt idx="360">
                  <c:v>775000</c:v>
                </c:pt>
                <c:pt idx="361">
                  <c:v>780000</c:v>
                </c:pt>
                <c:pt idx="362">
                  <c:v>785000</c:v>
                </c:pt>
                <c:pt idx="363">
                  <c:v>790000</c:v>
                </c:pt>
                <c:pt idx="364">
                  <c:v>795000</c:v>
                </c:pt>
                <c:pt idx="365">
                  <c:v>800000</c:v>
                </c:pt>
                <c:pt idx="366">
                  <c:v>805000</c:v>
                </c:pt>
                <c:pt idx="367">
                  <c:v>810000</c:v>
                </c:pt>
                <c:pt idx="368">
                  <c:v>815000</c:v>
                </c:pt>
                <c:pt idx="369">
                  <c:v>820000</c:v>
                </c:pt>
                <c:pt idx="370">
                  <c:v>825000</c:v>
                </c:pt>
                <c:pt idx="371">
                  <c:v>830000</c:v>
                </c:pt>
                <c:pt idx="372">
                  <c:v>835000</c:v>
                </c:pt>
                <c:pt idx="373">
                  <c:v>840000</c:v>
                </c:pt>
                <c:pt idx="374">
                  <c:v>845000</c:v>
                </c:pt>
                <c:pt idx="375">
                  <c:v>850000</c:v>
                </c:pt>
                <c:pt idx="376">
                  <c:v>855000</c:v>
                </c:pt>
                <c:pt idx="377">
                  <c:v>860000</c:v>
                </c:pt>
                <c:pt idx="378">
                  <c:v>865000</c:v>
                </c:pt>
                <c:pt idx="379">
                  <c:v>870000</c:v>
                </c:pt>
                <c:pt idx="380">
                  <c:v>875000</c:v>
                </c:pt>
                <c:pt idx="381">
                  <c:v>880000</c:v>
                </c:pt>
                <c:pt idx="382">
                  <c:v>885000</c:v>
                </c:pt>
                <c:pt idx="383">
                  <c:v>890000</c:v>
                </c:pt>
                <c:pt idx="384">
                  <c:v>895000</c:v>
                </c:pt>
                <c:pt idx="385">
                  <c:v>900000</c:v>
                </c:pt>
                <c:pt idx="386">
                  <c:v>905000</c:v>
                </c:pt>
                <c:pt idx="387">
                  <c:v>910000</c:v>
                </c:pt>
                <c:pt idx="388">
                  <c:v>915000</c:v>
                </c:pt>
                <c:pt idx="389">
                  <c:v>920000</c:v>
                </c:pt>
                <c:pt idx="390">
                  <c:v>925000</c:v>
                </c:pt>
                <c:pt idx="391">
                  <c:v>930000</c:v>
                </c:pt>
                <c:pt idx="392">
                  <c:v>935000</c:v>
                </c:pt>
                <c:pt idx="393">
                  <c:v>940000</c:v>
                </c:pt>
                <c:pt idx="394">
                  <c:v>945000</c:v>
                </c:pt>
                <c:pt idx="395">
                  <c:v>950000</c:v>
                </c:pt>
                <c:pt idx="396">
                  <c:v>955000</c:v>
                </c:pt>
                <c:pt idx="397">
                  <c:v>960000</c:v>
                </c:pt>
                <c:pt idx="398">
                  <c:v>965000</c:v>
                </c:pt>
                <c:pt idx="399">
                  <c:v>970000</c:v>
                </c:pt>
                <c:pt idx="400">
                  <c:v>975000</c:v>
                </c:pt>
                <c:pt idx="401">
                  <c:v>980000</c:v>
                </c:pt>
                <c:pt idx="402">
                  <c:v>985000</c:v>
                </c:pt>
                <c:pt idx="403">
                  <c:v>990000</c:v>
                </c:pt>
                <c:pt idx="404">
                  <c:v>995000</c:v>
                </c:pt>
                <c:pt idx="405">
                  <c:v>1000000</c:v>
                </c:pt>
                <c:pt idx="406">
                  <c:v>1005000</c:v>
                </c:pt>
                <c:pt idx="407">
                  <c:v>1010000</c:v>
                </c:pt>
                <c:pt idx="408">
                  <c:v>1015000</c:v>
                </c:pt>
                <c:pt idx="409">
                  <c:v>1020000</c:v>
                </c:pt>
                <c:pt idx="410">
                  <c:v>1025000</c:v>
                </c:pt>
                <c:pt idx="411">
                  <c:v>1030000</c:v>
                </c:pt>
                <c:pt idx="412">
                  <c:v>1035000</c:v>
                </c:pt>
                <c:pt idx="413">
                  <c:v>1040000</c:v>
                </c:pt>
                <c:pt idx="414">
                  <c:v>1045000</c:v>
                </c:pt>
                <c:pt idx="415">
                  <c:v>1050000</c:v>
                </c:pt>
                <c:pt idx="416">
                  <c:v>1055000</c:v>
                </c:pt>
                <c:pt idx="417">
                  <c:v>1060000</c:v>
                </c:pt>
                <c:pt idx="418">
                  <c:v>1065000</c:v>
                </c:pt>
                <c:pt idx="419">
                  <c:v>1070000</c:v>
                </c:pt>
                <c:pt idx="420">
                  <c:v>1075000</c:v>
                </c:pt>
                <c:pt idx="421">
                  <c:v>1080000</c:v>
                </c:pt>
                <c:pt idx="422">
                  <c:v>1085000</c:v>
                </c:pt>
                <c:pt idx="423">
                  <c:v>1090000</c:v>
                </c:pt>
                <c:pt idx="424">
                  <c:v>1095000</c:v>
                </c:pt>
                <c:pt idx="425">
                  <c:v>1100000</c:v>
                </c:pt>
                <c:pt idx="426">
                  <c:v>1105000</c:v>
                </c:pt>
                <c:pt idx="427">
                  <c:v>1110000</c:v>
                </c:pt>
                <c:pt idx="428">
                  <c:v>1115000</c:v>
                </c:pt>
                <c:pt idx="429">
                  <c:v>1120000</c:v>
                </c:pt>
                <c:pt idx="430">
                  <c:v>1125000</c:v>
                </c:pt>
                <c:pt idx="431">
                  <c:v>1130000</c:v>
                </c:pt>
                <c:pt idx="432">
                  <c:v>1135000</c:v>
                </c:pt>
                <c:pt idx="433">
                  <c:v>1140000</c:v>
                </c:pt>
                <c:pt idx="434">
                  <c:v>1145000</c:v>
                </c:pt>
                <c:pt idx="435">
                  <c:v>1150000</c:v>
                </c:pt>
                <c:pt idx="436">
                  <c:v>1155000</c:v>
                </c:pt>
                <c:pt idx="437">
                  <c:v>1160000</c:v>
                </c:pt>
                <c:pt idx="438">
                  <c:v>1165000</c:v>
                </c:pt>
                <c:pt idx="439">
                  <c:v>1170000</c:v>
                </c:pt>
                <c:pt idx="440">
                  <c:v>1175000</c:v>
                </c:pt>
                <c:pt idx="441">
                  <c:v>1180000</c:v>
                </c:pt>
                <c:pt idx="442">
                  <c:v>1185000</c:v>
                </c:pt>
                <c:pt idx="443">
                  <c:v>1190000</c:v>
                </c:pt>
                <c:pt idx="444">
                  <c:v>1195000</c:v>
                </c:pt>
                <c:pt idx="445">
                  <c:v>1200000</c:v>
                </c:pt>
                <c:pt idx="446">
                  <c:v>1205000</c:v>
                </c:pt>
                <c:pt idx="447">
                  <c:v>1210000</c:v>
                </c:pt>
                <c:pt idx="448">
                  <c:v>1215000</c:v>
                </c:pt>
                <c:pt idx="449">
                  <c:v>1220000</c:v>
                </c:pt>
                <c:pt idx="450">
                  <c:v>1225000</c:v>
                </c:pt>
                <c:pt idx="451">
                  <c:v>1230000</c:v>
                </c:pt>
                <c:pt idx="452">
                  <c:v>1235000</c:v>
                </c:pt>
                <c:pt idx="453">
                  <c:v>1240000</c:v>
                </c:pt>
                <c:pt idx="454">
                  <c:v>1245000</c:v>
                </c:pt>
                <c:pt idx="455">
                  <c:v>1250000</c:v>
                </c:pt>
                <c:pt idx="456">
                  <c:v>1255000</c:v>
                </c:pt>
                <c:pt idx="457">
                  <c:v>1260000</c:v>
                </c:pt>
                <c:pt idx="458">
                  <c:v>1265000</c:v>
                </c:pt>
                <c:pt idx="459">
                  <c:v>1270000</c:v>
                </c:pt>
                <c:pt idx="460">
                  <c:v>1275000</c:v>
                </c:pt>
                <c:pt idx="461">
                  <c:v>1280000</c:v>
                </c:pt>
                <c:pt idx="462">
                  <c:v>1285000</c:v>
                </c:pt>
                <c:pt idx="463">
                  <c:v>1290000</c:v>
                </c:pt>
                <c:pt idx="464">
                  <c:v>1295000</c:v>
                </c:pt>
                <c:pt idx="465">
                  <c:v>1300000</c:v>
                </c:pt>
                <c:pt idx="466">
                  <c:v>1305000</c:v>
                </c:pt>
                <c:pt idx="467">
                  <c:v>1310000</c:v>
                </c:pt>
                <c:pt idx="468">
                  <c:v>1315000</c:v>
                </c:pt>
                <c:pt idx="469">
                  <c:v>1320000</c:v>
                </c:pt>
                <c:pt idx="470">
                  <c:v>1325000</c:v>
                </c:pt>
                <c:pt idx="471">
                  <c:v>1330000</c:v>
                </c:pt>
                <c:pt idx="472">
                  <c:v>1335000</c:v>
                </c:pt>
                <c:pt idx="473">
                  <c:v>1340000</c:v>
                </c:pt>
                <c:pt idx="474">
                  <c:v>1345000</c:v>
                </c:pt>
                <c:pt idx="475">
                  <c:v>1350000</c:v>
                </c:pt>
                <c:pt idx="476">
                  <c:v>1355000</c:v>
                </c:pt>
                <c:pt idx="477">
                  <c:v>1360000</c:v>
                </c:pt>
                <c:pt idx="478">
                  <c:v>1365000</c:v>
                </c:pt>
                <c:pt idx="479">
                  <c:v>1370000</c:v>
                </c:pt>
                <c:pt idx="480">
                  <c:v>1375000</c:v>
                </c:pt>
                <c:pt idx="481">
                  <c:v>1380000</c:v>
                </c:pt>
                <c:pt idx="482">
                  <c:v>1385000</c:v>
                </c:pt>
                <c:pt idx="483">
                  <c:v>1390000</c:v>
                </c:pt>
                <c:pt idx="484">
                  <c:v>1395000</c:v>
                </c:pt>
                <c:pt idx="485">
                  <c:v>1400000</c:v>
                </c:pt>
                <c:pt idx="486">
                  <c:v>1405000</c:v>
                </c:pt>
                <c:pt idx="487">
                  <c:v>1410000</c:v>
                </c:pt>
                <c:pt idx="488">
                  <c:v>1415000</c:v>
                </c:pt>
                <c:pt idx="489">
                  <c:v>1420000</c:v>
                </c:pt>
                <c:pt idx="490">
                  <c:v>1425000</c:v>
                </c:pt>
                <c:pt idx="491">
                  <c:v>1430000</c:v>
                </c:pt>
                <c:pt idx="492">
                  <c:v>1435000</c:v>
                </c:pt>
                <c:pt idx="493">
                  <c:v>1440000</c:v>
                </c:pt>
                <c:pt idx="494">
                  <c:v>1445000</c:v>
                </c:pt>
                <c:pt idx="495">
                  <c:v>1450000</c:v>
                </c:pt>
                <c:pt idx="496">
                  <c:v>1455000</c:v>
                </c:pt>
                <c:pt idx="497">
                  <c:v>1460000</c:v>
                </c:pt>
                <c:pt idx="498">
                  <c:v>1465000</c:v>
                </c:pt>
                <c:pt idx="499">
                  <c:v>1470000</c:v>
                </c:pt>
                <c:pt idx="500">
                  <c:v>1475000</c:v>
                </c:pt>
                <c:pt idx="501">
                  <c:v>1480000</c:v>
                </c:pt>
                <c:pt idx="502">
                  <c:v>1485000</c:v>
                </c:pt>
                <c:pt idx="503">
                  <c:v>1490000</c:v>
                </c:pt>
                <c:pt idx="504">
                  <c:v>1495000</c:v>
                </c:pt>
                <c:pt idx="505">
                  <c:v>1500000</c:v>
                </c:pt>
                <c:pt idx="506">
                  <c:v>1505000</c:v>
                </c:pt>
                <c:pt idx="507">
                  <c:v>1510000</c:v>
                </c:pt>
                <c:pt idx="508">
                  <c:v>1515000</c:v>
                </c:pt>
                <c:pt idx="509">
                  <c:v>1520000</c:v>
                </c:pt>
                <c:pt idx="510">
                  <c:v>1525000</c:v>
                </c:pt>
                <c:pt idx="511">
                  <c:v>1530000</c:v>
                </c:pt>
                <c:pt idx="512">
                  <c:v>1535000</c:v>
                </c:pt>
                <c:pt idx="513">
                  <c:v>1540000</c:v>
                </c:pt>
                <c:pt idx="514">
                  <c:v>1545000</c:v>
                </c:pt>
                <c:pt idx="515">
                  <c:v>1550000</c:v>
                </c:pt>
                <c:pt idx="516">
                  <c:v>1555000</c:v>
                </c:pt>
                <c:pt idx="517">
                  <c:v>1560000</c:v>
                </c:pt>
                <c:pt idx="518">
                  <c:v>1565000</c:v>
                </c:pt>
                <c:pt idx="519">
                  <c:v>1570000</c:v>
                </c:pt>
                <c:pt idx="520">
                  <c:v>1575000</c:v>
                </c:pt>
                <c:pt idx="521">
                  <c:v>1580000</c:v>
                </c:pt>
                <c:pt idx="522">
                  <c:v>1585000</c:v>
                </c:pt>
                <c:pt idx="523">
                  <c:v>1590000</c:v>
                </c:pt>
                <c:pt idx="524">
                  <c:v>1595000</c:v>
                </c:pt>
                <c:pt idx="525">
                  <c:v>1600000</c:v>
                </c:pt>
                <c:pt idx="526">
                  <c:v>1605000</c:v>
                </c:pt>
                <c:pt idx="527">
                  <c:v>1610000</c:v>
                </c:pt>
                <c:pt idx="528">
                  <c:v>1615000</c:v>
                </c:pt>
                <c:pt idx="529">
                  <c:v>1620000</c:v>
                </c:pt>
                <c:pt idx="530">
                  <c:v>1625000</c:v>
                </c:pt>
                <c:pt idx="531">
                  <c:v>1630000</c:v>
                </c:pt>
                <c:pt idx="532">
                  <c:v>1635000</c:v>
                </c:pt>
                <c:pt idx="533">
                  <c:v>1640000</c:v>
                </c:pt>
                <c:pt idx="534">
                  <c:v>1645000</c:v>
                </c:pt>
                <c:pt idx="535">
                  <c:v>1650000</c:v>
                </c:pt>
                <c:pt idx="536">
                  <c:v>1655000</c:v>
                </c:pt>
                <c:pt idx="537">
                  <c:v>1660000</c:v>
                </c:pt>
                <c:pt idx="538">
                  <c:v>1665000</c:v>
                </c:pt>
                <c:pt idx="539">
                  <c:v>1670000</c:v>
                </c:pt>
                <c:pt idx="540">
                  <c:v>1675000</c:v>
                </c:pt>
                <c:pt idx="541">
                  <c:v>1680000</c:v>
                </c:pt>
                <c:pt idx="542">
                  <c:v>1685000</c:v>
                </c:pt>
                <c:pt idx="543">
                  <c:v>1690000</c:v>
                </c:pt>
                <c:pt idx="544">
                  <c:v>1695000</c:v>
                </c:pt>
                <c:pt idx="545">
                  <c:v>1700000</c:v>
                </c:pt>
                <c:pt idx="546">
                  <c:v>1705000</c:v>
                </c:pt>
                <c:pt idx="547">
                  <c:v>1710000</c:v>
                </c:pt>
                <c:pt idx="548">
                  <c:v>1715000</c:v>
                </c:pt>
                <c:pt idx="549">
                  <c:v>1720000</c:v>
                </c:pt>
                <c:pt idx="550">
                  <c:v>1725000</c:v>
                </c:pt>
                <c:pt idx="551">
                  <c:v>1730000</c:v>
                </c:pt>
                <c:pt idx="552">
                  <c:v>1735000</c:v>
                </c:pt>
                <c:pt idx="553">
                  <c:v>1740000</c:v>
                </c:pt>
                <c:pt idx="554">
                  <c:v>1745000</c:v>
                </c:pt>
                <c:pt idx="555">
                  <c:v>1750000</c:v>
                </c:pt>
                <c:pt idx="556">
                  <c:v>1755000</c:v>
                </c:pt>
                <c:pt idx="557">
                  <c:v>1760000</c:v>
                </c:pt>
                <c:pt idx="558">
                  <c:v>1765000</c:v>
                </c:pt>
                <c:pt idx="559">
                  <c:v>1770000</c:v>
                </c:pt>
                <c:pt idx="560">
                  <c:v>1775000</c:v>
                </c:pt>
                <c:pt idx="561">
                  <c:v>1780000</c:v>
                </c:pt>
                <c:pt idx="562">
                  <c:v>1785000</c:v>
                </c:pt>
                <c:pt idx="563">
                  <c:v>1790000</c:v>
                </c:pt>
                <c:pt idx="564">
                  <c:v>1795000</c:v>
                </c:pt>
                <c:pt idx="565">
                  <c:v>1800000</c:v>
                </c:pt>
                <c:pt idx="566">
                  <c:v>1805000</c:v>
                </c:pt>
                <c:pt idx="567">
                  <c:v>1810000</c:v>
                </c:pt>
                <c:pt idx="568">
                  <c:v>1815000</c:v>
                </c:pt>
                <c:pt idx="569">
                  <c:v>1820000</c:v>
                </c:pt>
                <c:pt idx="570">
                  <c:v>1825000</c:v>
                </c:pt>
                <c:pt idx="571">
                  <c:v>1830000</c:v>
                </c:pt>
                <c:pt idx="572">
                  <c:v>1835000</c:v>
                </c:pt>
                <c:pt idx="573">
                  <c:v>1840000</c:v>
                </c:pt>
                <c:pt idx="574">
                  <c:v>1845000</c:v>
                </c:pt>
                <c:pt idx="575">
                  <c:v>1850000</c:v>
                </c:pt>
                <c:pt idx="576">
                  <c:v>1855000</c:v>
                </c:pt>
                <c:pt idx="577">
                  <c:v>1860000</c:v>
                </c:pt>
                <c:pt idx="578">
                  <c:v>1865000</c:v>
                </c:pt>
                <c:pt idx="579">
                  <c:v>1870000</c:v>
                </c:pt>
                <c:pt idx="580">
                  <c:v>1875000</c:v>
                </c:pt>
                <c:pt idx="581">
                  <c:v>1880000</c:v>
                </c:pt>
                <c:pt idx="582">
                  <c:v>1885000</c:v>
                </c:pt>
                <c:pt idx="583">
                  <c:v>1890000</c:v>
                </c:pt>
                <c:pt idx="584">
                  <c:v>1895000</c:v>
                </c:pt>
                <c:pt idx="585">
                  <c:v>1900000</c:v>
                </c:pt>
                <c:pt idx="586">
                  <c:v>1905000</c:v>
                </c:pt>
                <c:pt idx="587">
                  <c:v>1910000</c:v>
                </c:pt>
                <c:pt idx="588">
                  <c:v>1915000</c:v>
                </c:pt>
                <c:pt idx="589">
                  <c:v>1920000</c:v>
                </c:pt>
                <c:pt idx="590">
                  <c:v>1925000</c:v>
                </c:pt>
                <c:pt idx="591">
                  <c:v>1930000</c:v>
                </c:pt>
                <c:pt idx="592">
                  <c:v>1935000</c:v>
                </c:pt>
                <c:pt idx="593">
                  <c:v>1940000</c:v>
                </c:pt>
                <c:pt idx="594">
                  <c:v>1945000</c:v>
                </c:pt>
                <c:pt idx="595">
                  <c:v>1950000</c:v>
                </c:pt>
                <c:pt idx="596">
                  <c:v>1955000</c:v>
                </c:pt>
                <c:pt idx="597">
                  <c:v>1960000</c:v>
                </c:pt>
                <c:pt idx="598">
                  <c:v>1965000</c:v>
                </c:pt>
                <c:pt idx="599">
                  <c:v>1970000</c:v>
                </c:pt>
                <c:pt idx="600">
                  <c:v>1975000</c:v>
                </c:pt>
                <c:pt idx="601">
                  <c:v>1980000</c:v>
                </c:pt>
                <c:pt idx="602">
                  <c:v>1985000</c:v>
                </c:pt>
                <c:pt idx="603">
                  <c:v>1990000</c:v>
                </c:pt>
                <c:pt idx="604">
                  <c:v>1995000</c:v>
                </c:pt>
                <c:pt idx="605">
                  <c:v>2000000</c:v>
                </c:pt>
                <c:pt idx="606">
                  <c:v>2250000</c:v>
                </c:pt>
                <c:pt idx="607">
                  <c:v>2500000</c:v>
                </c:pt>
                <c:pt idx="608">
                  <c:v>2750000</c:v>
                </c:pt>
                <c:pt idx="609">
                  <c:v>3000000</c:v>
                </c:pt>
                <c:pt idx="610">
                  <c:v>3250000</c:v>
                </c:pt>
                <c:pt idx="611">
                  <c:v>3500000</c:v>
                </c:pt>
                <c:pt idx="612">
                  <c:v>3750000</c:v>
                </c:pt>
                <c:pt idx="613">
                  <c:v>4000000</c:v>
                </c:pt>
                <c:pt idx="614">
                  <c:v>4250000</c:v>
                </c:pt>
                <c:pt idx="615">
                  <c:v>4500000</c:v>
                </c:pt>
                <c:pt idx="616">
                  <c:v>4750000</c:v>
                </c:pt>
                <c:pt idx="617">
                  <c:v>5000000</c:v>
                </c:pt>
                <c:pt idx="618">
                  <c:v>5100000</c:v>
                </c:pt>
                <c:pt idx="619">
                  <c:v>5200000</c:v>
                </c:pt>
                <c:pt idx="620">
                  <c:v>5300000</c:v>
                </c:pt>
                <c:pt idx="621">
                  <c:v>5400000</c:v>
                </c:pt>
                <c:pt idx="622">
                  <c:v>5500000</c:v>
                </c:pt>
                <c:pt idx="623">
                  <c:v>5600000</c:v>
                </c:pt>
                <c:pt idx="624">
                  <c:v>5700000</c:v>
                </c:pt>
                <c:pt idx="625">
                  <c:v>5800000</c:v>
                </c:pt>
                <c:pt idx="626">
                  <c:v>5900000</c:v>
                </c:pt>
                <c:pt idx="627">
                  <c:v>6000000</c:v>
                </c:pt>
                <c:pt idx="628">
                  <c:v>6100000</c:v>
                </c:pt>
                <c:pt idx="629">
                  <c:v>6200000</c:v>
                </c:pt>
                <c:pt idx="630">
                  <c:v>6300000</c:v>
                </c:pt>
                <c:pt idx="631">
                  <c:v>6400000</c:v>
                </c:pt>
                <c:pt idx="632">
                  <c:v>6500000</c:v>
                </c:pt>
                <c:pt idx="633">
                  <c:v>6600000</c:v>
                </c:pt>
                <c:pt idx="634">
                  <c:v>6700000</c:v>
                </c:pt>
                <c:pt idx="635">
                  <c:v>6800000</c:v>
                </c:pt>
                <c:pt idx="636">
                  <c:v>6900000</c:v>
                </c:pt>
                <c:pt idx="637">
                  <c:v>7000000</c:v>
                </c:pt>
                <c:pt idx="638">
                  <c:v>7100000</c:v>
                </c:pt>
                <c:pt idx="639">
                  <c:v>7200000</c:v>
                </c:pt>
                <c:pt idx="640">
                  <c:v>7300000</c:v>
                </c:pt>
                <c:pt idx="641">
                  <c:v>7400000</c:v>
                </c:pt>
                <c:pt idx="642">
                  <c:v>7500000</c:v>
                </c:pt>
                <c:pt idx="643">
                  <c:v>7600000</c:v>
                </c:pt>
                <c:pt idx="644">
                  <c:v>7700000</c:v>
                </c:pt>
                <c:pt idx="645">
                  <c:v>7800000</c:v>
                </c:pt>
                <c:pt idx="646">
                  <c:v>7900000</c:v>
                </c:pt>
                <c:pt idx="647">
                  <c:v>8000000</c:v>
                </c:pt>
                <c:pt idx="648">
                  <c:v>8100000</c:v>
                </c:pt>
                <c:pt idx="649">
                  <c:v>8200000</c:v>
                </c:pt>
                <c:pt idx="650">
                  <c:v>8300000</c:v>
                </c:pt>
                <c:pt idx="651">
                  <c:v>8400000</c:v>
                </c:pt>
                <c:pt idx="652">
                  <c:v>8500000</c:v>
                </c:pt>
                <c:pt idx="653">
                  <c:v>8600000</c:v>
                </c:pt>
                <c:pt idx="654">
                  <c:v>8700000</c:v>
                </c:pt>
                <c:pt idx="655">
                  <c:v>8800000</c:v>
                </c:pt>
                <c:pt idx="656">
                  <c:v>8900000</c:v>
                </c:pt>
                <c:pt idx="657">
                  <c:v>9000000</c:v>
                </c:pt>
                <c:pt idx="658">
                  <c:v>9100000</c:v>
                </c:pt>
                <c:pt idx="659">
                  <c:v>9200000</c:v>
                </c:pt>
                <c:pt idx="660">
                  <c:v>9300000</c:v>
                </c:pt>
                <c:pt idx="661">
                  <c:v>9400000</c:v>
                </c:pt>
                <c:pt idx="662">
                  <c:v>9500000</c:v>
                </c:pt>
                <c:pt idx="663">
                  <c:v>9600000</c:v>
                </c:pt>
                <c:pt idx="664">
                  <c:v>9700000</c:v>
                </c:pt>
                <c:pt idx="665">
                  <c:v>9800000</c:v>
                </c:pt>
                <c:pt idx="666">
                  <c:v>9900000</c:v>
                </c:pt>
                <c:pt idx="667">
                  <c:v>10000000</c:v>
                </c:pt>
              </c:numCache>
            </c:numRef>
          </c:xVal>
          <c:yVal>
            <c:numRef>
              <c:f>'Bode Plots Calculations'!$BD$9:$BD$676</c:f>
              <c:numCache>
                <c:formatCode>General</c:formatCode>
                <c:ptCount val="668"/>
                <c:pt idx="0">
                  <c:v>-183.83834337633007</c:v>
                </c:pt>
                <c:pt idx="1">
                  <c:v>-187.64226903783509</c:v>
                </c:pt>
                <c:pt idx="2">
                  <c:v>-191.37917102238231</c:v>
                </c:pt>
                <c:pt idx="3">
                  <c:v>-195.01983487588092</c:v>
                </c:pt>
                <c:pt idx="4">
                  <c:v>-198.53960696765111</c:v>
                </c:pt>
                <c:pt idx="5">
                  <c:v>-201.9190629731641</c:v>
                </c:pt>
                <c:pt idx="6">
                  <c:v>-205.14417904535046</c:v>
                </c:pt>
                <c:pt idx="7">
                  <c:v>-208.2060835658655</c:v>
                </c:pt>
                <c:pt idx="8">
                  <c:v>-211.10050877202707</c:v>
                </c:pt>
                <c:pt idx="9">
                  <c:v>-213.82706991827573</c:v>
                </c:pt>
                <c:pt idx="10">
                  <c:v>-233.17383245285839</c:v>
                </c:pt>
                <c:pt idx="11">
                  <c:v>-243.33497247396767</c:v>
                </c:pt>
                <c:pt idx="12">
                  <c:v>-249.20503413938576</c:v>
                </c:pt>
                <c:pt idx="13">
                  <c:v>-252.93210194038727</c:v>
                </c:pt>
                <c:pt idx="14">
                  <c:v>-255.47241489733955</c:v>
                </c:pt>
                <c:pt idx="15">
                  <c:v>-257.29613432997331</c:v>
                </c:pt>
                <c:pt idx="16">
                  <c:v>-258.65691412314669</c:v>
                </c:pt>
                <c:pt idx="17">
                  <c:v>-259.70239102059213</c:v>
                </c:pt>
                <c:pt idx="18">
                  <c:v>-260.52390209710632</c:v>
                </c:pt>
                <c:pt idx="19">
                  <c:v>-263.70776312342639</c:v>
                </c:pt>
                <c:pt idx="20">
                  <c:v>-264.10170083806292</c:v>
                </c:pt>
                <c:pt idx="21">
                  <c:v>-263.79081044880274</c:v>
                </c:pt>
                <c:pt idx="22">
                  <c:v>-263.19791408848937</c:v>
                </c:pt>
                <c:pt idx="23">
                  <c:v>-262.46462317357827</c:v>
                </c:pt>
                <c:pt idx="24">
                  <c:v>-261.65186468423752</c:v>
                </c:pt>
                <c:pt idx="25">
                  <c:v>-260.79025044375931</c:v>
                </c:pt>
                <c:pt idx="26">
                  <c:v>-259.89690312875115</c:v>
                </c:pt>
                <c:pt idx="27">
                  <c:v>-258.98219457476932</c:v>
                </c:pt>
                <c:pt idx="28">
                  <c:v>-254.2619193118951</c:v>
                </c:pt>
                <c:pt idx="29">
                  <c:v>-249.49051405055297</c:v>
                </c:pt>
                <c:pt idx="30">
                  <c:v>-244.77729648622557</c:v>
                </c:pt>
                <c:pt idx="31">
                  <c:v>-240.17045599370937</c:v>
                </c:pt>
                <c:pt idx="32">
                  <c:v>-235.69736849695204</c:v>
                </c:pt>
                <c:pt idx="33">
                  <c:v>-231.37484753971165</c:v>
                </c:pt>
                <c:pt idx="34">
                  <c:v>-227.21289428087772</c:v>
                </c:pt>
                <c:pt idx="35">
                  <c:v>-223.21658265487915</c:v>
                </c:pt>
                <c:pt idx="36">
                  <c:v>-219.3872828419801</c:v>
                </c:pt>
                <c:pt idx="37">
                  <c:v>-215.7235837627949</c:v>
                </c:pt>
                <c:pt idx="38">
                  <c:v>-212.22203202971423</c:v>
                </c:pt>
                <c:pt idx="39">
                  <c:v>-208.8777303168234</c:v>
                </c:pt>
                <c:pt idx="40">
                  <c:v>-205.68481636019379</c:v>
                </c:pt>
                <c:pt idx="41">
                  <c:v>-202.63683856253709</c:v>
                </c:pt>
                <c:pt idx="42">
                  <c:v>-199.72704334990829</c:v>
                </c:pt>
                <c:pt idx="43">
                  <c:v>-196.94858908628444</c:v>
                </c:pt>
                <c:pt idx="44">
                  <c:v>-194.29470047713369</c:v>
                </c:pt>
                <c:pt idx="45">
                  <c:v>-191.75877595945056</c:v>
                </c:pt>
                <c:pt idx="46">
                  <c:v>-189.33445882282626</c:v>
                </c:pt>
                <c:pt idx="47">
                  <c:v>-187.01568097811872</c:v>
                </c:pt>
                <c:pt idx="48">
                  <c:v>-184.79668656036114</c:v>
                </c:pt>
                <c:pt idx="49">
                  <c:v>-182.67204101808028</c:v>
                </c:pt>
                <c:pt idx="50">
                  <c:v>-180.63663004130896</c:v>
                </c:pt>
                <c:pt idx="51">
                  <c:v>-178.68565161655707</c:v>
                </c:pt>
                <c:pt idx="52">
                  <c:v>-176.81460364895705</c:v>
                </c:pt>
                <c:pt idx="53">
                  <c:v>-175.01926893026456</c:v>
                </c:pt>
                <c:pt idx="54">
                  <c:v>-173.29569872457151</c:v>
                </c:pt>
                <c:pt idx="55">
                  <c:v>-171.64019586138249</c:v>
                </c:pt>
                <c:pt idx="56">
                  <c:v>-170.04929794162899</c:v>
                </c:pt>
                <c:pt idx="57">
                  <c:v>-168.51976105401096</c:v>
                </c:pt>
                <c:pt idx="58">
                  <c:v>-167.04854424869393</c:v>
                </c:pt>
                <c:pt idx="59">
                  <c:v>-165.63279490850314</c:v>
                </c:pt>
                <c:pt idx="60">
                  <c:v>-164.26983508318614</c:v>
                </c:pt>
                <c:pt idx="61">
                  <c:v>-162.95714880147722</c:v>
                </c:pt>
                <c:pt idx="62">
                  <c:v>-161.69237034210721</c:v>
                </c:pt>
                <c:pt idx="63">
                  <c:v>-160.47327342367376</c:v>
                </c:pt>
                <c:pt idx="64">
                  <c:v>-159.29776126081657</c:v>
                </c:pt>
                <c:pt idx="65">
                  <c:v>-158.16385742775327</c:v>
                </c:pt>
                <c:pt idx="66">
                  <c:v>-157.06969746799814</c:v>
                </c:pt>
                <c:pt idx="67">
                  <c:v>-156.01352118959286</c:v>
                </c:pt>
                <c:pt idx="68">
                  <c:v>-154.99366558744228</c:v>
                </c:pt>
                <c:pt idx="69">
                  <c:v>-154.00855833764851</c:v>
                </c:pt>
                <c:pt idx="70">
                  <c:v>-153.05671181259703</c:v>
                </c:pt>
                <c:pt idx="71">
                  <c:v>-152.13671756963058</c:v>
                </c:pt>
                <c:pt idx="72">
                  <c:v>-151.24724127022782</c:v>
                </c:pt>
                <c:pt idx="73">
                  <c:v>-150.38701799055167</c:v>
                </c:pt>
                <c:pt idx="74">
                  <c:v>-149.55484788795252</c:v>
                </c:pt>
                <c:pt idx="75">
                  <c:v>-148.74959219146626</c:v>
                </c:pt>
                <c:pt idx="76">
                  <c:v>-147.97016948751457</c:v>
                </c:pt>
                <c:pt idx="77">
                  <c:v>-147.21555227488952</c:v>
                </c:pt>
                <c:pt idx="78">
                  <c:v>-146.48476376570483</c:v>
                </c:pt>
                <c:pt idx="79">
                  <c:v>-145.77687491132599</c:v>
                </c:pt>
                <c:pt idx="80">
                  <c:v>-145.0910016343833</c:v>
                </c:pt>
                <c:pt idx="81">
                  <c:v>-144.42630224983441</c:v>
                </c:pt>
                <c:pt idx="82">
                  <c:v>-143.78197505970942</c:v>
                </c:pt>
                <c:pt idx="83">
                  <c:v>-143.15725610765222</c:v>
                </c:pt>
                <c:pt idx="84">
                  <c:v>-142.5514170806938</c:v>
                </c:pt>
                <c:pt idx="85">
                  <c:v>-141.96376334686957</c:v>
                </c:pt>
                <c:pt idx="86">
                  <c:v>-141.39363211834296</c:v>
                </c:pt>
                <c:pt idx="87">
                  <c:v>-140.84039073063462</c:v>
                </c:pt>
                <c:pt idx="88">
                  <c:v>-140.30343502939297</c:v>
                </c:pt>
                <c:pt idx="89">
                  <c:v>-139.78218785689285</c:v>
                </c:pt>
                <c:pt idx="90">
                  <c:v>-139.27609763111937</c:v>
                </c:pt>
                <c:pt idx="91">
                  <c:v>-138.7846370108989</c:v>
                </c:pt>
                <c:pt idx="92">
                  <c:v>-138.30730164108044</c:v>
                </c:pt>
                <c:pt idx="93">
                  <c:v>-137.84360897226128</c:v>
                </c:pt>
                <c:pt idx="94">
                  <c:v>-137.39309714999172</c:v>
                </c:pt>
                <c:pt idx="95">
                  <c:v>-136.95532396879398</c:v>
                </c:pt>
                <c:pt idx="96">
                  <c:v>-136.5298658866927</c:v>
                </c:pt>
                <c:pt idx="97">
                  <c:v>-136.1163170962835</c:v>
                </c:pt>
                <c:pt idx="98">
                  <c:v>-135.71428864866539</c:v>
                </c:pt>
                <c:pt idx="99">
                  <c:v>-135.32340762683694</c:v>
                </c:pt>
                <c:pt idx="100">
                  <c:v>-134.94331636540352</c:v>
                </c:pt>
                <c:pt idx="101">
                  <c:v>-134.57367171367287</c:v>
                </c:pt>
                <c:pt idx="102">
                  <c:v>-134.214144339424</c:v>
                </c:pt>
                <c:pt idx="103">
                  <c:v>-133.86441807082639</c:v>
                </c:pt>
                <c:pt idx="104">
                  <c:v>-133.52418927416244</c:v>
                </c:pt>
                <c:pt idx="105">
                  <c:v>-133.19316626516857</c:v>
                </c:pt>
                <c:pt idx="106">
                  <c:v>-132.87106875195894</c:v>
                </c:pt>
                <c:pt idx="107">
                  <c:v>-132.55762730763414</c:v>
                </c:pt>
                <c:pt idx="108">
                  <c:v>-132.25258287080382</c:v>
                </c:pt>
                <c:pt idx="109">
                  <c:v>-131.95568627237003</c:v>
                </c:pt>
                <c:pt idx="110">
                  <c:v>-131.66669778702675</c:v>
                </c:pt>
                <c:pt idx="111">
                  <c:v>-131.38538670803194</c:v>
                </c:pt>
                <c:pt idx="112">
                  <c:v>-131.11153094390167</c:v>
                </c:pt>
                <c:pt idx="113">
                  <c:v>-130.8449166357627</c:v>
                </c:pt>
                <c:pt idx="114">
                  <c:v>-130.58533779418059</c:v>
                </c:pt>
                <c:pt idx="115">
                  <c:v>-130.33259595435467</c:v>
                </c:pt>
                <c:pt idx="116">
                  <c:v>-130.08649984864164</c:v>
                </c:pt>
                <c:pt idx="117">
                  <c:v>-129.8468650954336</c:v>
                </c:pt>
                <c:pt idx="118">
                  <c:v>-129.6135139034771</c:v>
                </c:pt>
                <c:pt idx="119">
                  <c:v>-129.38627479077559</c:v>
                </c:pt>
                <c:pt idx="120">
                  <c:v>-129.16498231727093</c:v>
                </c:pt>
                <c:pt idx="121">
                  <c:v>-128.94947683054733</c:v>
                </c:pt>
                <c:pt idx="122">
                  <c:v>-128.73960422384772</c:v>
                </c:pt>
                <c:pt idx="123">
                  <c:v>-128.53521570573517</c:v>
                </c:pt>
                <c:pt idx="124">
                  <c:v>-128.33616758077088</c:v>
                </c:pt>
                <c:pt idx="125">
                  <c:v>-128.14232104061847</c:v>
                </c:pt>
                <c:pt idx="126">
                  <c:v>-127.95354196501933</c:v>
                </c:pt>
                <c:pt idx="127">
                  <c:v>-127.76970073211498</c:v>
                </c:pt>
                <c:pt idx="128">
                  <c:v>-127.59067203762467</c:v>
                </c:pt>
                <c:pt idx="129">
                  <c:v>-127.41633472241381</c:v>
                </c:pt>
                <c:pt idx="130">
                  <c:v>-127.24657160801593</c:v>
                </c:pt>
                <c:pt idx="131">
                  <c:v>-127.08126933969641</c:v>
                </c:pt>
                <c:pt idx="132">
                  <c:v>-126.92031823666886</c:v>
                </c:pt>
                <c:pt idx="133">
                  <c:v>-126.76361214909818</c:v>
                </c:pt>
                <c:pt idx="134">
                  <c:v>-126.61104832154376</c:v>
                </c:pt>
                <c:pt idx="135">
                  <c:v>-126.4625272625172</c:v>
                </c:pt>
                <c:pt idx="136">
                  <c:v>-126.31795261984561</c:v>
                </c:pt>
                <c:pt idx="137">
                  <c:v>-126.17723106155029</c:v>
                </c:pt>
                <c:pt idx="138">
                  <c:v>-126.04027216196482</c:v>
                </c:pt>
                <c:pt idx="139">
                  <c:v>-125.9069882928339</c:v>
                </c:pt>
                <c:pt idx="140">
                  <c:v>-125.77729451914644</c:v>
                </c:pt>
                <c:pt idx="141">
                  <c:v>-125.65110849947128</c:v>
                </c:pt>
                <c:pt idx="142">
                  <c:v>-125.52835039057555</c:v>
                </c:pt>
                <c:pt idx="143">
                  <c:v>-125.40894275611831</c:v>
                </c:pt>
                <c:pt idx="144">
                  <c:v>-125.29281047922223</c:v>
                </c:pt>
                <c:pt idx="145">
                  <c:v>-125.17988067873792</c:v>
                </c:pt>
                <c:pt idx="146">
                  <c:v>-125.07008262902397</c:v>
                </c:pt>
                <c:pt idx="147">
                  <c:v>-124.96334768307639</c:v>
                </c:pt>
                <c:pt idx="148">
                  <c:v>-124.85960919884866</c:v>
                </c:pt>
                <c:pt idx="149">
                  <c:v>-124.75880246861303</c:v>
                </c:pt>
                <c:pt idx="150">
                  <c:v>-124.66086465122086</c:v>
                </c:pt>
                <c:pt idx="151">
                  <c:v>-124.56573470712681</c:v>
                </c:pt>
                <c:pt idx="152">
                  <c:v>-124.47335333605</c:v>
                </c:pt>
                <c:pt idx="153">
                  <c:v>-124.38366291714999</c:v>
                </c:pt>
                <c:pt idx="154">
                  <c:v>-124.29660745160328</c:v>
                </c:pt>
                <c:pt idx="155">
                  <c:v>-124.21213250747034</c:v>
                </c:pt>
                <c:pt idx="156">
                  <c:v>-124.13018516675044</c:v>
                </c:pt>
                <c:pt idx="157">
                  <c:v>-124.05071397452497</c:v>
                </c:pt>
                <c:pt idx="158">
                  <c:v>-123.97366889009605</c:v>
                </c:pt>
                <c:pt idx="159">
                  <c:v>-123.89900124003174</c:v>
                </c:pt>
                <c:pt idx="160">
                  <c:v>-123.8266636730329</c:v>
                </c:pt>
                <c:pt idx="161">
                  <c:v>-123.75661011654157</c:v>
                </c:pt>
                <c:pt idx="162">
                  <c:v>-123.68879573501496</c:v>
                </c:pt>
                <c:pt idx="163">
                  <c:v>-123.62317688979137</c:v>
                </c:pt>
                <c:pt idx="164">
                  <c:v>-123.55971110047992</c:v>
                </c:pt>
                <c:pt idx="165">
                  <c:v>-123.4983570078078</c:v>
                </c:pt>
                <c:pt idx="166">
                  <c:v>-123.43907433786229</c:v>
                </c:pt>
                <c:pt idx="167">
                  <c:v>-123.38182386766856</c:v>
                </c:pt>
                <c:pt idx="168">
                  <c:v>-123.32656739204555</c:v>
                </c:pt>
                <c:pt idx="169">
                  <c:v>-123.27326769168678</c:v>
                </c:pt>
                <c:pt idx="170">
                  <c:v>-123.22188850241378</c:v>
                </c:pt>
                <c:pt idx="171">
                  <c:v>-123.17239448555348</c:v>
                </c:pt>
                <c:pt idx="172">
                  <c:v>-123.1247511993927</c:v>
                </c:pt>
                <c:pt idx="173">
                  <c:v>-123.07892507166457</c:v>
                </c:pt>
                <c:pt idx="174">
                  <c:v>-123.03488337302528</c:v>
                </c:pt>
                <c:pt idx="175">
                  <c:v>-122.99259419147958</c:v>
                </c:pt>
                <c:pt idx="176">
                  <c:v>-122.95202640771674</c:v>
                </c:pt>
                <c:pt idx="177">
                  <c:v>-122.91314967131997</c:v>
                </c:pt>
                <c:pt idx="178">
                  <c:v>-122.87593437781385</c:v>
                </c:pt>
                <c:pt idx="179">
                  <c:v>-122.840351646516</c:v>
                </c:pt>
                <c:pt idx="180">
                  <c:v>-122.80637329916144</c:v>
                </c:pt>
                <c:pt idx="181">
                  <c:v>-122.77397183926752</c:v>
                </c:pt>
                <c:pt idx="182">
                  <c:v>-122.74312043221147</c:v>
                </c:pt>
                <c:pt idx="183">
                  <c:v>-122.71379288599172</c:v>
                </c:pt>
                <c:pt idx="184">
                  <c:v>-122.68596363264633</c:v>
                </c:pt>
                <c:pt idx="185">
                  <c:v>-122.65960771030269</c:v>
                </c:pt>
                <c:pt idx="186">
                  <c:v>-122.63470074583414</c:v>
                </c:pt>
                <c:pt idx="187">
                  <c:v>-122.61121893810012</c:v>
                </c:pt>
                <c:pt idx="188">
                  <c:v>-122.58913904174716</c:v>
                </c:pt>
                <c:pt idx="189">
                  <c:v>-122.5684383515493</c:v>
                </c:pt>
                <c:pt idx="190">
                  <c:v>-122.54909468726721</c:v>
                </c:pt>
                <c:pt idx="191">
                  <c:v>-122.53108637900701</c:v>
                </c:pt>
                <c:pt idx="192">
                  <c:v>-122.5143922530587</c:v>
                </c:pt>
                <c:pt idx="193">
                  <c:v>-122.49899161819761</c:v>
                </c:pt>
                <c:pt idx="194">
                  <c:v>-122.48486425243024</c:v>
                </c:pt>
                <c:pt idx="195">
                  <c:v>-122.47199039016868</c:v>
                </c:pt>
                <c:pt idx="196">
                  <c:v>-122.46035070981797</c:v>
                </c:pt>
                <c:pt idx="197">
                  <c:v>-122.44992632176007</c:v>
                </c:pt>
                <c:pt idx="198">
                  <c:v>-122.44069875672113</c:v>
                </c:pt>
                <c:pt idx="199">
                  <c:v>-122.43264995450727</c:v>
                </c:pt>
                <c:pt idx="200">
                  <c:v>-122.4257622530958</c:v>
                </c:pt>
                <c:pt idx="201">
                  <c:v>-122.4200183780687</c:v>
                </c:pt>
                <c:pt idx="202">
                  <c:v>-122.41540143237657</c:v>
                </c:pt>
                <c:pt idx="203">
                  <c:v>-122.4118948864205</c:v>
                </c:pt>
                <c:pt idx="204">
                  <c:v>-122.40948256844116</c:v>
                </c:pt>
                <c:pt idx="205">
                  <c:v>-122.40814865520377</c:v>
                </c:pt>
                <c:pt idx="206">
                  <c:v>-122.40787766296853</c:v>
                </c:pt>
                <c:pt idx="207">
                  <c:v>-122.40865443873662</c:v>
                </c:pt>
                <c:pt idx="208">
                  <c:v>-122.41046415176214</c:v>
                </c:pt>
                <c:pt idx="209">
                  <c:v>-122.41329228532032</c:v>
                </c:pt>
                <c:pt idx="210">
                  <c:v>-122.41712462872358</c:v>
                </c:pt>
                <c:pt idx="211">
                  <c:v>-122.42194726957648</c:v>
                </c:pt>
                <c:pt idx="212">
                  <c:v>-122.42774658626169</c:v>
                </c:pt>
                <c:pt idx="213">
                  <c:v>-122.43450924064864</c:v>
                </c:pt>
                <c:pt idx="214">
                  <c:v>-122.44222217101769</c:v>
                </c:pt>
                <c:pt idx="215">
                  <c:v>-122.45087258519212</c:v>
                </c:pt>
                <c:pt idx="216">
                  <c:v>-122.46044795387108</c:v>
                </c:pt>
                <c:pt idx="217">
                  <c:v>-122.4709360041569</c:v>
                </c:pt>
                <c:pt idx="218">
                  <c:v>-122.4823247132697</c:v>
                </c:pt>
                <c:pt idx="219">
                  <c:v>-122.49460230244384</c:v>
                </c:pt>
                <c:pt idx="220">
                  <c:v>-122.50775723099935</c:v>
                </c:pt>
                <c:pt idx="221">
                  <c:v>-122.52177819058311</c:v>
                </c:pt>
                <c:pt idx="222">
                  <c:v>-122.53665409957395</c:v>
                </c:pt>
                <c:pt idx="223">
                  <c:v>-122.55237409764626</c:v>
                </c:pt>
                <c:pt idx="224">
                  <c:v>-122.56892754048725</c:v>
                </c:pt>
                <c:pt idx="225">
                  <c:v>-122.58630399466222</c:v>
                </c:pt>
                <c:pt idx="226">
                  <c:v>-122.80317999267999</c:v>
                </c:pt>
                <c:pt idx="227">
                  <c:v>-123.09227042995403</c:v>
                </c:pt>
                <c:pt idx="228">
                  <c:v>-123.44595392770077</c:v>
                </c:pt>
                <c:pt idx="229">
                  <c:v>-123.85789437664545</c:v>
                </c:pt>
                <c:pt idx="230">
                  <c:v>-124.32279123743277</c:v>
                </c:pt>
                <c:pt idx="231">
                  <c:v>-124.83618471344298</c:v>
                </c:pt>
                <c:pt idx="232">
                  <c:v>-125.39430218160901</c:v>
                </c:pt>
                <c:pt idx="233">
                  <c:v>-125.99393596801883</c:v>
                </c:pt>
                <c:pt idx="234">
                  <c:v>-126.63234516690267</c:v>
                </c:pt>
                <c:pt idx="235">
                  <c:v>-127.30717606765097</c:v>
                </c:pt>
                <c:pt idx="236">
                  <c:v>-128.01639710334618</c:v>
                </c:pt>
                <c:pt idx="237">
                  <c:v>-128.75824522006258</c:v>
                </c:pt>
                <c:pt idx="238">
                  <c:v>-129.53118129417604</c:v>
                </c:pt>
                <c:pt idx="239">
                  <c:v>-130.33385276791736</c:v>
                </c:pt>
                <c:pt idx="240">
                  <c:v>-131.1650620823001</c:v>
                </c:pt>
                <c:pt idx="241">
                  <c:v>-132.02373979732118</c:v>
                </c:pt>
                <c:pt idx="242">
                  <c:v>-132.90892152765321</c:v>
                </c:pt>
                <c:pt idx="243">
                  <c:v>-133.81972800641711</c:v>
                </c:pt>
                <c:pt idx="244">
                  <c:v>-134.75534773348573</c:v>
                </c:pt>
                <c:pt idx="245">
                  <c:v>-135.71502177797237</c:v>
                </c:pt>
                <c:pt idx="246">
                  <c:v>-136.6980303943549</c:v>
                </c:pt>
                <c:pt idx="247">
                  <c:v>-137.70368118346912</c:v>
                </c:pt>
                <c:pt idx="248">
                  <c:v>-138.73129858737394</c:v>
                </c:pt>
                <c:pt idx="249">
                  <c:v>-139.78021455385306</c:v>
                </c:pt>
                <c:pt idx="250">
                  <c:v>-140.84976024430793</c:v>
                </c:pt>
                <c:pt idx="251">
                  <c:v>-141.93925868969816</c:v>
                </c:pt>
                <c:pt idx="252">
                  <c:v>-143.04801832424974</c:v>
                </c:pt>
                <c:pt idx="253">
                  <c:v>-144.17532734681285</c:v>
                </c:pt>
                <c:pt idx="254">
                  <c:v>-145.32044887570623</c:v>
                </c:pt>
                <c:pt idx="255">
                  <c:v>-146.48261687515273</c:v>
                </c:pt>
                <c:pt idx="256">
                  <c:v>-147.6610328403824</c:v>
                </c:pt>
                <c:pt idx="257">
                  <c:v>-148.8548632344592</c:v>
                </c:pt>
                <c:pt idx="258">
                  <c:v>-150.0632376731333</c:v>
                </c:pt>
                <c:pt idx="259">
                  <c:v>-151.28524785474778</c:v>
                </c:pt>
                <c:pt idx="260">
                  <c:v>-152.51994723066616</c:v>
                </c:pt>
                <c:pt idx="261">
                  <c:v>-153.76635140806391</c:v>
                </c:pt>
                <c:pt idx="262">
                  <c:v>-155.02343927150341</c:v>
                </c:pt>
                <c:pt idx="263">
                  <c:v>-156.29015480277857</c:v>
                </c:pt>
                <c:pt idx="264">
                  <c:v>-157.56540957040664</c:v>
                </c:pt>
                <c:pt idx="265">
                  <c:v>-158.84808585121925</c:v>
                </c:pt>
                <c:pt idx="266">
                  <c:v>-160.13704033716414</c:v>
                </c:pt>
                <c:pt idx="267">
                  <c:v>-161.43110837108199</c:v>
                </c:pt>
                <c:pt idx="268">
                  <c:v>-162.72910864629313</c:v>
                </c:pt>
                <c:pt idx="269">
                  <c:v>-164.02984829671934</c:v>
                </c:pt>
                <c:pt idx="270">
                  <c:v>-165.33212829736323</c:v>
                </c:pt>
                <c:pt idx="271">
                  <c:v>-166.63474908959708</c:v>
                </c:pt>
                <c:pt idx="272">
                  <c:v>-167.93651634214831</c:v>
                </c:pt>
                <c:pt idx="273">
                  <c:v>-169.23624675710036</c:v>
                </c:pt>
                <c:pt idx="274">
                  <c:v>-170.53277383076272</c:v>
                </c:pt>
                <c:pt idx="275">
                  <c:v>-171.82495348191466</c:v>
                </c:pt>
                <c:pt idx="276">
                  <c:v>-173.11166946461668</c:v>
                </c:pt>
                <c:pt idx="277">
                  <c:v>-174.39183848935028</c:v>
                </c:pt>
                <c:pt idx="278">
                  <c:v>-175.66441498444948</c:v>
                </c:pt>
                <c:pt idx="279">
                  <c:v>-176.92839543932666</c:v>
                </c:pt>
                <c:pt idx="280">
                  <c:v>-178.18282228153183</c:v>
                </c:pt>
                <c:pt idx="281">
                  <c:v>-179.4267872508409</c:v>
                </c:pt>
                <c:pt idx="282">
                  <c:v>-180.65943424498491</c:v>
                </c:pt>
                <c:pt idx="283">
                  <c:v>-181.87996162293283</c:v>
                </c:pt>
                <c:pt idx="284">
                  <c:v>-183.08762396250791</c:v>
                </c:pt>
                <c:pt idx="285">
                  <c:v>-184.28173327925163</c:v>
                </c:pt>
                <c:pt idx="286">
                  <c:v>-185.46165972261878</c:v>
                </c:pt>
                <c:pt idx="287">
                  <c:v>-186.62683177360731</c:v>
                </c:pt>
                <c:pt idx="288">
                  <c:v>-187.77673597467904</c:v>
                </c:pt>
                <c:pt idx="289">
                  <c:v>-188.9109162282474</c:v>
                </c:pt>
                <c:pt idx="290">
                  <c:v>-190.02897270408508</c:v>
                </c:pt>
                <c:pt idx="291">
                  <c:v>-191.13056039877989</c:v>
                </c:pt>
                <c:pt idx="292">
                  <c:v>-192.21538739191331</c:v>
                </c:pt>
                <c:pt idx="293">
                  <c:v>-193.28321284406627</c:v>
                </c:pt>
                <c:pt idx="294">
                  <c:v>-194.33384478119785</c:v>
                </c:pt>
                <c:pt idx="295">
                  <c:v>-195.36713770853953</c:v>
                </c:pt>
                <c:pt idx="296">
                  <c:v>-196.38299009505195</c:v>
                </c:pt>
                <c:pt idx="297">
                  <c:v>-197.38134176684835</c:v>
                </c:pt>
                <c:pt idx="298">
                  <c:v>-198.36217124494607</c:v>
                </c:pt>
                <c:pt idx="299">
                  <c:v>-199.32549305939261</c:v>
                </c:pt>
                <c:pt idx="300">
                  <c:v>-200.27135506834907</c:v>
                </c:pt>
                <c:pt idx="301">
                  <c:v>-201.1998358072012</c:v>
                </c:pt>
                <c:pt idx="302">
                  <c:v>-202.11104188929792</c:v>
                </c:pt>
                <c:pt idx="303">
                  <c:v>-203.00510547655679</c:v>
                </c:pt>
                <c:pt idx="304">
                  <c:v>-203.88218183498603</c:v>
                </c:pt>
                <c:pt idx="305">
                  <c:v>-204.74244698718985</c:v>
                </c:pt>
                <c:pt idx="306">
                  <c:v>-205.58609547118277</c:v>
                </c:pt>
                <c:pt idx="307">
                  <c:v>-206.41333821235054</c:v>
                </c:pt>
                <c:pt idx="308">
                  <c:v>-207.2244005131719</c:v>
                </c:pt>
                <c:pt idx="309">
                  <c:v>-208.01952016335727</c:v>
                </c:pt>
                <c:pt idx="310">
                  <c:v>-208.79894567135659</c:v>
                </c:pt>
                <c:pt idx="311">
                  <c:v>-209.56293461673215</c:v>
                </c:pt>
                <c:pt idx="312">
                  <c:v>-210.31175212166642</c:v>
                </c:pt>
                <c:pt idx="313">
                  <c:v>-211.04566943886155</c:v>
                </c:pt>
                <c:pt idx="314">
                  <c:v>-211.76496265226976</c:v>
                </c:pt>
                <c:pt idx="315">
                  <c:v>-212.46991148644994</c:v>
                </c:pt>
                <c:pt idx="316">
                  <c:v>-213.16079821985858</c:v>
                </c:pt>
                <c:pt idx="317">
                  <c:v>-213.83790669703288</c:v>
                </c:pt>
                <c:pt idx="318">
                  <c:v>-214.50152143438993</c:v>
                </c:pt>
                <c:pt idx="319">
                  <c:v>-215.15192681423702</c:v>
                </c:pt>
                <c:pt idx="320">
                  <c:v>-215.78940636154098</c:v>
                </c:pt>
                <c:pt idx="321">
                  <c:v>-216.41424209803301</c:v>
                </c:pt>
                <c:pt idx="322">
                  <c:v>-217.02671396830777</c:v>
                </c:pt>
                <c:pt idx="323">
                  <c:v>-217.62709933271049</c:v>
                </c:pt>
                <c:pt idx="324">
                  <c:v>-218.21567252197195</c:v>
                </c:pt>
                <c:pt idx="325">
                  <c:v>-218.79270444875132</c:v>
                </c:pt>
                <c:pt idx="326">
                  <c:v>-219.35846227146118</c:v>
                </c:pt>
                <c:pt idx="327">
                  <c:v>-219.91320910598407</c:v>
                </c:pt>
                <c:pt idx="328">
                  <c:v>-220.45720378112767</c:v>
                </c:pt>
                <c:pt idx="329">
                  <c:v>-220.99070063391193</c:v>
                </c:pt>
                <c:pt idx="330">
                  <c:v>-221.51394934102419</c:v>
                </c:pt>
                <c:pt idx="331">
                  <c:v>-222.02719478302171</c:v>
                </c:pt>
                <c:pt idx="332">
                  <c:v>-222.53067693809658</c:v>
                </c:pt>
                <c:pt idx="333">
                  <c:v>-223.02463080244709</c:v>
                </c:pt>
                <c:pt idx="334">
                  <c:v>-223.50928633452179</c:v>
                </c:pt>
                <c:pt idx="335">
                  <c:v>-223.98486842061101</c:v>
                </c:pt>
                <c:pt idx="336">
                  <c:v>-224.45159685946501</c:v>
                </c:pt>
                <c:pt idx="337">
                  <c:v>-224.90968636380418</c:v>
                </c:pt>
                <c:pt idx="338">
                  <c:v>-225.3593465767687</c:v>
                </c:pt>
                <c:pt idx="339">
                  <c:v>-225.80078210152126</c:v>
                </c:pt>
                <c:pt idx="340">
                  <c:v>-226.23419254237484</c:v>
                </c:pt>
                <c:pt idx="341">
                  <c:v>-226.65977255596272</c:v>
                </c:pt>
                <c:pt idx="342">
                  <c:v>-227.07771191110533</c:v>
                </c:pt>
                <c:pt idx="343">
                  <c:v>-227.48819555615373</c:v>
                </c:pt>
                <c:pt idx="344">
                  <c:v>-227.89140369270646</c:v>
                </c:pt>
                <c:pt idx="345">
                  <c:v>-228.28751185470412</c:v>
                </c:pt>
                <c:pt idx="346">
                  <c:v>-228.67669099200498</c:v>
                </c:pt>
                <c:pt idx="347">
                  <c:v>-229.05910755763605</c:v>
                </c:pt>
                <c:pt idx="348">
                  <c:v>-229.43492359799666</c:v>
                </c:pt>
                <c:pt idx="349">
                  <c:v>-229.80429684536924</c:v>
                </c:pt>
                <c:pt idx="350">
                  <c:v>-230.16738081215982</c:v>
                </c:pt>
                <c:pt idx="351">
                  <c:v>-230.52432488635645</c:v>
                </c:pt>
                <c:pt idx="352">
                  <c:v>-230.87527442774947</c:v>
                </c:pt>
                <c:pt idx="353">
                  <c:v>-231.22037086451161</c:v>
                </c:pt>
                <c:pt idx="354">
                  <c:v>-231.55975178978335</c:v>
                </c:pt>
                <c:pt idx="355">
                  <c:v>-231.89355105795121</c:v>
                </c:pt>
                <c:pt idx="356">
                  <c:v>-232.22189888034774</c:v>
                </c:pt>
                <c:pt idx="357">
                  <c:v>-232.54492192013495</c:v>
                </c:pt>
                <c:pt idx="358">
                  <c:v>-232.86274338616715</c:v>
                </c:pt>
                <c:pt idx="359">
                  <c:v>-233.17548312565583</c:v>
                </c:pt>
                <c:pt idx="360">
                  <c:v>-233.48325771548645</c:v>
                </c:pt>
                <c:pt idx="361">
                  <c:v>-233.78618055206039</c:v>
                </c:pt>
                <c:pt idx="362">
                  <c:v>-234.0843619395539</c:v>
                </c:pt>
                <c:pt idx="363">
                  <c:v>-234.37790917650759</c:v>
                </c:pt>
                <c:pt idx="364">
                  <c:v>-234.66692664067423</c:v>
                </c:pt>
                <c:pt idx="365">
                  <c:v>-234.95151587206863</c:v>
                </c:pt>
                <c:pt idx="366">
                  <c:v>-235.23177565417544</c:v>
                </c:pt>
                <c:pt idx="367">
                  <c:v>-235.50780209328471</c:v>
                </c:pt>
                <c:pt idx="368">
                  <c:v>-235.77968869593161</c:v>
                </c:pt>
                <c:pt idx="369">
                  <c:v>-236.04752644442988</c:v>
                </c:pt>
                <c:pt idx="370">
                  <c:v>-236.31140387049322</c:v>
                </c:pt>
                <c:pt idx="371">
                  <c:v>-236.57140712694874</c:v>
                </c:pt>
                <c:pt idx="372">
                  <c:v>-236.82762005754989</c:v>
                </c:pt>
                <c:pt idx="373">
                  <c:v>-237.08012426490404</c:v>
                </c:pt>
                <c:pt idx="374">
                  <c:v>-237.32899917653302</c:v>
                </c:pt>
                <c:pt idx="375">
                  <c:v>-237.57432210908962</c:v>
                </c:pt>
                <c:pt idx="376">
                  <c:v>-237.81616833075566</c:v>
                </c:pt>
                <c:pt idx="377">
                  <c:v>-238.05461112185139</c:v>
                </c:pt>
                <c:pt idx="378">
                  <c:v>-238.28972183368683</c:v>
                </c:pt>
                <c:pt idx="379">
                  <c:v>-238.52156994568895</c:v>
                </c:pt>
                <c:pt idx="380">
                  <c:v>-238.75022312083922</c:v>
                </c:pt>
                <c:pt idx="381">
                  <c:v>-238.97574725945825</c:v>
                </c:pt>
                <c:pt idx="382">
                  <c:v>-239.19820655137428</c:v>
                </c:pt>
                <c:pt idx="383">
                  <c:v>-239.41766352651416</c:v>
                </c:pt>
                <c:pt idx="384">
                  <c:v>-239.63417910395438</c:v>
                </c:pt>
                <c:pt idx="385">
                  <c:v>-239.84781263947212</c:v>
                </c:pt>
                <c:pt idx="386">
                  <c:v>-240.05862197163415</c:v>
                </c:pt>
                <c:pt idx="387">
                  <c:v>-240.26666346646346</c:v>
                </c:pt>
                <c:pt idx="388">
                  <c:v>-240.4719920607215</c:v>
                </c:pt>
                <c:pt idx="389">
                  <c:v>-240.67466130384551</c:v>
                </c:pt>
                <c:pt idx="390">
                  <c:v>-240.8747233985782</c:v>
                </c:pt>
                <c:pt idx="391">
                  <c:v>-241.07222924032791</c:v>
                </c:pt>
                <c:pt idx="392">
                  <c:v>-241.26722845529642</c:v>
                </c:pt>
                <c:pt idx="393">
                  <c:v>-241.45976943741067</c:v>
                </c:pt>
                <c:pt idx="394">
                  <c:v>-241.6498993840946</c:v>
                </c:pt>
                <c:pt idx="395">
                  <c:v>-241.83766433091603</c:v>
                </c:pt>
                <c:pt idx="396">
                  <c:v>-242.0231091851436</c:v>
                </c:pt>
                <c:pt idx="397">
                  <c:v>-242.20627775824664</c:v>
                </c:pt>
                <c:pt idx="398">
                  <c:v>-242.38721279737189</c:v>
                </c:pt>
                <c:pt idx="399">
                  <c:v>-242.56595601582833</c:v>
                </c:pt>
                <c:pt idx="400">
                  <c:v>-242.74254812261253</c:v>
                </c:pt>
                <c:pt idx="401">
                  <c:v>-242.91702885100386</c:v>
                </c:pt>
                <c:pt idx="402">
                  <c:v>-243.08943698626041</c:v>
                </c:pt>
                <c:pt idx="403">
                  <c:v>-243.25981039244388</c:v>
                </c:pt>
                <c:pt idx="404">
                  <c:v>-243.4281860384018</c:v>
                </c:pt>
                <c:pt idx="405">
                  <c:v>-243.59460002293443</c:v>
                </c:pt>
                <c:pt idx="406">
                  <c:v>-243.75908759917274</c:v>
                </c:pt>
                <c:pt idx="407">
                  <c:v>-243.92168319819345</c:v>
                </c:pt>
                <c:pt idx="408">
                  <c:v>-244.08242045189573</c:v>
                </c:pt>
                <c:pt idx="409">
                  <c:v>-244.24133221516411</c:v>
                </c:pt>
                <c:pt idx="410">
                  <c:v>-244.3984505873409</c:v>
                </c:pt>
                <c:pt idx="411">
                  <c:v>-244.55380693303107</c:v>
                </c:pt>
                <c:pt idx="412">
                  <c:v>-244.70743190226094</c:v>
                </c:pt>
                <c:pt idx="413">
                  <c:v>-244.85935545001288</c:v>
                </c:pt>
                <c:pt idx="414">
                  <c:v>-245.00960685515611</c:v>
                </c:pt>
                <c:pt idx="415">
                  <c:v>-245.15821473879362</c:v>
                </c:pt>
                <c:pt idx="416">
                  <c:v>-245.30520708204443</c:v>
                </c:pt>
                <c:pt idx="417">
                  <c:v>-245.45061124328015</c:v>
                </c:pt>
                <c:pt idx="418">
                  <c:v>-245.59445397483387</c:v>
                </c:pt>
                <c:pt idx="419">
                  <c:v>-245.73676143919806</c:v>
                </c:pt>
                <c:pt idx="420">
                  <c:v>-245.87755922472971</c:v>
                </c:pt>
                <c:pt idx="421">
                  <c:v>-246.01687236087776</c:v>
                </c:pt>
                <c:pt idx="422">
                  <c:v>-246.15472533294923</c:v>
                </c:pt>
                <c:pt idx="423">
                  <c:v>-246.29114209642924</c:v>
                </c:pt>
                <c:pt idx="424">
                  <c:v>-246.42614609086917</c:v>
                </c:pt>
                <c:pt idx="425">
                  <c:v>-246.55976025335792</c:v>
                </c:pt>
                <c:pt idx="426">
                  <c:v>-246.69200703158924</c:v>
                </c:pt>
                <c:pt idx="427">
                  <c:v>-246.82290839653868</c:v>
                </c:pt>
                <c:pt idx="428">
                  <c:v>-246.95248585476338</c:v>
                </c:pt>
                <c:pt idx="429">
                  <c:v>-247.08076046033614</c:v>
                </c:pt>
                <c:pt idx="430">
                  <c:v>-247.20775282642677</c:v>
                </c:pt>
                <c:pt idx="431">
                  <c:v>-247.33348313654116</c:v>
                </c:pt>
                <c:pt idx="432">
                  <c:v>-247.4579711554301</c:v>
                </c:pt>
                <c:pt idx="433">
                  <c:v>-247.58123623967828</c:v>
                </c:pt>
                <c:pt idx="434">
                  <c:v>-247.70329734798366</c:v>
                </c:pt>
                <c:pt idx="435">
                  <c:v>-247.82417305113722</c:v>
                </c:pt>
                <c:pt idx="436">
                  <c:v>-247.94388154171364</c:v>
                </c:pt>
                <c:pt idx="437">
                  <c:v>-248.06244064348047</c:v>
                </c:pt>
                <c:pt idx="438">
                  <c:v>-248.17986782053694</c:v>
                </c:pt>
                <c:pt idx="439">
                  <c:v>-248.29618018618936</c:v>
                </c:pt>
                <c:pt idx="440">
                  <c:v>-248.41139451157258</c:v>
                </c:pt>
                <c:pt idx="441">
                  <c:v>-248.52552723402528</c:v>
                </c:pt>
                <c:pt idx="442">
                  <c:v>-248.63859446522667</c:v>
                </c:pt>
                <c:pt idx="443">
                  <c:v>-248.75061199910289</c:v>
                </c:pt>
                <c:pt idx="444">
                  <c:v>-248.86159531950955</c:v>
                </c:pt>
                <c:pt idx="445">
                  <c:v>-248.97155960769823</c:v>
                </c:pt>
                <c:pt idx="446">
                  <c:v>-249.08051974957328</c:v>
                </c:pt>
                <c:pt idx="447">
                  <c:v>-249.18849034274592</c:v>
                </c:pt>
                <c:pt idx="448">
                  <c:v>-249.29548570339125</c:v>
                </c:pt>
                <c:pt idx="449">
                  <c:v>-249.40151987291554</c:v>
                </c:pt>
                <c:pt idx="450">
                  <c:v>-249.50660662443843</c:v>
                </c:pt>
                <c:pt idx="451">
                  <c:v>-249.61075946909685</c:v>
                </c:pt>
                <c:pt idx="452">
                  <c:v>-249.71399166217543</c:v>
                </c:pt>
                <c:pt idx="453">
                  <c:v>-249.81631620906924</c:v>
                </c:pt>
                <c:pt idx="454">
                  <c:v>-249.91774587108392</c:v>
                </c:pt>
                <c:pt idx="455">
                  <c:v>-250.018293171078</c:v>
                </c:pt>
                <c:pt idx="456">
                  <c:v>-250.11797039895237</c:v>
                </c:pt>
                <c:pt idx="457">
                  <c:v>-250.21678961699212</c:v>
                </c:pt>
                <c:pt idx="458">
                  <c:v>-250.31476266506382</c:v>
                </c:pt>
                <c:pt idx="459">
                  <c:v>-250.41190116567464</c:v>
                </c:pt>
                <c:pt idx="460">
                  <c:v>-250.50821652889545</c:v>
                </c:pt>
                <c:pt idx="461">
                  <c:v>-250.60371995715371</c:v>
                </c:pt>
                <c:pt idx="462">
                  <c:v>-250.69842244989871</c:v>
                </c:pt>
                <c:pt idx="463">
                  <c:v>-250.79233480814423</c:v>
                </c:pt>
                <c:pt idx="464">
                  <c:v>-250.88546763889113</c:v>
                </c:pt>
                <c:pt idx="465">
                  <c:v>-250.97783135943456</c:v>
                </c:pt>
                <c:pt idx="466">
                  <c:v>-251.06943620155795</c:v>
                </c:pt>
                <c:pt idx="467">
                  <c:v>-251.16029221561874</c:v>
                </c:pt>
                <c:pt idx="468">
                  <c:v>-251.25040927452719</c:v>
                </c:pt>
                <c:pt idx="469">
                  <c:v>-251.33979707762336</c:v>
                </c:pt>
                <c:pt idx="470">
                  <c:v>-251.42846515445345</c:v>
                </c:pt>
                <c:pt idx="471">
                  <c:v>-251.51642286844984</c:v>
                </c:pt>
                <c:pt idx="472">
                  <c:v>-251.60367942051687</c:v>
                </c:pt>
                <c:pt idx="473">
                  <c:v>-251.69024385252527</c:v>
                </c:pt>
                <c:pt idx="474">
                  <c:v>-251.77612505071806</c:v>
                </c:pt>
                <c:pt idx="475">
                  <c:v>-251.86133174903028</c:v>
                </c:pt>
                <c:pt idx="476">
                  <c:v>-251.9458725323251</c:v>
                </c:pt>
                <c:pt idx="477">
                  <c:v>-252.02975583954878</c:v>
                </c:pt>
                <c:pt idx="478">
                  <c:v>-252.11298996680668</c:v>
                </c:pt>
                <c:pt idx="479">
                  <c:v>-252.19558307036263</c:v>
                </c:pt>
                <c:pt idx="480">
                  <c:v>-252.27754316956396</c:v>
                </c:pt>
                <c:pt idx="481">
                  <c:v>-252.35887814969396</c:v>
                </c:pt>
                <c:pt idx="482">
                  <c:v>-252.4395957647543</c:v>
                </c:pt>
                <c:pt idx="483">
                  <c:v>-252.51970364017893</c:v>
                </c:pt>
                <c:pt idx="484">
                  <c:v>-252.59920927548168</c:v>
                </c:pt>
                <c:pt idx="485">
                  <c:v>-252.6781200468393</c:v>
                </c:pt>
                <c:pt idx="486">
                  <c:v>-252.75644320961169</c:v>
                </c:pt>
                <c:pt idx="487">
                  <c:v>-252.83418590080123</c:v>
                </c:pt>
                <c:pt idx="488">
                  <c:v>-252.9113551414527</c:v>
                </c:pt>
                <c:pt idx="489">
                  <c:v>-252.98795783899573</c:v>
                </c:pt>
                <c:pt idx="490">
                  <c:v>-253.06400078953072</c:v>
                </c:pt>
                <c:pt idx="491">
                  <c:v>-253.13949068006087</c:v>
                </c:pt>
                <c:pt idx="492">
                  <c:v>-253.21443409067041</c:v>
                </c:pt>
                <c:pt idx="493">
                  <c:v>-253.28883749665201</c:v>
                </c:pt>
                <c:pt idx="494">
                  <c:v>-253.36270727058326</c:v>
                </c:pt>
                <c:pt idx="495">
                  <c:v>-253.43604968435469</c:v>
                </c:pt>
                <c:pt idx="496">
                  <c:v>-253.50887091115038</c:v>
                </c:pt>
                <c:pt idx="497">
                  <c:v>-253.58117702738195</c:v>
                </c:pt>
                <c:pt idx="498">
                  <c:v>-253.65297401457769</c:v>
                </c:pt>
                <c:pt idx="499">
                  <c:v>-253.72426776122816</c:v>
                </c:pt>
                <c:pt idx="500">
                  <c:v>-253.79506406458859</c:v>
                </c:pt>
                <c:pt idx="501">
                  <c:v>-253.86536863244032</c:v>
                </c:pt>
                <c:pt idx="502">
                  <c:v>-253.93518708481156</c:v>
                </c:pt>
                <c:pt idx="503">
                  <c:v>-254.00452495565878</c:v>
                </c:pt>
                <c:pt idx="504">
                  <c:v>-254.07338769450993</c:v>
                </c:pt>
                <c:pt idx="505">
                  <c:v>-254.14178066807023</c:v>
                </c:pt>
                <c:pt idx="506">
                  <c:v>-254.20970916179164</c:v>
                </c:pt>
                <c:pt idx="507">
                  <c:v>-254.27717838140714</c:v>
                </c:pt>
                <c:pt idx="508">
                  <c:v>-254.34419345443024</c:v>
                </c:pt>
                <c:pt idx="509">
                  <c:v>-254.4107594316211</c:v>
                </c:pt>
                <c:pt idx="510">
                  <c:v>-254.47688128841997</c:v>
                </c:pt>
                <c:pt idx="511">
                  <c:v>-254.54256392634852</c:v>
                </c:pt>
                <c:pt idx="512">
                  <c:v>-254.60781217438057</c:v>
                </c:pt>
                <c:pt idx="513">
                  <c:v>-254.67263079028191</c:v>
                </c:pt>
                <c:pt idx="514">
                  <c:v>-254.73702446192135</c:v>
                </c:pt>
                <c:pt idx="515">
                  <c:v>-254.80099780855247</c:v>
                </c:pt>
                <c:pt idx="516">
                  <c:v>-254.86455538206758</c:v>
                </c:pt>
                <c:pt idx="517">
                  <c:v>-254.92770166822436</c:v>
                </c:pt>
                <c:pt idx="518">
                  <c:v>-254.99044108784588</c:v>
                </c:pt>
                <c:pt idx="519">
                  <c:v>-255.05277799799467</c:v>
                </c:pt>
                <c:pt idx="520">
                  <c:v>-255.11471669312141</c:v>
                </c:pt>
                <c:pt idx="521">
                  <c:v>-255.17626140618887</c:v>
                </c:pt>
                <c:pt idx="522">
                  <c:v>-255.23741630977224</c:v>
                </c:pt>
                <c:pt idx="523">
                  <c:v>-255.29818551713518</c:v>
                </c:pt>
                <c:pt idx="524">
                  <c:v>-255.35857308328389</c:v>
                </c:pt>
                <c:pt idx="525">
                  <c:v>-255.41858300599787</c:v>
                </c:pt>
                <c:pt idx="526">
                  <c:v>-255.47821922684011</c:v>
                </c:pt>
                <c:pt idx="527">
                  <c:v>-255.53748563214469</c:v>
                </c:pt>
                <c:pt idx="528">
                  <c:v>-255.59638605398453</c:v>
                </c:pt>
                <c:pt idx="529">
                  <c:v>-255.65492427111877</c:v>
                </c:pt>
                <c:pt idx="530">
                  <c:v>-255.71310400992022</c:v>
                </c:pt>
                <c:pt idx="531">
                  <c:v>-255.77092894528343</c:v>
                </c:pt>
                <c:pt idx="532">
                  <c:v>-255.82840270151445</c:v>
                </c:pt>
                <c:pt idx="533">
                  <c:v>-255.88552885320169</c:v>
                </c:pt>
                <c:pt idx="534">
                  <c:v>-255.94231092606913</c:v>
                </c:pt>
                <c:pt idx="535">
                  <c:v>-255.99875239781215</c:v>
                </c:pt>
                <c:pt idx="536">
                  <c:v>-256.0548566989159</c:v>
                </c:pt>
                <c:pt idx="537">
                  <c:v>-256.11062721345741</c:v>
                </c:pt>
                <c:pt idx="538">
                  <c:v>-256.16606727989114</c:v>
                </c:pt>
                <c:pt idx="539">
                  <c:v>-256.22118019181875</c:v>
                </c:pt>
                <c:pt idx="540">
                  <c:v>-256.27596919874338</c:v>
                </c:pt>
                <c:pt idx="541">
                  <c:v>-256.33043750680861</c:v>
                </c:pt>
                <c:pt idx="542">
                  <c:v>-256.38458827952275</c:v>
                </c:pt>
                <c:pt idx="543">
                  <c:v>-256.43842463846869</c:v>
                </c:pt>
                <c:pt idx="544">
                  <c:v>-256.49194966399943</c:v>
                </c:pt>
                <c:pt idx="545">
                  <c:v>-256.54516639591998</c:v>
                </c:pt>
                <c:pt idx="546">
                  <c:v>-256.59807783415579</c:v>
                </c:pt>
                <c:pt idx="547">
                  <c:v>-256.65068693940771</c:v>
                </c:pt>
                <c:pt idx="548">
                  <c:v>-256.70299663379456</c:v>
                </c:pt>
                <c:pt idx="549">
                  <c:v>-256.75500980148252</c:v>
                </c:pt>
                <c:pt idx="550">
                  <c:v>-256.80672928930295</c:v>
                </c:pt>
                <c:pt idx="551">
                  <c:v>-256.85815790735739</c:v>
                </c:pt>
                <c:pt idx="552">
                  <c:v>-256.90929842961134</c:v>
                </c:pt>
                <c:pt idx="553">
                  <c:v>-256.96015359447659</c:v>
                </c:pt>
                <c:pt idx="554">
                  <c:v>-257.01072610538176</c:v>
                </c:pt>
                <c:pt idx="555">
                  <c:v>-257.06101863133273</c:v>
                </c:pt>
                <c:pt idx="556">
                  <c:v>-257.1110338074613</c:v>
                </c:pt>
                <c:pt idx="557">
                  <c:v>-257.16077423556442</c:v>
                </c:pt>
                <c:pt idx="558">
                  <c:v>-257.21024248463237</c:v>
                </c:pt>
                <c:pt idx="559">
                  <c:v>-257.25944109136736</c:v>
                </c:pt>
                <c:pt idx="560">
                  <c:v>-257.30837256069185</c:v>
                </c:pt>
                <c:pt idx="561">
                  <c:v>-257.35703936624793</c:v>
                </c:pt>
                <c:pt idx="562">
                  <c:v>-257.40544395088671</c:v>
                </c:pt>
                <c:pt idx="563">
                  <c:v>-257.45358872714883</c:v>
                </c:pt>
                <c:pt idx="564">
                  <c:v>-257.5014760777359</c:v>
                </c:pt>
                <c:pt idx="565">
                  <c:v>-257.54910835597332</c:v>
                </c:pt>
                <c:pt idx="566">
                  <c:v>-257.59648788626419</c:v>
                </c:pt>
                <c:pt idx="567">
                  <c:v>-257.64361696453494</c:v>
                </c:pt>
                <c:pt idx="568">
                  <c:v>-257.69049785867298</c:v>
                </c:pt>
                <c:pt idx="569">
                  <c:v>-257.73713280895589</c:v>
                </c:pt>
                <c:pt idx="570">
                  <c:v>-257.78352402847304</c:v>
                </c:pt>
                <c:pt idx="571">
                  <c:v>-257.82967370353924</c:v>
                </c:pt>
                <c:pt idx="572">
                  <c:v>-257.87558399410108</c:v>
                </c:pt>
                <c:pt idx="573">
                  <c:v>-257.92125703413586</c:v>
                </c:pt>
                <c:pt idx="574">
                  <c:v>-257.96669493204297</c:v>
                </c:pt>
                <c:pt idx="575">
                  <c:v>-258.01189977102848</c:v>
                </c:pt>
                <c:pt idx="576">
                  <c:v>-258.05687360948298</c:v>
                </c:pt>
                <c:pt idx="577">
                  <c:v>-258.10161848135192</c:v>
                </c:pt>
                <c:pt idx="578">
                  <c:v>-258.14613639650042</c:v>
                </c:pt>
                <c:pt idx="579">
                  <c:v>-258.19042934107017</c:v>
                </c:pt>
                <c:pt idx="580">
                  <c:v>-258.23449927783145</c:v>
                </c:pt>
                <c:pt idx="581">
                  <c:v>-258.27834814652743</c:v>
                </c:pt>
                <c:pt idx="582">
                  <c:v>-258.32197786421386</c:v>
                </c:pt>
                <c:pt idx="583">
                  <c:v>-258.36539032559131</c:v>
                </c:pt>
                <c:pt idx="584">
                  <c:v>-258.40858740333289</c:v>
                </c:pt>
                <c:pt idx="585">
                  <c:v>-258.45157094840505</c:v>
                </c:pt>
                <c:pt idx="586">
                  <c:v>-258.4943427903836</c:v>
                </c:pt>
                <c:pt idx="587">
                  <c:v>-258.53690473776396</c:v>
                </c:pt>
                <c:pt idx="588">
                  <c:v>-258.57925857826558</c:v>
                </c:pt>
                <c:pt idx="589">
                  <c:v>-258.62140607913199</c:v>
                </c:pt>
                <c:pt idx="590">
                  <c:v>-258.66334898742463</c:v>
                </c:pt>
                <c:pt idx="591">
                  <c:v>-258.70508903031248</c:v>
                </c:pt>
                <c:pt idx="592">
                  <c:v>-258.74662791535621</c:v>
                </c:pt>
                <c:pt idx="593">
                  <c:v>-258.78796733078747</c:v>
                </c:pt>
                <c:pt idx="594">
                  <c:v>-258.82910894578356</c:v>
                </c:pt>
                <c:pt idx="595">
                  <c:v>-258.87005441073751</c:v>
                </c:pt>
                <c:pt idx="596">
                  <c:v>-258.91080535752326</c:v>
                </c:pt>
                <c:pt idx="597">
                  <c:v>-258.9513633997567</c:v>
                </c:pt>
                <c:pt idx="598">
                  <c:v>-258.99173013305165</c:v>
                </c:pt>
                <c:pt idx="599">
                  <c:v>-259.0319071352726</c:v>
                </c:pt>
                <c:pt idx="600">
                  <c:v>-259.07189596678199</c:v>
                </c:pt>
                <c:pt idx="601">
                  <c:v>-259.11169817068452</c:v>
                </c:pt>
                <c:pt idx="602">
                  <c:v>-259.15131527306607</c:v>
                </c:pt>
                <c:pt idx="603">
                  <c:v>-259.19074878322999</c:v>
                </c:pt>
                <c:pt idx="604">
                  <c:v>-259.23000019392839</c:v>
                </c:pt>
                <c:pt idx="605">
                  <c:v>-259.26907098159023</c:v>
                </c:pt>
                <c:pt idx="606">
                  <c:v>-261.02078964330656</c:v>
                </c:pt>
                <c:pt idx="607">
                  <c:v>-262.46152902213566</c:v>
                </c:pt>
                <c:pt idx="608">
                  <c:v>-263.68045306742266</c:v>
                </c:pt>
                <c:pt idx="609">
                  <c:v>-264.73539993663871</c:v>
                </c:pt>
                <c:pt idx="610">
                  <c:v>-265.6655826793218</c:v>
                </c:pt>
                <c:pt idx="611">
                  <c:v>-266.49855653580607</c:v>
                </c:pt>
                <c:pt idx="612">
                  <c:v>-267.25426710865946</c:v>
                </c:pt>
                <c:pt idx="613">
                  <c:v>-267.94751624398077</c:v>
                </c:pt>
                <c:pt idx="614">
                  <c:v>-268.58952465007769</c:v>
                </c:pt>
                <c:pt idx="615">
                  <c:v>-269.18895592586205</c:v>
                </c:pt>
                <c:pt idx="616">
                  <c:v>-269.75260729021522</c:v>
                </c:pt>
                <c:pt idx="617">
                  <c:v>-270.2858873350811</c:v>
                </c:pt>
                <c:pt idx="618">
                  <c:v>-270.54513188913677</c:v>
                </c:pt>
                <c:pt idx="619">
                  <c:v>-270.79847658480674</c:v>
                </c:pt>
                <c:pt idx="620">
                  <c:v>-271.04625044824945</c:v>
                </c:pt>
                <c:pt idx="621">
                  <c:v>-271.28875884029986</c:v>
                </c:pt>
                <c:pt idx="622">
                  <c:v>-271.52628550702326</c:v>
                </c:pt>
                <c:pt idx="623">
                  <c:v>-271.75909442450632</c:v>
                </c:pt>
                <c:pt idx="624">
                  <c:v>-271.98743146109302</c:v>
                </c:pt>
                <c:pt idx="625">
                  <c:v>-272.21152587740028</c:v>
                </c:pt>
                <c:pt idx="626">
                  <c:v>-272.43159168195501</c:v>
                </c:pt>
                <c:pt idx="627">
                  <c:v>-272.6478288581348</c:v>
                </c:pt>
                <c:pt idx="628">
                  <c:v>-272.86042447621355</c:v>
                </c:pt>
                <c:pt idx="629">
                  <c:v>-273.06955370267895</c:v>
                </c:pt>
                <c:pt idx="630">
                  <c:v>-273.27538071756419</c:v>
                </c:pt>
                <c:pt idx="631">
                  <c:v>-273.47805954929123</c:v>
                </c:pt>
                <c:pt idx="632">
                  <c:v>-273.67773483543669</c:v>
                </c:pt>
                <c:pt idx="633">
                  <c:v>-273.87454251687933</c:v>
                </c:pt>
                <c:pt idx="634">
                  <c:v>-274.06861047195503</c:v>
                </c:pt>
                <c:pt idx="635">
                  <c:v>-274.2600590965103</c:v>
                </c:pt>
                <c:pt idx="636">
                  <c:v>-274.44900183510458</c:v>
                </c:pt>
                <c:pt idx="637">
                  <c:v>-274.63554566804243</c:v>
                </c:pt>
                <c:pt idx="638">
                  <c:v>-274.81979155841805</c:v>
                </c:pt>
                <c:pt idx="639">
                  <c:v>-275.00183486291172</c:v>
                </c:pt>
                <c:pt idx="640">
                  <c:v>-275.18176570968973</c:v>
                </c:pt>
                <c:pt idx="641">
                  <c:v>-275.35966934641129</c:v>
                </c:pt>
                <c:pt idx="642">
                  <c:v>-275.53562646104132</c:v>
                </c:pt>
                <c:pt idx="643">
                  <c:v>-275.70971347789418</c:v>
                </c:pt>
                <c:pt idx="644">
                  <c:v>-275.88200283109416</c:v>
                </c:pt>
                <c:pt idx="645">
                  <c:v>-276.05256321741876</c:v>
                </c:pt>
                <c:pt idx="646">
                  <c:v>-276.22145983030418</c:v>
                </c:pt>
                <c:pt idx="647">
                  <c:v>-276.38875457661607</c:v>
                </c:pt>
                <c:pt idx="648">
                  <c:v>-276.55450627763878</c:v>
                </c:pt>
                <c:pt idx="649">
                  <c:v>-276.71877085559743</c:v>
                </c:pt>
                <c:pt idx="650">
                  <c:v>-276.88160150690561</c:v>
                </c:pt>
                <c:pt idx="651">
                  <c:v>-277.04304886321978</c:v>
                </c:pt>
                <c:pt idx="652">
                  <c:v>-277.20316114128468</c:v>
                </c:pt>
                <c:pt idx="653">
                  <c:v>-277.36198428246246</c:v>
                </c:pt>
                <c:pt idx="654">
                  <c:v>-277.5195620827609</c:v>
                </c:pt>
                <c:pt idx="655">
                  <c:v>-277.67593631410182</c:v>
                </c:pt>
                <c:pt idx="656">
                  <c:v>-277.83114683750716</c:v>
                </c:pt>
                <c:pt idx="657">
                  <c:v>-277.98523170882004</c:v>
                </c:pt>
                <c:pt idx="658">
                  <c:v>-278.13822727752728</c:v>
                </c:pt>
                <c:pt idx="659">
                  <c:v>-278.29016827919799</c:v>
                </c:pt>
                <c:pt idx="660">
                  <c:v>-278.44108792201445</c:v>
                </c:pt>
                <c:pt idx="661">
                  <c:v>-278.59101796782642</c:v>
                </c:pt>
                <c:pt idx="662">
                  <c:v>-278.739988808129</c:v>
                </c:pt>
                <c:pt idx="663">
                  <c:v>-278.88802953532849</c:v>
                </c:pt>
                <c:pt idx="664">
                  <c:v>-279.03516800963251</c:v>
                </c:pt>
                <c:pt idx="665">
                  <c:v>-279.18143092187267</c:v>
                </c:pt>
                <c:pt idx="666">
                  <c:v>-279.32684385254549</c:v>
                </c:pt>
                <c:pt idx="667">
                  <c:v>-279.47143132733214</c:v>
                </c:pt>
              </c:numCache>
            </c:numRef>
          </c:yVal>
          <c:smooth val="0"/>
          <c:extLst>
            <c:ext xmlns:c16="http://schemas.microsoft.com/office/drawing/2014/chart" uri="{C3380CC4-5D6E-409C-BE32-E72D297353CC}">
              <c16:uniqueId val="{00000001-A789-0545-B6EC-04D727F4B7A2}"/>
            </c:ext>
          </c:extLst>
        </c:ser>
        <c:dLbls>
          <c:showLegendKey val="0"/>
          <c:showVal val="0"/>
          <c:showCatName val="0"/>
          <c:showSerName val="0"/>
          <c:showPercent val="0"/>
          <c:showBubbleSize val="0"/>
        </c:dLbls>
        <c:axId val="183563776"/>
        <c:axId val="183565312"/>
      </c:scatterChart>
      <c:valAx>
        <c:axId val="183547392"/>
        <c:scaling>
          <c:logBase val="10"/>
          <c:orientation val="minMax"/>
          <c:max val="10000000"/>
          <c:min val="1000"/>
        </c:scaling>
        <c:delete val="0"/>
        <c:axPos val="b"/>
        <c:title>
          <c:tx>
            <c:rich>
              <a:bodyPr/>
              <a:lstStyle/>
              <a:p>
                <a:pPr>
                  <a:defRPr sz="800" b="1" i="0" u="none" strike="noStrike" baseline="0">
                    <a:solidFill>
                      <a:srgbClr val="000000"/>
                    </a:solidFill>
                    <a:latin typeface="Arial"/>
                    <a:ea typeface="Arial"/>
                    <a:cs typeface="Arial"/>
                  </a:defRPr>
                </a:pPr>
                <a:r>
                  <a:rPr lang="en-US"/>
                  <a:t>Frequency (Hz)</a:t>
                </a:r>
              </a:p>
            </c:rich>
          </c:tx>
          <c:layout>
            <c:manualLayout>
              <c:xMode val="edge"/>
              <c:yMode val="edge"/>
              <c:x val="0.43375680580762788"/>
              <c:y val="0.88281468722659673"/>
            </c:manualLayout>
          </c:layout>
          <c:overlay val="0"/>
          <c:spPr>
            <a:noFill/>
            <a:ln w="25400">
              <a:noFill/>
            </a:ln>
          </c:spPr>
        </c:title>
        <c:numFmt formatCode="General" sourceLinked="1"/>
        <c:majorTickMark val="out"/>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3549312"/>
        <c:crossesAt val="-80"/>
        <c:crossBetween val="midCat"/>
      </c:valAx>
      <c:valAx>
        <c:axId val="183549312"/>
        <c:scaling>
          <c:orientation val="minMax"/>
          <c:min val="-60"/>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en-US"/>
                  <a:t>Gain (db)</a:t>
                </a:r>
              </a:p>
            </c:rich>
          </c:tx>
          <c:layout>
            <c:manualLayout>
              <c:xMode val="edge"/>
              <c:yMode val="edge"/>
              <c:x val="3.0852994555354056E-2"/>
              <c:y val="0.4427094269466312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3547392"/>
        <c:crosses val="autoZero"/>
        <c:crossBetween val="midCat"/>
      </c:valAx>
      <c:valAx>
        <c:axId val="183563776"/>
        <c:scaling>
          <c:logBase val="10"/>
          <c:orientation val="minMax"/>
        </c:scaling>
        <c:delete val="1"/>
        <c:axPos val="b"/>
        <c:numFmt formatCode="General" sourceLinked="1"/>
        <c:majorTickMark val="out"/>
        <c:minorTickMark val="none"/>
        <c:tickLblPos val="none"/>
        <c:crossAx val="183565312"/>
        <c:crosses val="autoZero"/>
        <c:crossBetween val="midCat"/>
      </c:valAx>
      <c:valAx>
        <c:axId val="183565312"/>
        <c:scaling>
          <c:orientation val="minMax"/>
        </c:scaling>
        <c:delete val="0"/>
        <c:axPos val="r"/>
        <c:title>
          <c:tx>
            <c:rich>
              <a:bodyPr/>
              <a:lstStyle/>
              <a:p>
                <a:pPr>
                  <a:defRPr sz="800" b="1" i="0" u="none" strike="noStrike" baseline="0">
                    <a:solidFill>
                      <a:srgbClr val="000000"/>
                    </a:solidFill>
                    <a:latin typeface="Arial"/>
                    <a:ea typeface="Arial"/>
                    <a:cs typeface="Arial"/>
                  </a:defRPr>
                </a:pPr>
                <a:r>
                  <a:rPr lang="en-US"/>
                  <a:t>Phase Margin (Deg)</a:t>
                </a:r>
              </a:p>
            </c:rich>
          </c:tx>
          <c:layout>
            <c:manualLayout>
              <c:xMode val="edge"/>
              <c:yMode val="edge"/>
              <c:x val="0.95462794918330363"/>
              <c:y val="0.36718832020997905"/>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3563776"/>
        <c:crosses val="max"/>
        <c:crossBetween val="midCat"/>
      </c:valAx>
      <c:spPr>
        <a:noFill/>
        <a:ln w="12700">
          <a:solidFill>
            <a:srgbClr val="808080"/>
          </a:solidFill>
          <a:prstDash val="solid"/>
        </a:ln>
      </c:spPr>
    </c:plotArea>
    <c:legend>
      <c:legendPos val="t"/>
      <c:layout>
        <c:manualLayout>
          <c:xMode val="edge"/>
          <c:yMode val="edge"/>
          <c:x val="0.76406533575318358"/>
          <c:y val="1.3020833333333511E-2"/>
          <c:w val="0.21597096188747997"/>
          <c:h val="0.14583360673665788"/>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en-US"/>
              <a:t>Comp to Vout</a:t>
            </a:r>
          </a:p>
        </c:rich>
      </c:tx>
      <c:layout>
        <c:manualLayout>
          <c:xMode val="edge"/>
          <c:yMode val="edge"/>
          <c:x val="0.42753699265852635"/>
          <c:y val="3.3766233766233771E-2"/>
        </c:manualLayout>
      </c:layout>
      <c:overlay val="0"/>
      <c:spPr>
        <a:noFill/>
        <a:ln w="25400">
          <a:noFill/>
        </a:ln>
      </c:spPr>
    </c:title>
    <c:autoTitleDeleted val="0"/>
    <c:plotArea>
      <c:layout>
        <c:manualLayout>
          <c:layoutTarget val="inner"/>
          <c:xMode val="edge"/>
          <c:yMode val="edge"/>
          <c:x val="0.11594223410296738"/>
          <c:y val="0.20779247132770992"/>
          <c:w val="0.79166806723432415"/>
          <c:h val="0.60519557274195002"/>
        </c:manualLayout>
      </c:layout>
      <c:scatterChart>
        <c:scatterStyle val="smoothMarker"/>
        <c:varyColors val="0"/>
        <c:ser>
          <c:idx val="2"/>
          <c:order val="0"/>
          <c:tx>
            <c:v>Actual gain</c:v>
          </c:tx>
          <c:spPr>
            <a:ln w="38100">
              <a:solidFill>
                <a:srgbClr val="FF0000"/>
              </a:solidFill>
              <a:prstDash val="solid"/>
            </a:ln>
          </c:spPr>
          <c:marker>
            <c:symbol val="none"/>
          </c:marker>
          <c:xVal>
            <c:numRef>
              <c:f>'Bode Plots Calculations'!$A$9:$A$676</c:f>
              <c:numCache>
                <c:formatCode>General</c:formatCode>
                <c:ptCount val="668"/>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1500</c:v>
                </c:pt>
                <c:pt idx="29">
                  <c:v>2000</c:v>
                </c:pt>
                <c:pt idx="30">
                  <c:v>2500</c:v>
                </c:pt>
                <c:pt idx="31">
                  <c:v>3000</c:v>
                </c:pt>
                <c:pt idx="32">
                  <c:v>3500</c:v>
                </c:pt>
                <c:pt idx="33">
                  <c:v>4000</c:v>
                </c:pt>
                <c:pt idx="34">
                  <c:v>4500</c:v>
                </c:pt>
                <c:pt idx="35">
                  <c:v>5000</c:v>
                </c:pt>
                <c:pt idx="36">
                  <c:v>5500</c:v>
                </c:pt>
                <c:pt idx="37">
                  <c:v>6000</c:v>
                </c:pt>
                <c:pt idx="38">
                  <c:v>6500</c:v>
                </c:pt>
                <c:pt idx="39">
                  <c:v>7000</c:v>
                </c:pt>
                <c:pt idx="40">
                  <c:v>7500</c:v>
                </c:pt>
                <c:pt idx="41">
                  <c:v>8000</c:v>
                </c:pt>
                <c:pt idx="42">
                  <c:v>8500</c:v>
                </c:pt>
                <c:pt idx="43">
                  <c:v>9000</c:v>
                </c:pt>
                <c:pt idx="44">
                  <c:v>9500</c:v>
                </c:pt>
                <c:pt idx="45">
                  <c:v>10000</c:v>
                </c:pt>
                <c:pt idx="46">
                  <c:v>10500</c:v>
                </c:pt>
                <c:pt idx="47">
                  <c:v>11000</c:v>
                </c:pt>
                <c:pt idx="48">
                  <c:v>11500</c:v>
                </c:pt>
                <c:pt idx="49">
                  <c:v>12000</c:v>
                </c:pt>
                <c:pt idx="50">
                  <c:v>12500</c:v>
                </c:pt>
                <c:pt idx="51">
                  <c:v>13000</c:v>
                </c:pt>
                <c:pt idx="52">
                  <c:v>13500</c:v>
                </c:pt>
                <c:pt idx="53">
                  <c:v>14000</c:v>
                </c:pt>
                <c:pt idx="54">
                  <c:v>14500</c:v>
                </c:pt>
                <c:pt idx="55">
                  <c:v>15000</c:v>
                </c:pt>
                <c:pt idx="56">
                  <c:v>15500</c:v>
                </c:pt>
                <c:pt idx="57">
                  <c:v>16000</c:v>
                </c:pt>
                <c:pt idx="58">
                  <c:v>16500</c:v>
                </c:pt>
                <c:pt idx="59">
                  <c:v>17000</c:v>
                </c:pt>
                <c:pt idx="60">
                  <c:v>17500</c:v>
                </c:pt>
                <c:pt idx="61">
                  <c:v>18000</c:v>
                </c:pt>
                <c:pt idx="62">
                  <c:v>18500</c:v>
                </c:pt>
                <c:pt idx="63">
                  <c:v>19000</c:v>
                </c:pt>
                <c:pt idx="64">
                  <c:v>19500</c:v>
                </c:pt>
                <c:pt idx="65">
                  <c:v>20000</c:v>
                </c:pt>
                <c:pt idx="66">
                  <c:v>20500</c:v>
                </c:pt>
                <c:pt idx="67">
                  <c:v>21000</c:v>
                </c:pt>
                <c:pt idx="68">
                  <c:v>21500</c:v>
                </c:pt>
                <c:pt idx="69">
                  <c:v>22000</c:v>
                </c:pt>
                <c:pt idx="70">
                  <c:v>22500</c:v>
                </c:pt>
                <c:pt idx="71">
                  <c:v>23000</c:v>
                </c:pt>
                <c:pt idx="72">
                  <c:v>23500</c:v>
                </c:pt>
                <c:pt idx="73">
                  <c:v>24000</c:v>
                </c:pt>
                <c:pt idx="74">
                  <c:v>24500</c:v>
                </c:pt>
                <c:pt idx="75">
                  <c:v>25000</c:v>
                </c:pt>
                <c:pt idx="76">
                  <c:v>25500</c:v>
                </c:pt>
                <c:pt idx="77">
                  <c:v>26000</c:v>
                </c:pt>
                <c:pt idx="78">
                  <c:v>26500</c:v>
                </c:pt>
                <c:pt idx="79">
                  <c:v>27000</c:v>
                </c:pt>
                <c:pt idx="80">
                  <c:v>27500</c:v>
                </c:pt>
                <c:pt idx="81">
                  <c:v>28000</c:v>
                </c:pt>
                <c:pt idx="82">
                  <c:v>28500</c:v>
                </c:pt>
                <c:pt idx="83">
                  <c:v>29000</c:v>
                </c:pt>
                <c:pt idx="84">
                  <c:v>29500</c:v>
                </c:pt>
                <c:pt idx="85">
                  <c:v>30000</c:v>
                </c:pt>
                <c:pt idx="86">
                  <c:v>30500</c:v>
                </c:pt>
                <c:pt idx="87">
                  <c:v>31000</c:v>
                </c:pt>
                <c:pt idx="88">
                  <c:v>31500</c:v>
                </c:pt>
                <c:pt idx="89">
                  <c:v>32000</c:v>
                </c:pt>
                <c:pt idx="90">
                  <c:v>32500</c:v>
                </c:pt>
                <c:pt idx="91">
                  <c:v>33000</c:v>
                </c:pt>
                <c:pt idx="92">
                  <c:v>33500</c:v>
                </c:pt>
                <c:pt idx="93">
                  <c:v>34000</c:v>
                </c:pt>
                <c:pt idx="94">
                  <c:v>34500</c:v>
                </c:pt>
                <c:pt idx="95">
                  <c:v>35000</c:v>
                </c:pt>
                <c:pt idx="96">
                  <c:v>35500</c:v>
                </c:pt>
                <c:pt idx="97">
                  <c:v>36000</c:v>
                </c:pt>
                <c:pt idx="98">
                  <c:v>36500</c:v>
                </c:pt>
                <c:pt idx="99">
                  <c:v>37000</c:v>
                </c:pt>
                <c:pt idx="100">
                  <c:v>37500</c:v>
                </c:pt>
                <c:pt idx="101">
                  <c:v>38000</c:v>
                </c:pt>
                <c:pt idx="102">
                  <c:v>38500</c:v>
                </c:pt>
                <c:pt idx="103">
                  <c:v>39000</c:v>
                </c:pt>
                <c:pt idx="104">
                  <c:v>39500</c:v>
                </c:pt>
                <c:pt idx="105">
                  <c:v>40000</c:v>
                </c:pt>
                <c:pt idx="106">
                  <c:v>40500</c:v>
                </c:pt>
                <c:pt idx="107">
                  <c:v>41000</c:v>
                </c:pt>
                <c:pt idx="108">
                  <c:v>41500</c:v>
                </c:pt>
                <c:pt idx="109">
                  <c:v>42000</c:v>
                </c:pt>
                <c:pt idx="110">
                  <c:v>42500</c:v>
                </c:pt>
                <c:pt idx="111">
                  <c:v>43000</c:v>
                </c:pt>
                <c:pt idx="112">
                  <c:v>43500</c:v>
                </c:pt>
                <c:pt idx="113">
                  <c:v>44000</c:v>
                </c:pt>
                <c:pt idx="114">
                  <c:v>44500</c:v>
                </c:pt>
                <c:pt idx="115">
                  <c:v>45000</c:v>
                </c:pt>
                <c:pt idx="116">
                  <c:v>45500</c:v>
                </c:pt>
                <c:pt idx="117">
                  <c:v>46000</c:v>
                </c:pt>
                <c:pt idx="118">
                  <c:v>46500</c:v>
                </c:pt>
                <c:pt idx="119">
                  <c:v>47000</c:v>
                </c:pt>
                <c:pt idx="120">
                  <c:v>47500</c:v>
                </c:pt>
                <c:pt idx="121">
                  <c:v>48000</c:v>
                </c:pt>
                <c:pt idx="122">
                  <c:v>48500</c:v>
                </c:pt>
                <c:pt idx="123">
                  <c:v>49000</c:v>
                </c:pt>
                <c:pt idx="124">
                  <c:v>49500</c:v>
                </c:pt>
                <c:pt idx="125">
                  <c:v>50000</c:v>
                </c:pt>
                <c:pt idx="126">
                  <c:v>50500</c:v>
                </c:pt>
                <c:pt idx="127">
                  <c:v>51000</c:v>
                </c:pt>
                <c:pt idx="128">
                  <c:v>51500</c:v>
                </c:pt>
                <c:pt idx="129">
                  <c:v>52000</c:v>
                </c:pt>
                <c:pt idx="130">
                  <c:v>52500</c:v>
                </c:pt>
                <c:pt idx="131">
                  <c:v>53000</c:v>
                </c:pt>
                <c:pt idx="132">
                  <c:v>53500</c:v>
                </c:pt>
                <c:pt idx="133">
                  <c:v>54000</c:v>
                </c:pt>
                <c:pt idx="134">
                  <c:v>54500</c:v>
                </c:pt>
                <c:pt idx="135">
                  <c:v>55000</c:v>
                </c:pt>
                <c:pt idx="136">
                  <c:v>55500</c:v>
                </c:pt>
                <c:pt idx="137">
                  <c:v>56000</c:v>
                </c:pt>
                <c:pt idx="138">
                  <c:v>56500</c:v>
                </c:pt>
                <c:pt idx="139">
                  <c:v>57000</c:v>
                </c:pt>
                <c:pt idx="140">
                  <c:v>57500</c:v>
                </c:pt>
                <c:pt idx="141">
                  <c:v>58000</c:v>
                </c:pt>
                <c:pt idx="142">
                  <c:v>58500</c:v>
                </c:pt>
                <c:pt idx="143">
                  <c:v>59000</c:v>
                </c:pt>
                <c:pt idx="144">
                  <c:v>59500</c:v>
                </c:pt>
                <c:pt idx="145">
                  <c:v>60000</c:v>
                </c:pt>
                <c:pt idx="146">
                  <c:v>60500</c:v>
                </c:pt>
                <c:pt idx="147">
                  <c:v>61000</c:v>
                </c:pt>
                <c:pt idx="148">
                  <c:v>61500</c:v>
                </c:pt>
                <c:pt idx="149">
                  <c:v>62000</c:v>
                </c:pt>
                <c:pt idx="150">
                  <c:v>62500</c:v>
                </c:pt>
                <c:pt idx="151">
                  <c:v>63000</c:v>
                </c:pt>
                <c:pt idx="152">
                  <c:v>63500</c:v>
                </c:pt>
                <c:pt idx="153">
                  <c:v>64000</c:v>
                </c:pt>
                <c:pt idx="154">
                  <c:v>64500</c:v>
                </c:pt>
                <c:pt idx="155">
                  <c:v>65000</c:v>
                </c:pt>
                <c:pt idx="156">
                  <c:v>65500</c:v>
                </c:pt>
                <c:pt idx="157">
                  <c:v>66000</c:v>
                </c:pt>
                <c:pt idx="158">
                  <c:v>66500</c:v>
                </c:pt>
                <c:pt idx="159">
                  <c:v>67000</c:v>
                </c:pt>
                <c:pt idx="160">
                  <c:v>67500</c:v>
                </c:pt>
                <c:pt idx="161">
                  <c:v>68000</c:v>
                </c:pt>
                <c:pt idx="162">
                  <c:v>68500</c:v>
                </c:pt>
                <c:pt idx="163">
                  <c:v>69000</c:v>
                </c:pt>
                <c:pt idx="164">
                  <c:v>69500</c:v>
                </c:pt>
                <c:pt idx="165">
                  <c:v>70000</c:v>
                </c:pt>
                <c:pt idx="166">
                  <c:v>70500</c:v>
                </c:pt>
                <c:pt idx="167">
                  <c:v>71000</c:v>
                </c:pt>
                <c:pt idx="168">
                  <c:v>71500</c:v>
                </c:pt>
                <c:pt idx="169">
                  <c:v>72000</c:v>
                </c:pt>
                <c:pt idx="170">
                  <c:v>72500</c:v>
                </c:pt>
                <c:pt idx="171">
                  <c:v>73000</c:v>
                </c:pt>
                <c:pt idx="172">
                  <c:v>73500</c:v>
                </c:pt>
                <c:pt idx="173">
                  <c:v>74000</c:v>
                </c:pt>
                <c:pt idx="174">
                  <c:v>74500</c:v>
                </c:pt>
                <c:pt idx="175">
                  <c:v>75000</c:v>
                </c:pt>
                <c:pt idx="176">
                  <c:v>75500</c:v>
                </c:pt>
                <c:pt idx="177">
                  <c:v>76000</c:v>
                </c:pt>
                <c:pt idx="178">
                  <c:v>76500</c:v>
                </c:pt>
                <c:pt idx="179">
                  <c:v>77000</c:v>
                </c:pt>
                <c:pt idx="180">
                  <c:v>77500</c:v>
                </c:pt>
                <c:pt idx="181">
                  <c:v>78000</c:v>
                </c:pt>
                <c:pt idx="182">
                  <c:v>78500</c:v>
                </c:pt>
                <c:pt idx="183">
                  <c:v>79000</c:v>
                </c:pt>
                <c:pt idx="184">
                  <c:v>79500</c:v>
                </c:pt>
                <c:pt idx="185">
                  <c:v>80000</c:v>
                </c:pt>
                <c:pt idx="186">
                  <c:v>80500</c:v>
                </c:pt>
                <c:pt idx="187">
                  <c:v>81000</c:v>
                </c:pt>
                <c:pt idx="188">
                  <c:v>81500</c:v>
                </c:pt>
                <c:pt idx="189">
                  <c:v>82000</c:v>
                </c:pt>
                <c:pt idx="190">
                  <c:v>82500</c:v>
                </c:pt>
                <c:pt idx="191">
                  <c:v>83000</c:v>
                </c:pt>
                <c:pt idx="192">
                  <c:v>83500</c:v>
                </c:pt>
                <c:pt idx="193">
                  <c:v>84000</c:v>
                </c:pt>
                <c:pt idx="194">
                  <c:v>84500</c:v>
                </c:pt>
                <c:pt idx="195">
                  <c:v>85000</c:v>
                </c:pt>
                <c:pt idx="196">
                  <c:v>85500</c:v>
                </c:pt>
                <c:pt idx="197">
                  <c:v>86000</c:v>
                </c:pt>
                <c:pt idx="198">
                  <c:v>86500</c:v>
                </c:pt>
                <c:pt idx="199">
                  <c:v>87000</c:v>
                </c:pt>
                <c:pt idx="200">
                  <c:v>87500</c:v>
                </c:pt>
                <c:pt idx="201">
                  <c:v>88000</c:v>
                </c:pt>
                <c:pt idx="202">
                  <c:v>88500</c:v>
                </c:pt>
                <c:pt idx="203">
                  <c:v>89000</c:v>
                </c:pt>
                <c:pt idx="204">
                  <c:v>89500</c:v>
                </c:pt>
                <c:pt idx="205">
                  <c:v>90000</c:v>
                </c:pt>
                <c:pt idx="206">
                  <c:v>90500</c:v>
                </c:pt>
                <c:pt idx="207">
                  <c:v>91000</c:v>
                </c:pt>
                <c:pt idx="208">
                  <c:v>91500</c:v>
                </c:pt>
                <c:pt idx="209">
                  <c:v>92000</c:v>
                </c:pt>
                <c:pt idx="210">
                  <c:v>92500</c:v>
                </c:pt>
                <c:pt idx="211">
                  <c:v>93000</c:v>
                </c:pt>
                <c:pt idx="212">
                  <c:v>93500</c:v>
                </c:pt>
                <c:pt idx="213">
                  <c:v>94000</c:v>
                </c:pt>
                <c:pt idx="214">
                  <c:v>94500</c:v>
                </c:pt>
                <c:pt idx="215">
                  <c:v>95000</c:v>
                </c:pt>
                <c:pt idx="216">
                  <c:v>95500</c:v>
                </c:pt>
                <c:pt idx="217">
                  <c:v>96000</c:v>
                </c:pt>
                <c:pt idx="218">
                  <c:v>96500</c:v>
                </c:pt>
                <c:pt idx="219">
                  <c:v>97000</c:v>
                </c:pt>
                <c:pt idx="220">
                  <c:v>97500</c:v>
                </c:pt>
                <c:pt idx="221">
                  <c:v>98000</c:v>
                </c:pt>
                <c:pt idx="222">
                  <c:v>98500</c:v>
                </c:pt>
                <c:pt idx="223">
                  <c:v>99000</c:v>
                </c:pt>
                <c:pt idx="224">
                  <c:v>99500</c:v>
                </c:pt>
                <c:pt idx="225">
                  <c:v>100000</c:v>
                </c:pt>
                <c:pt idx="226">
                  <c:v>105000</c:v>
                </c:pt>
                <c:pt idx="227">
                  <c:v>110000</c:v>
                </c:pt>
                <c:pt idx="228">
                  <c:v>115000</c:v>
                </c:pt>
                <c:pt idx="229">
                  <c:v>120000</c:v>
                </c:pt>
                <c:pt idx="230">
                  <c:v>125000</c:v>
                </c:pt>
                <c:pt idx="231">
                  <c:v>130000</c:v>
                </c:pt>
                <c:pt idx="232">
                  <c:v>135000</c:v>
                </c:pt>
                <c:pt idx="233">
                  <c:v>140000</c:v>
                </c:pt>
                <c:pt idx="234">
                  <c:v>145000</c:v>
                </c:pt>
                <c:pt idx="235">
                  <c:v>150000</c:v>
                </c:pt>
                <c:pt idx="236">
                  <c:v>155000</c:v>
                </c:pt>
                <c:pt idx="237">
                  <c:v>160000</c:v>
                </c:pt>
                <c:pt idx="238">
                  <c:v>165000</c:v>
                </c:pt>
                <c:pt idx="239">
                  <c:v>170000</c:v>
                </c:pt>
                <c:pt idx="240">
                  <c:v>175000</c:v>
                </c:pt>
                <c:pt idx="241">
                  <c:v>180000</c:v>
                </c:pt>
                <c:pt idx="242">
                  <c:v>185000</c:v>
                </c:pt>
                <c:pt idx="243">
                  <c:v>190000</c:v>
                </c:pt>
                <c:pt idx="244">
                  <c:v>195000</c:v>
                </c:pt>
                <c:pt idx="245">
                  <c:v>200000</c:v>
                </c:pt>
                <c:pt idx="246">
                  <c:v>205000</c:v>
                </c:pt>
                <c:pt idx="247">
                  <c:v>210000</c:v>
                </c:pt>
                <c:pt idx="248">
                  <c:v>215000</c:v>
                </c:pt>
                <c:pt idx="249">
                  <c:v>220000</c:v>
                </c:pt>
                <c:pt idx="250">
                  <c:v>225000</c:v>
                </c:pt>
                <c:pt idx="251">
                  <c:v>230000</c:v>
                </c:pt>
                <c:pt idx="252">
                  <c:v>235000</c:v>
                </c:pt>
                <c:pt idx="253">
                  <c:v>240000</c:v>
                </c:pt>
                <c:pt idx="254">
                  <c:v>245000</c:v>
                </c:pt>
                <c:pt idx="255">
                  <c:v>250000</c:v>
                </c:pt>
                <c:pt idx="256">
                  <c:v>255000</c:v>
                </c:pt>
                <c:pt idx="257">
                  <c:v>260000</c:v>
                </c:pt>
                <c:pt idx="258">
                  <c:v>265000</c:v>
                </c:pt>
                <c:pt idx="259">
                  <c:v>270000</c:v>
                </c:pt>
                <c:pt idx="260">
                  <c:v>275000</c:v>
                </c:pt>
                <c:pt idx="261">
                  <c:v>280000</c:v>
                </c:pt>
                <c:pt idx="262">
                  <c:v>285000</c:v>
                </c:pt>
                <c:pt idx="263">
                  <c:v>290000</c:v>
                </c:pt>
                <c:pt idx="264">
                  <c:v>295000</c:v>
                </c:pt>
                <c:pt idx="265">
                  <c:v>300000</c:v>
                </c:pt>
                <c:pt idx="266">
                  <c:v>305000</c:v>
                </c:pt>
                <c:pt idx="267">
                  <c:v>310000</c:v>
                </c:pt>
                <c:pt idx="268">
                  <c:v>315000</c:v>
                </c:pt>
                <c:pt idx="269">
                  <c:v>320000</c:v>
                </c:pt>
                <c:pt idx="270">
                  <c:v>325000</c:v>
                </c:pt>
                <c:pt idx="271">
                  <c:v>330000</c:v>
                </c:pt>
                <c:pt idx="272">
                  <c:v>335000</c:v>
                </c:pt>
                <c:pt idx="273">
                  <c:v>340000</c:v>
                </c:pt>
                <c:pt idx="274">
                  <c:v>345000</c:v>
                </c:pt>
                <c:pt idx="275">
                  <c:v>350000</c:v>
                </c:pt>
                <c:pt idx="276">
                  <c:v>355000</c:v>
                </c:pt>
                <c:pt idx="277">
                  <c:v>360000</c:v>
                </c:pt>
                <c:pt idx="278">
                  <c:v>365000</c:v>
                </c:pt>
                <c:pt idx="279">
                  <c:v>370000</c:v>
                </c:pt>
                <c:pt idx="280">
                  <c:v>375000</c:v>
                </c:pt>
                <c:pt idx="281">
                  <c:v>380000</c:v>
                </c:pt>
                <c:pt idx="282">
                  <c:v>385000</c:v>
                </c:pt>
                <c:pt idx="283">
                  <c:v>390000</c:v>
                </c:pt>
                <c:pt idx="284">
                  <c:v>395000</c:v>
                </c:pt>
                <c:pt idx="285">
                  <c:v>400000</c:v>
                </c:pt>
                <c:pt idx="286">
                  <c:v>405000</c:v>
                </c:pt>
                <c:pt idx="287">
                  <c:v>410000</c:v>
                </c:pt>
                <c:pt idx="288">
                  <c:v>415000</c:v>
                </c:pt>
                <c:pt idx="289">
                  <c:v>420000</c:v>
                </c:pt>
                <c:pt idx="290">
                  <c:v>425000</c:v>
                </c:pt>
                <c:pt idx="291">
                  <c:v>430000</c:v>
                </c:pt>
                <c:pt idx="292">
                  <c:v>435000</c:v>
                </c:pt>
                <c:pt idx="293">
                  <c:v>440000</c:v>
                </c:pt>
                <c:pt idx="294">
                  <c:v>445000</c:v>
                </c:pt>
                <c:pt idx="295">
                  <c:v>450000</c:v>
                </c:pt>
                <c:pt idx="296">
                  <c:v>455000</c:v>
                </c:pt>
                <c:pt idx="297">
                  <c:v>460000</c:v>
                </c:pt>
                <c:pt idx="298">
                  <c:v>465000</c:v>
                </c:pt>
                <c:pt idx="299">
                  <c:v>470000</c:v>
                </c:pt>
                <c:pt idx="300">
                  <c:v>475000</c:v>
                </c:pt>
                <c:pt idx="301">
                  <c:v>480000</c:v>
                </c:pt>
                <c:pt idx="302">
                  <c:v>485000</c:v>
                </c:pt>
                <c:pt idx="303">
                  <c:v>490000</c:v>
                </c:pt>
                <c:pt idx="304">
                  <c:v>495000</c:v>
                </c:pt>
                <c:pt idx="305">
                  <c:v>500000</c:v>
                </c:pt>
                <c:pt idx="306">
                  <c:v>505000</c:v>
                </c:pt>
                <c:pt idx="307">
                  <c:v>510000</c:v>
                </c:pt>
                <c:pt idx="308">
                  <c:v>515000</c:v>
                </c:pt>
                <c:pt idx="309">
                  <c:v>520000</c:v>
                </c:pt>
                <c:pt idx="310">
                  <c:v>525000</c:v>
                </c:pt>
                <c:pt idx="311">
                  <c:v>530000</c:v>
                </c:pt>
                <c:pt idx="312">
                  <c:v>535000</c:v>
                </c:pt>
                <c:pt idx="313">
                  <c:v>540000</c:v>
                </c:pt>
                <c:pt idx="314">
                  <c:v>545000</c:v>
                </c:pt>
                <c:pt idx="315">
                  <c:v>550000</c:v>
                </c:pt>
                <c:pt idx="316">
                  <c:v>555000</c:v>
                </c:pt>
                <c:pt idx="317">
                  <c:v>560000</c:v>
                </c:pt>
                <c:pt idx="318">
                  <c:v>565000</c:v>
                </c:pt>
                <c:pt idx="319">
                  <c:v>570000</c:v>
                </c:pt>
                <c:pt idx="320">
                  <c:v>575000</c:v>
                </c:pt>
                <c:pt idx="321">
                  <c:v>580000</c:v>
                </c:pt>
                <c:pt idx="322">
                  <c:v>585000</c:v>
                </c:pt>
                <c:pt idx="323">
                  <c:v>590000</c:v>
                </c:pt>
                <c:pt idx="324">
                  <c:v>595000</c:v>
                </c:pt>
                <c:pt idx="325">
                  <c:v>600000</c:v>
                </c:pt>
                <c:pt idx="326">
                  <c:v>605000</c:v>
                </c:pt>
                <c:pt idx="327">
                  <c:v>610000</c:v>
                </c:pt>
                <c:pt idx="328">
                  <c:v>615000</c:v>
                </c:pt>
                <c:pt idx="329">
                  <c:v>620000</c:v>
                </c:pt>
                <c:pt idx="330">
                  <c:v>625000</c:v>
                </c:pt>
                <c:pt idx="331">
                  <c:v>630000</c:v>
                </c:pt>
                <c:pt idx="332">
                  <c:v>635000</c:v>
                </c:pt>
                <c:pt idx="333">
                  <c:v>640000</c:v>
                </c:pt>
                <c:pt idx="334">
                  <c:v>645000</c:v>
                </c:pt>
                <c:pt idx="335">
                  <c:v>650000</c:v>
                </c:pt>
                <c:pt idx="336">
                  <c:v>655000</c:v>
                </c:pt>
                <c:pt idx="337">
                  <c:v>660000</c:v>
                </c:pt>
                <c:pt idx="338">
                  <c:v>665000</c:v>
                </c:pt>
                <c:pt idx="339">
                  <c:v>670000</c:v>
                </c:pt>
                <c:pt idx="340">
                  <c:v>675000</c:v>
                </c:pt>
                <c:pt idx="341">
                  <c:v>680000</c:v>
                </c:pt>
                <c:pt idx="342">
                  <c:v>685000</c:v>
                </c:pt>
                <c:pt idx="343">
                  <c:v>690000</c:v>
                </c:pt>
                <c:pt idx="344">
                  <c:v>695000</c:v>
                </c:pt>
                <c:pt idx="345">
                  <c:v>700000</c:v>
                </c:pt>
                <c:pt idx="346">
                  <c:v>705000</c:v>
                </c:pt>
                <c:pt idx="347">
                  <c:v>710000</c:v>
                </c:pt>
                <c:pt idx="348">
                  <c:v>715000</c:v>
                </c:pt>
                <c:pt idx="349">
                  <c:v>720000</c:v>
                </c:pt>
                <c:pt idx="350">
                  <c:v>725000</c:v>
                </c:pt>
                <c:pt idx="351">
                  <c:v>730000</c:v>
                </c:pt>
                <c:pt idx="352">
                  <c:v>735000</c:v>
                </c:pt>
                <c:pt idx="353">
                  <c:v>740000</c:v>
                </c:pt>
                <c:pt idx="354">
                  <c:v>745000</c:v>
                </c:pt>
                <c:pt idx="355">
                  <c:v>750000</c:v>
                </c:pt>
                <c:pt idx="356">
                  <c:v>755000</c:v>
                </c:pt>
                <c:pt idx="357">
                  <c:v>760000</c:v>
                </c:pt>
                <c:pt idx="358">
                  <c:v>765000</c:v>
                </c:pt>
                <c:pt idx="359">
                  <c:v>770000</c:v>
                </c:pt>
                <c:pt idx="360">
                  <c:v>775000</c:v>
                </c:pt>
                <c:pt idx="361">
                  <c:v>780000</c:v>
                </c:pt>
                <c:pt idx="362">
                  <c:v>785000</c:v>
                </c:pt>
                <c:pt idx="363">
                  <c:v>790000</c:v>
                </c:pt>
                <c:pt idx="364">
                  <c:v>795000</c:v>
                </c:pt>
                <c:pt idx="365">
                  <c:v>800000</c:v>
                </c:pt>
                <c:pt idx="366">
                  <c:v>805000</c:v>
                </c:pt>
                <c:pt idx="367">
                  <c:v>810000</c:v>
                </c:pt>
                <c:pt idx="368">
                  <c:v>815000</c:v>
                </c:pt>
                <c:pt idx="369">
                  <c:v>820000</c:v>
                </c:pt>
                <c:pt idx="370">
                  <c:v>825000</c:v>
                </c:pt>
                <c:pt idx="371">
                  <c:v>830000</c:v>
                </c:pt>
                <c:pt idx="372">
                  <c:v>835000</c:v>
                </c:pt>
                <c:pt idx="373">
                  <c:v>840000</c:v>
                </c:pt>
                <c:pt idx="374">
                  <c:v>845000</c:v>
                </c:pt>
                <c:pt idx="375">
                  <c:v>850000</c:v>
                </c:pt>
                <c:pt idx="376">
                  <c:v>855000</c:v>
                </c:pt>
                <c:pt idx="377">
                  <c:v>860000</c:v>
                </c:pt>
                <c:pt idx="378">
                  <c:v>865000</c:v>
                </c:pt>
                <c:pt idx="379">
                  <c:v>870000</c:v>
                </c:pt>
                <c:pt idx="380">
                  <c:v>875000</c:v>
                </c:pt>
                <c:pt idx="381">
                  <c:v>880000</c:v>
                </c:pt>
                <c:pt idx="382">
                  <c:v>885000</c:v>
                </c:pt>
                <c:pt idx="383">
                  <c:v>890000</c:v>
                </c:pt>
                <c:pt idx="384">
                  <c:v>895000</c:v>
                </c:pt>
                <c:pt idx="385">
                  <c:v>900000</c:v>
                </c:pt>
                <c:pt idx="386">
                  <c:v>905000</c:v>
                </c:pt>
                <c:pt idx="387">
                  <c:v>910000</c:v>
                </c:pt>
                <c:pt idx="388">
                  <c:v>915000</c:v>
                </c:pt>
                <c:pt idx="389">
                  <c:v>920000</c:v>
                </c:pt>
                <c:pt idx="390">
                  <c:v>925000</c:v>
                </c:pt>
                <c:pt idx="391">
                  <c:v>930000</c:v>
                </c:pt>
                <c:pt idx="392">
                  <c:v>935000</c:v>
                </c:pt>
                <c:pt idx="393">
                  <c:v>940000</c:v>
                </c:pt>
                <c:pt idx="394">
                  <c:v>945000</c:v>
                </c:pt>
                <c:pt idx="395">
                  <c:v>950000</c:v>
                </c:pt>
                <c:pt idx="396">
                  <c:v>955000</c:v>
                </c:pt>
                <c:pt idx="397">
                  <c:v>960000</c:v>
                </c:pt>
                <c:pt idx="398">
                  <c:v>965000</c:v>
                </c:pt>
                <c:pt idx="399">
                  <c:v>970000</c:v>
                </c:pt>
                <c:pt idx="400">
                  <c:v>975000</c:v>
                </c:pt>
                <c:pt idx="401">
                  <c:v>980000</c:v>
                </c:pt>
                <c:pt idx="402">
                  <c:v>985000</c:v>
                </c:pt>
                <c:pt idx="403">
                  <c:v>990000</c:v>
                </c:pt>
                <c:pt idx="404">
                  <c:v>995000</c:v>
                </c:pt>
                <c:pt idx="405">
                  <c:v>1000000</c:v>
                </c:pt>
                <c:pt idx="406">
                  <c:v>1005000</c:v>
                </c:pt>
                <c:pt idx="407">
                  <c:v>1010000</c:v>
                </c:pt>
                <c:pt idx="408">
                  <c:v>1015000</c:v>
                </c:pt>
                <c:pt idx="409">
                  <c:v>1020000</c:v>
                </c:pt>
                <c:pt idx="410">
                  <c:v>1025000</c:v>
                </c:pt>
                <c:pt idx="411">
                  <c:v>1030000</c:v>
                </c:pt>
                <c:pt idx="412">
                  <c:v>1035000</c:v>
                </c:pt>
                <c:pt idx="413">
                  <c:v>1040000</c:v>
                </c:pt>
                <c:pt idx="414">
                  <c:v>1045000</c:v>
                </c:pt>
                <c:pt idx="415">
                  <c:v>1050000</c:v>
                </c:pt>
                <c:pt idx="416">
                  <c:v>1055000</c:v>
                </c:pt>
                <c:pt idx="417">
                  <c:v>1060000</c:v>
                </c:pt>
                <c:pt idx="418">
                  <c:v>1065000</c:v>
                </c:pt>
                <c:pt idx="419">
                  <c:v>1070000</c:v>
                </c:pt>
                <c:pt idx="420">
                  <c:v>1075000</c:v>
                </c:pt>
                <c:pt idx="421">
                  <c:v>1080000</c:v>
                </c:pt>
                <c:pt idx="422">
                  <c:v>1085000</c:v>
                </c:pt>
                <c:pt idx="423">
                  <c:v>1090000</c:v>
                </c:pt>
                <c:pt idx="424">
                  <c:v>1095000</c:v>
                </c:pt>
                <c:pt idx="425">
                  <c:v>1100000</c:v>
                </c:pt>
                <c:pt idx="426">
                  <c:v>1105000</c:v>
                </c:pt>
                <c:pt idx="427">
                  <c:v>1110000</c:v>
                </c:pt>
                <c:pt idx="428">
                  <c:v>1115000</c:v>
                </c:pt>
                <c:pt idx="429">
                  <c:v>1120000</c:v>
                </c:pt>
                <c:pt idx="430">
                  <c:v>1125000</c:v>
                </c:pt>
                <c:pt idx="431">
                  <c:v>1130000</c:v>
                </c:pt>
                <c:pt idx="432">
                  <c:v>1135000</c:v>
                </c:pt>
                <c:pt idx="433">
                  <c:v>1140000</c:v>
                </c:pt>
                <c:pt idx="434">
                  <c:v>1145000</c:v>
                </c:pt>
                <c:pt idx="435">
                  <c:v>1150000</c:v>
                </c:pt>
                <c:pt idx="436">
                  <c:v>1155000</c:v>
                </c:pt>
                <c:pt idx="437">
                  <c:v>1160000</c:v>
                </c:pt>
                <c:pt idx="438">
                  <c:v>1165000</c:v>
                </c:pt>
                <c:pt idx="439">
                  <c:v>1170000</c:v>
                </c:pt>
                <c:pt idx="440">
                  <c:v>1175000</c:v>
                </c:pt>
                <c:pt idx="441">
                  <c:v>1180000</c:v>
                </c:pt>
                <c:pt idx="442">
                  <c:v>1185000</c:v>
                </c:pt>
                <c:pt idx="443">
                  <c:v>1190000</c:v>
                </c:pt>
                <c:pt idx="444">
                  <c:v>1195000</c:v>
                </c:pt>
                <c:pt idx="445">
                  <c:v>1200000</c:v>
                </c:pt>
                <c:pt idx="446">
                  <c:v>1205000</c:v>
                </c:pt>
                <c:pt idx="447">
                  <c:v>1210000</c:v>
                </c:pt>
                <c:pt idx="448">
                  <c:v>1215000</c:v>
                </c:pt>
                <c:pt idx="449">
                  <c:v>1220000</c:v>
                </c:pt>
                <c:pt idx="450">
                  <c:v>1225000</c:v>
                </c:pt>
                <c:pt idx="451">
                  <c:v>1230000</c:v>
                </c:pt>
                <c:pt idx="452">
                  <c:v>1235000</c:v>
                </c:pt>
                <c:pt idx="453">
                  <c:v>1240000</c:v>
                </c:pt>
                <c:pt idx="454">
                  <c:v>1245000</c:v>
                </c:pt>
                <c:pt idx="455">
                  <c:v>1250000</c:v>
                </c:pt>
                <c:pt idx="456">
                  <c:v>1255000</c:v>
                </c:pt>
                <c:pt idx="457">
                  <c:v>1260000</c:v>
                </c:pt>
                <c:pt idx="458">
                  <c:v>1265000</c:v>
                </c:pt>
                <c:pt idx="459">
                  <c:v>1270000</c:v>
                </c:pt>
                <c:pt idx="460">
                  <c:v>1275000</c:v>
                </c:pt>
                <c:pt idx="461">
                  <c:v>1280000</c:v>
                </c:pt>
                <c:pt idx="462">
                  <c:v>1285000</c:v>
                </c:pt>
                <c:pt idx="463">
                  <c:v>1290000</c:v>
                </c:pt>
                <c:pt idx="464">
                  <c:v>1295000</c:v>
                </c:pt>
                <c:pt idx="465">
                  <c:v>1300000</c:v>
                </c:pt>
                <c:pt idx="466">
                  <c:v>1305000</c:v>
                </c:pt>
                <c:pt idx="467">
                  <c:v>1310000</c:v>
                </c:pt>
                <c:pt idx="468">
                  <c:v>1315000</c:v>
                </c:pt>
                <c:pt idx="469">
                  <c:v>1320000</c:v>
                </c:pt>
                <c:pt idx="470">
                  <c:v>1325000</c:v>
                </c:pt>
                <c:pt idx="471">
                  <c:v>1330000</c:v>
                </c:pt>
                <c:pt idx="472">
                  <c:v>1335000</c:v>
                </c:pt>
                <c:pt idx="473">
                  <c:v>1340000</c:v>
                </c:pt>
                <c:pt idx="474">
                  <c:v>1345000</c:v>
                </c:pt>
                <c:pt idx="475">
                  <c:v>1350000</c:v>
                </c:pt>
                <c:pt idx="476">
                  <c:v>1355000</c:v>
                </c:pt>
                <c:pt idx="477">
                  <c:v>1360000</c:v>
                </c:pt>
                <c:pt idx="478">
                  <c:v>1365000</c:v>
                </c:pt>
                <c:pt idx="479">
                  <c:v>1370000</c:v>
                </c:pt>
                <c:pt idx="480">
                  <c:v>1375000</c:v>
                </c:pt>
                <c:pt idx="481">
                  <c:v>1380000</c:v>
                </c:pt>
                <c:pt idx="482">
                  <c:v>1385000</c:v>
                </c:pt>
                <c:pt idx="483">
                  <c:v>1390000</c:v>
                </c:pt>
                <c:pt idx="484">
                  <c:v>1395000</c:v>
                </c:pt>
                <c:pt idx="485">
                  <c:v>1400000</c:v>
                </c:pt>
                <c:pt idx="486">
                  <c:v>1405000</c:v>
                </c:pt>
                <c:pt idx="487">
                  <c:v>1410000</c:v>
                </c:pt>
                <c:pt idx="488">
                  <c:v>1415000</c:v>
                </c:pt>
                <c:pt idx="489">
                  <c:v>1420000</c:v>
                </c:pt>
                <c:pt idx="490">
                  <c:v>1425000</c:v>
                </c:pt>
                <c:pt idx="491">
                  <c:v>1430000</c:v>
                </c:pt>
                <c:pt idx="492">
                  <c:v>1435000</c:v>
                </c:pt>
                <c:pt idx="493">
                  <c:v>1440000</c:v>
                </c:pt>
                <c:pt idx="494">
                  <c:v>1445000</c:v>
                </c:pt>
                <c:pt idx="495">
                  <c:v>1450000</c:v>
                </c:pt>
                <c:pt idx="496">
                  <c:v>1455000</c:v>
                </c:pt>
                <c:pt idx="497">
                  <c:v>1460000</c:v>
                </c:pt>
                <c:pt idx="498">
                  <c:v>1465000</c:v>
                </c:pt>
                <c:pt idx="499">
                  <c:v>1470000</c:v>
                </c:pt>
                <c:pt idx="500">
                  <c:v>1475000</c:v>
                </c:pt>
                <c:pt idx="501">
                  <c:v>1480000</c:v>
                </c:pt>
                <c:pt idx="502">
                  <c:v>1485000</c:v>
                </c:pt>
                <c:pt idx="503">
                  <c:v>1490000</c:v>
                </c:pt>
                <c:pt idx="504">
                  <c:v>1495000</c:v>
                </c:pt>
                <c:pt idx="505">
                  <c:v>1500000</c:v>
                </c:pt>
                <c:pt idx="506">
                  <c:v>1505000</c:v>
                </c:pt>
                <c:pt idx="507">
                  <c:v>1510000</c:v>
                </c:pt>
                <c:pt idx="508">
                  <c:v>1515000</c:v>
                </c:pt>
                <c:pt idx="509">
                  <c:v>1520000</c:v>
                </c:pt>
                <c:pt idx="510">
                  <c:v>1525000</c:v>
                </c:pt>
                <c:pt idx="511">
                  <c:v>1530000</c:v>
                </c:pt>
                <c:pt idx="512">
                  <c:v>1535000</c:v>
                </c:pt>
                <c:pt idx="513">
                  <c:v>1540000</c:v>
                </c:pt>
                <c:pt idx="514">
                  <c:v>1545000</c:v>
                </c:pt>
                <c:pt idx="515">
                  <c:v>1550000</c:v>
                </c:pt>
                <c:pt idx="516">
                  <c:v>1555000</c:v>
                </c:pt>
                <c:pt idx="517">
                  <c:v>1560000</c:v>
                </c:pt>
                <c:pt idx="518">
                  <c:v>1565000</c:v>
                </c:pt>
                <c:pt idx="519">
                  <c:v>1570000</c:v>
                </c:pt>
                <c:pt idx="520">
                  <c:v>1575000</c:v>
                </c:pt>
                <c:pt idx="521">
                  <c:v>1580000</c:v>
                </c:pt>
                <c:pt idx="522">
                  <c:v>1585000</c:v>
                </c:pt>
                <c:pt idx="523">
                  <c:v>1590000</c:v>
                </c:pt>
                <c:pt idx="524">
                  <c:v>1595000</c:v>
                </c:pt>
                <c:pt idx="525">
                  <c:v>1600000</c:v>
                </c:pt>
                <c:pt idx="526">
                  <c:v>1605000</c:v>
                </c:pt>
                <c:pt idx="527">
                  <c:v>1610000</c:v>
                </c:pt>
                <c:pt idx="528">
                  <c:v>1615000</c:v>
                </c:pt>
                <c:pt idx="529">
                  <c:v>1620000</c:v>
                </c:pt>
                <c:pt idx="530">
                  <c:v>1625000</c:v>
                </c:pt>
                <c:pt idx="531">
                  <c:v>1630000</c:v>
                </c:pt>
                <c:pt idx="532">
                  <c:v>1635000</c:v>
                </c:pt>
                <c:pt idx="533">
                  <c:v>1640000</c:v>
                </c:pt>
                <c:pt idx="534">
                  <c:v>1645000</c:v>
                </c:pt>
                <c:pt idx="535">
                  <c:v>1650000</c:v>
                </c:pt>
                <c:pt idx="536">
                  <c:v>1655000</c:v>
                </c:pt>
                <c:pt idx="537">
                  <c:v>1660000</c:v>
                </c:pt>
                <c:pt idx="538">
                  <c:v>1665000</c:v>
                </c:pt>
                <c:pt idx="539">
                  <c:v>1670000</c:v>
                </c:pt>
                <c:pt idx="540">
                  <c:v>1675000</c:v>
                </c:pt>
                <c:pt idx="541">
                  <c:v>1680000</c:v>
                </c:pt>
                <c:pt idx="542">
                  <c:v>1685000</c:v>
                </c:pt>
                <c:pt idx="543">
                  <c:v>1690000</c:v>
                </c:pt>
                <c:pt idx="544">
                  <c:v>1695000</c:v>
                </c:pt>
                <c:pt idx="545">
                  <c:v>1700000</c:v>
                </c:pt>
                <c:pt idx="546">
                  <c:v>1705000</c:v>
                </c:pt>
                <c:pt idx="547">
                  <c:v>1710000</c:v>
                </c:pt>
                <c:pt idx="548">
                  <c:v>1715000</c:v>
                </c:pt>
                <c:pt idx="549">
                  <c:v>1720000</c:v>
                </c:pt>
                <c:pt idx="550">
                  <c:v>1725000</c:v>
                </c:pt>
                <c:pt idx="551">
                  <c:v>1730000</c:v>
                </c:pt>
                <c:pt idx="552">
                  <c:v>1735000</c:v>
                </c:pt>
                <c:pt idx="553">
                  <c:v>1740000</c:v>
                </c:pt>
                <c:pt idx="554">
                  <c:v>1745000</c:v>
                </c:pt>
                <c:pt idx="555">
                  <c:v>1750000</c:v>
                </c:pt>
                <c:pt idx="556">
                  <c:v>1755000</c:v>
                </c:pt>
                <c:pt idx="557">
                  <c:v>1760000</c:v>
                </c:pt>
                <c:pt idx="558">
                  <c:v>1765000</c:v>
                </c:pt>
                <c:pt idx="559">
                  <c:v>1770000</c:v>
                </c:pt>
                <c:pt idx="560">
                  <c:v>1775000</c:v>
                </c:pt>
                <c:pt idx="561">
                  <c:v>1780000</c:v>
                </c:pt>
                <c:pt idx="562">
                  <c:v>1785000</c:v>
                </c:pt>
                <c:pt idx="563">
                  <c:v>1790000</c:v>
                </c:pt>
                <c:pt idx="564">
                  <c:v>1795000</c:v>
                </c:pt>
                <c:pt idx="565">
                  <c:v>1800000</c:v>
                </c:pt>
                <c:pt idx="566">
                  <c:v>1805000</c:v>
                </c:pt>
                <c:pt idx="567">
                  <c:v>1810000</c:v>
                </c:pt>
                <c:pt idx="568">
                  <c:v>1815000</c:v>
                </c:pt>
                <c:pt idx="569">
                  <c:v>1820000</c:v>
                </c:pt>
                <c:pt idx="570">
                  <c:v>1825000</c:v>
                </c:pt>
                <c:pt idx="571">
                  <c:v>1830000</c:v>
                </c:pt>
                <c:pt idx="572">
                  <c:v>1835000</c:v>
                </c:pt>
                <c:pt idx="573">
                  <c:v>1840000</c:v>
                </c:pt>
                <c:pt idx="574">
                  <c:v>1845000</c:v>
                </c:pt>
                <c:pt idx="575">
                  <c:v>1850000</c:v>
                </c:pt>
                <c:pt idx="576">
                  <c:v>1855000</c:v>
                </c:pt>
                <c:pt idx="577">
                  <c:v>1860000</c:v>
                </c:pt>
                <c:pt idx="578">
                  <c:v>1865000</c:v>
                </c:pt>
                <c:pt idx="579">
                  <c:v>1870000</c:v>
                </c:pt>
                <c:pt idx="580">
                  <c:v>1875000</c:v>
                </c:pt>
                <c:pt idx="581">
                  <c:v>1880000</c:v>
                </c:pt>
                <c:pt idx="582">
                  <c:v>1885000</c:v>
                </c:pt>
                <c:pt idx="583">
                  <c:v>1890000</c:v>
                </c:pt>
                <c:pt idx="584">
                  <c:v>1895000</c:v>
                </c:pt>
                <c:pt idx="585">
                  <c:v>1900000</c:v>
                </c:pt>
                <c:pt idx="586">
                  <c:v>1905000</c:v>
                </c:pt>
                <c:pt idx="587">
                  <c:v>1910000</c:v>
                </c:pt>
                <c:pt idx="588">
                  <c:v>1915000</c:v>
                </c:pt>
                <c:pt idx="589">
                  <c:v>1920000</c:v>
                </c:pt>
                <c:pt idx="590">
                  <c:v>1925000</c:v>
                </c:pt>
                <c:pt idx="591">
                  <c:v>1930000</c:v>
                </c:pt>
                <c:pt idx="592">
                  <c:v>1935000</c:v>
                </c:pt>
                <c:pt idx="593">
                  <c:v>1940000</c:v>
                </c:pt>
                <c:pt idx="594">
                  <c:v>1945000</c:v>
                </c:pt>
                <c:pt idx="595">
                  <c:v>1950000</c:v>
                </c:pt>
                <c:pt idx="596">
                  <c:v>1955000</c:v>
                </c:pt>
                <c:pt idx="597">
                  <c:v>1960000</c:v>
                </c:pt>
                <c:pt idx="598">
                  <c:v>1965000</c:v>
                </c:pt>
                <c:pt idx="599">
                  <c:v>1970000</c:v>
                </c:pt>
                <c:pt idx="600">
                  <c:v>1975000</c:v>
                </c:pt>
                <c:pt idx="601">
                  <c:v>1980000</c:v>
                </c:pt>
                <c:pt idx="602">
                  <c:v>1985000</c:v>
                </c:pt>
                <c:pt idx="603">
                  <c:v>1990000</c:v>
                </c:pt>
                <c:pt idx="604">
                  <c:v>1995000</c:v>
                </c:pt>
                <c:pt idx="605">
                  <c:v>2000000</c:v>
                </c:pt>
                <c:pt idx="606">
                  <c:v>2250000</c:v>
                </c:pt>
                <c:pt idx="607">
                  <c:v>2500000</c:v>
                </c:pt>
                <c:pt idx="608">
                  <c:v>2750000</c:v>
                </c:pt>
                <c:pt idx="609">
                  <c:v>3000000</c:v>
                </c:pt>
                <c:pt idx="610">
                  <c:v>3250000</c:v>
                </c:pt>
                <c:pt idx="611">
                  <c:v>3500000</c:v>
                </c:pt>
                <c:pt idx="612">
                  <c:v>3750000</c:v>
                </c:pt>
                <c:pt idx="613">
                  <c:v>4000000</c:v>
                </c:pt>
                <c:pt idx="614">
                  <c:v>4250000</c:v>
                </c:pt>
                <c:pt idx="615">
                  <c:v>4500000</c:v>
                </c:pt>
                <c:pt idx="616">
                  <c:v>4750000</c:v>
                </c:pt>
                <c:pt idx="617">
                  <c:v>5000000</c:v>
                </c:pt>
                <c:pt idx="618">
                  <c:v>5100000</c:v>
                </c:pt>
                <c:pt idx="619">
                  <c:v>5200000</c:v>
                </c:pt>
                <c:pt idx="620">
                  <c:v>5300000</c:v>
                </c:pt>
                <c:pt idx="621">
                  <c:v>5400000</c:v>
                </c:pt>
                <c:pt idx="622">
                  <c:v>5500000</c:v>
                </c:pt>
                <c:pt idx="623">
                  <c:v>5600000</c:v>
                </c:pt>
                <c:pt idx="624">
                  <c:v>5700000</c:v>
                </c:pt>
                <c:pt idx="625">
                  <c:v>5800000</c:v>
                </c:pt>
                <c:pt idx="626">
                  <c:v>5900000</c:v>
                </c:pt>
                <c:pt idx="627">
                  <c:v>6000000</c:v>
                </c:pt>
                <c:pt idx="628">
                  <c:v>6100000</c:v>
                </c:pt>
                <c:pt idx="629">
                  <c:v>6200000</c:v>
                </c:pt>
                <c:pt idx="630">
                  <c:v>6300000</c:v>
                </c:pt>
                <c:pt idx="631">
                  <c:v>6400000</c:v>
                </c:pt>
                <c:pt idx="632">
                  <c:v>6500000</c:v>
                </c:pt>
                <c:pt idx="633">
                  <c:v>6600000</c:v>
                </c:pt>
                <c:pt idx="634">
                  <c:v>6700000</c:v>
                </c:pt>
                <c:pt idx="635">
                  <c:v>6800000</c:v>
                </c:pt>
                <c:pt idx="636">
                  <c:v>6900000</c:v>
                </c:pt>
                <c:pt idx="637">
                  <c:v>7000000</c:v>
                </c:pt>
                <c:pt idx="638">
                  <c:v>7100000</c:v>
                </c:pt>
                <c:pt idx="639">
                  <c:v>7200000</c:v>
                </c:pt>
                <c:pt idx="640">
                  <c:v>7300000</c:v>
                </c:pt>
                <c:pt idx="641">
                  <c:v>7400000</c:v>
                </c:pt>
                <c:pt idx="642">
                  <c:v>7500000</c:v>
                </c:pt>
                <c:pt idx="643">
                  <c:v>7600000</c:v>
                </c:pt>
                <c:pt idx="644">
                  <c:v>7700000</c:v>
                </c:pt>
                <c:pt idx="645">
                  <c:v>7800000</c:v>
                </c:pt>
                <c:pt idx="646">
                  <c:v>7900000</c:v>
                </c:pt>
                <c:pt idx="647">
                  <c:v>8000000</c:v>
                </c:pt>
                <c:pt idx="648">
                  <c:v>8100000</c:v>
                </c:pt>
                <c:pt idx="649">
                  <c:v>8200000</c:v>
                </c:pt>
                <c:pt idx="650">
                  <c:v>8300000</c:v>
                </c:pt>
                <c:pt idx="651">
                  <c:v>8400000</c:v>
                </c:pt>
                <c:pt idx="652">
                  <c:v>8500000</c:v>
                </c:pt>
                <c:pt idx="653">
                  <c:v>8600000</c:v>
                </c:pt>
                <c:pt idx="654">
                  <c:v>8700000</c:v>
                </c:pt>
                <c:pt idx="655">
                  <c:v>8800000</c:v>
                </c:pt>
                <c:pt idx="656">
                  <c:v>8900000</c:v>
                </c:pt>
                <c:pt idx="657">
                  <c:v>9000000</c:v>
                </c:pt>
                <c:pt idx="658">
                  <c:v>9100000</c:v>
                </c:pt>
                <c:pt idx="659">
                  <c:v>9200000</c:v>
                </c:pt>
                <c:pt idx="660">
                  <c:v>9300000</c:v>
                </c:pt>
                <c:pt idx="661">
                  <c:v>9400000</c:v>
                </c:pt>
                <c:pt idx="662">
                  <c:v>9500000</c:v>
                </c:pt>
                <c:pt idx="663">
                  <c:v>9600000</c:v>
                </c:pt>
                <c:pt idx="664">
                  <c:v>9700000</c:v>
                </c:pt>
                <c:pt idx="665">
                  <c:v>9800000</c:v>
                </c:pt>
                <c:pt idx="666">
                  <c:v>9900000</c:v>
                </c:pt>
                <c:pt idx="667">
                  <c:v>10000000</c:v>
                </c:pt>
              </c:numCache>
            </c:numRef>
          </c:xVal>
          <c:yVal>
            <c:numRef>
              <c:f>'Bode Plots Calculations'!$BM$9:$BM$676</c:f>
              <c:numCache>
                <c:formatCode>General</c:formatCode>
                <c:ptCount val="668"/>
                <c:pt idx="0">
                  <c:v>19.072505672305141</c:v>
                </c:pt>
                <c:pt idx="1">
                  <c:v>19.072505727913896</c:v>
                </c:pt>
                <c:pt idx="2">
                  <c:v>19.072505820595158</c:v>
                </c:pt>
                <c:pt idx="3">
                  <c:v>19.072505950348923</c:v>
                </c:pt>
                <c:pt idx="4">
                  <c:v>19.072506117175198</c:v>
                </c:pt>
                <c:pt idx="5">
                  <c:v>19.07250632107398</c:v>
                </c:pt>
                <c:pt idx="6">
                  <c:v>19.07250656204528</c:v>
                </c:pt>
                <c:pt idx="7">
                  <c:v>19.072506840089087</c:v>
                </c:pt>
                <c:pt idx="8">
                  <c:v>19.072507155205415</c:v>
                </c:pt>
                <c:pt idx="9">
                  <c:v>19.072507507394263</c:v>
                </c:pt>
                <c:pt idx="10">
                  <c:v>19.072513068272524</c:v>
                </c:pt>
                <c:pt idx="11">
                  <c:v>19.072522336410064</c:v>
                </c:pt>
                <c:pt idx="12">
                  <c:v>19.072535311817539</c:v>
                </c:pt>
                <c:pt idx="13">
                  <c:v>19.07255199450988</c:v>
                </c:pt>
                <c:pt idx="14">
                  <c:v>19.072572384506266</c:v>
                </c:pt>
                <c:pt idx="15">
                  <c:v>19.072596481830153</c:v>
                </c:pt>
                <c:pt idx="16">
                  <c:v>19.07262428650926</c:v>
                </c:pt>
                <c:pt idx="17">
                  <c:v>19.072655798575553</c:v>
                </c:pt>
                <c:pt idx="18">
                  <c:v>19.072691018065292</c:v>
                </c:pt>
                <c:pt idx="19">
                  <c:v>19.073247132274446</c:v>
                </c:pt>
                <c:pt idx="20">
                  <c:v>19.074174060363255</c:v>
                </c:pt>
                <c:pt idx="21">
                  <c:v>19.075471908966698</c:v>
                </c:pt>
                <c:pt idx="22">
                  <c:v>19.077140827423115</c:v>
                </c:pt>
                <c:pt idx="23">
                  <c:v>19.079181007823603</c:v>
                </c:pt>
                <c:pt idx="24">
                  <c:v>19.081592685075538</c:v>
                </c:pt>
                <c:pt idx="25">
                  <c:v>19.084376136980339</c:v>
                </c:pt>
                <c:pt idx="26">
                  <c:v>19.087531684325413</c:v>
                </c:pt>
                <c:pt idx="27">
                  <c:v>19.091059690990399</c:v>
                </c:pt>
                <c:pt idx="28">
                  <c:v>19.114302382761615</c:v>
                </c:pt>
                <c:pt idx="29">
                  <c:v>19.146936169574364</c:v>
                </c:pt>
                <c:pt idx="30">
                  <c:v>19.189056006348196</c:v>
                </c:pt>
                <c:pt idx="31">
                  <c:v>19.240785329457523</c:v>
                </c:pt>
                <c:pt idx="32">
                  <c:v>19.302277093980219</c:v>
                </c:pt>
                <c:pt idx="33">
                  <c:v>19.373715067715022</c:v>
                </c:pt>
                <c:pt idx="34">
                  <c:v>19.455315397640572</c:v>
                </c:pt>
                <c:pt idx="35">
                  <c:v>19.547328467090491</c:v>
                </c:pt>
                <c:pt idx="36">
                  <c:v>19.650041064164046</c:v>
                </c:pt>
                <c:pt idx="37">
                  <c:v>19.763778883489266</c:v>
                </c:pt>
                <c:pt idx="38">
                  <c:v>19.888909383941574</c:v>
                </c:pt>
                <c:pt idx="39">
                  <c:v>20.025845023568078</c:v>
                </c:pt>
                <c:pt idx="40">
                  <c:v>20.175046888649312</c:v>
                </c:pt>
                <c:pt idx="41">
                  <c:v>20.337028724807627</c:v>
                </c:pt>
                <c:pt idx="42">
                  <c:v>20.512361361669342</c:v>
                </c:pt>
                <c:pt idx="43">
                  <c:v>20.701677494689733</c:v>
                </c:pt>
                <c:pt idx="44">
                  <c:v>20.905676742013355</c:v>
                </c:pt>
                <c:pt idx="45">
                  <c:v>21.125130820865714</c:v>
                </c:pt>
                <c:pt idx="46">
                  <c:v>21.36088857176221</c:v>
                </c:pt>
                <c:pt idx="47">
                  <c:v>21.613880376126616</c:v>
                </c:pt>
                <c:pt idx="48">
                  <c:v>21.885121226780274</c:v>
                </c:pt>
                <c:pt idx="49">
                  <c:v>22.175711263241716</c:v>
                </c:pt>
                <c:pt idx="50">
                  <c:v>22.486831883744781</c:v>
                </c:pt>
                <c:pt idx="51">
                  <c:v>22.819734449966042</c:v>
                </c:pt>
                <c:pt idx="52">
                  <c:v>23.17571688362035</c:v>
                </c:pt>
                <c:pt idx="53">
                  <c:v>23.556080765974819</c:v>
                </c:pt>
                <c:pt idx="54">
                  <c:v>23.962057355977826</c:v>
                </c:pt>
                <c:pt idx="55">
                  <c:v>24.39468444856729</c:v>
                </c:pt>
                <c:pt idx="56">
                  <c:v>24.854606113546183</c:v>
                </c:pt>
                <c:pt idx="57">
                  <c:v>25.341752818979003</c:v>
                </c:pt>
                <c:pt idx="58">
                  <c:v>25.854839442171226</c:v>
                </c:pt>
                <c:pt idx="59">
                  <c:v>26.390594928082525</c:v>
                </c:pt>
                <c:pt idx="60">
                  <c:v>26.942619614906476</c:v>
                </c:pt>
                <c:pt idx="61">
                  <c:v>27.499784552873834</c:v>
                </c:pt>
                <c:pt idx="62">
                  <c:v>28.044213012765326</c:v>
                </c:pt>
                <c:pt idx="63">
                  <c:v>28.549247130963241</c:v>
                </c:pt>
                <c:pt idx="64">
                  <c:v>28.978529712826546</c:v>
                </c:pt>
                <c:pt idx="65">
                  <c:v>29.288247778242535</c:v>
                </c:pt>
                <c:pt idx="66">
                  <c:v>29.434643380169522</c:v>
                </c:pt>
                <c:pt idx="67">
                  <c:v>29.386310577581391</c:v>
                </c:pt>
                <c:pt idx="68">
                  <c:v>29.135766546173585</c:v>
                </c:pt>
                <c:pt idx="69">
                  <c:v>28.702522694627476</c:v>
                </c:pt>
                <c:pt idx="70">
                  <c:v>28.125294068854515</c:v>
                </c:pt>
                <c:pt idx="71">
                  <c:v>27.449110485633131</c:v>
                </c:pt>
                <c:pt idx="72">
                  <c:v>26.714866713636525</c:v>
                </c:pt>
                <c:pt idx="73">
                  <c:v>25.954417991579422</c:v>
                </c:pt>
                <c:pt idx="74">
                  <c:v>25.19009349147521</c:v>
                </c:pt>
                <c:pt idx="75">
                  <c:v>24.436329916473923</c:v>
                </c:pt>
                <c:pt idx="76">
                  <c:v>23.701785173700621</c:v>
                </c:pt>
                <c:pt idx="77">
                  <c:v>22.991184746757163</c:v>
                </c:pt>
                <c:pt idx="78">
                  <c:v>22.306704624877579</c:v>
                </c:pt>
                <c:pt idx="79">
                  <c:v>21.64892894247394</c:v>
                </c:pt>
                <c:pt idx="80">
                  <c:v>21.017484219962576</c:v>
                </c:pt>
                <c:pt idx="81">
                  <c:v>20.411447980481007</c:v>
                </c:pt>
                <c:pt idx="82">
                  <c:v>19.829606896698074</c:v>
                </c:pt>
                <c:pt idx="83">
                  <c:v>19.270617068497341</c:v>
                </c:pt>
                <c:pt idx="84">
                  <c:v>18.733101566761036</c:v>
                </c:pt>
                <c:pt idx="85">
                  <c:v>18.215708143108873</c:v>
                </c:pt>
                <c:pt idx="86">
                  <c:v>17.717141839494932</c:v>
                </c:pt>
                <c:pt idx="87">
                  <c:v>17.23618191492297</c:v>
                </c:pt>
                <c:pt idx="88">
                  <c:v>16.771689087643924</c:v>
                </c:pt>
                <c:pt idx="89">
                  <c:v>16.322606904800537</c:v>
                </c:pt>
                <c:pt idx="90">
                  <c:v>15.887959655704027</c:v>
                </c:pt>
                <c:pt idx="91">
                  <c:v>15.466848353698424</c:v>
                </c:pt>
                <c:pt idx="92">
                  <c:v>15.058445741995442</c:v>
                </c:pt>
                <c:pt idx="93">
                  <c:v>14.661990914612705</c:v>
                </c:pt>
                <c:pt idx="94">
                  <c:v>14.276783910682731</c:v>
                </c:pt>
                <c:pt idx="95">
                  <c:v>13.902180491845602</c:v>
                </c:pt>
                <c:pt idx="96">
                  <c:v>13.537587218128305</c:v>
                </c:pt>
                <c:pt idx="97">
                  <c:v>13.182456878371326</c:v>
                </c:pt>
                <c:pt idx="98">
                  <c:v>12.836284294478519</c:v>
                </c:pt>
                <c:pt idx="99">
                  <c:v>12.498602496520475</c:v>
                </c:pt>
                <c:pt idx="100">
                  <c:v>12.168979252815406</c:v>
                </c:pt>
                <c:pt idx="101">
                  <c:v>11.847013932166021</c:v>
                </c:pt>
                <c:pt idx="102">
                  <c:v>11.532334672247501</c:v>
                </c:pt>
                <c:pt idx="103">
                  <c:v>11.224595827289527</c:v>
                </c:pt>
                <c:pt idx="104">
                  <c:v>10.923475668746267</c:v>
                </c:pt>
                <c:pt idx="105">
                  <c:v>10.628674314001865</c:v>
                </c:pt>
                <c:pt idx="106">
                  <c:v>10.3399118599316</c:v>
                </c:pt>
                <c:pt idx="107">
                  <c:v>10.056926700087168</c:v>
                </c:pt>
                <c:pt idx="108">
                  <c:v>9.7794740062490746</c:v>
                </c:pt>
                <c:pt idx="109">
                  <c:v>9.5073243569997565</c:v>
                </c:pt>
                <c:pt idx="110">
                  <c:v>9.2402624977681196</c:v>
                </c:pt>
                <c:pt idx="111">
                  <c:v>8.9780862184539547</c:v>
                </c:pt>
                <c:pt idx="112">
                  <c:v>8.7206053362507348</c:v>
                </c:pt>
                <c:pt idx="113">
                  <c:v>8.4676407726473073</c:v>
                </c:pt>
                <c:pt idx="114">
                  <c:v>8.2190237148101648</c:v>
                </c:pt>
                <c:pt idx="115">
                  <c:v>7.9745948526369705</c:v>
                </c:pt>
                <c:pt idx="116">
                  <c:v>7.7342036837406454</c:v>
                </c:pt>
                <c:pt idx="117">
                  <c:v>7.4977078794820349</c:v>
                </c:pt>
                <c:pt idx="118">
                  <c:v>7.2649727059300604</c:v>
                </c:pt>
                <c:pt idx="119">
                  <c:v>7.0358704943011592</c:v>
                </c:pt>
                <c:pt idx="120">
                  <c:v>6.8102801560250406</c:v>
                </c:pt>
                <c:pt idx="121">
                  <c:v>6.5880867381099284</c:v>
                </c:pt>
                <c:pt idx="122">
                  <c:v>6.3691810149458199</c:v>
                </c:pt>
                <c:pt idx="123">
                  <c:v>6.1534591130958738</c:v>
                </c:pt>
                <c:pt idx="124">
                  <c:v>5.9408221659903973</c:v>
                </c:pt>
                <c:pt idx="125">
                  <c:v>5.7311759957605171</c:v>
                </c:pt>
                <c:pt idx="126">
                  <c:v>5.5244308197347163</c:v>
                </c:pt>
                <c:pt idx="127">
                  <c:v>5.320500979375109</c:v>
                </c:pt>
                <c:pt idx="128">
                  <c:v>5.1193046896557659</c:v>
                </c:pt>
                <c:pt idx="129">
                  <c:v>4.9207638070856703</c:v>
                </c:pt>
                <c:pt idx="130">
                  <c:v>4.7248036147572172</c:v>
                </c:pt>
                <c:pt idx="131">
                  <c:v>4.5313526229599921</c:v>
                </c:pt>
                <c:pt idx="132">
                  <c:v>4.3403423840412678</c:v>
                </c:pt>
                <c:pt idx="133">
                  <c:v>4.1517073203211226</c:v>
                </c:pt>
                <c:pt idx="134">
                  <c:v>3.9653845639832017</c:v>
                </c:pt>
                <c:pt idx="135">
                  <c:v>3.7813138079633557</c:v>
                </c:pt>
                <c:pt idx="136">
                  <c:v>3.599437166949111</c:v>
                </c:pt>
                <c:pt idx="137">
                  <c:v>3.4196990476842255</c:v>
                </c:pt>
                <c:pt idx="138">
                  <c:v>3.2420460278457712</c:v>
                </c:pt>
                <c:pt idx="139">
                  <c:v>3.0664267428267533</c:v>
                </c:pt>
                <c:pt idx="140">
                  <c:v>2.892791779816565</c:v>
                </c:pt>
                <c:pt idx="141">
                  <c:v>2.7210935786247608</c:v>
                </c:pt>
                <c:pt idx="142">
                  <c:v>2.5512863387418432</c:v>
                </c:pt>
                <c:pt idx="143">
                  <c:v>2.3833259321740861</c:v>
                </c:pt>
                <c:pt idx="144">
                  <c:v>2.2171698216287834</c:v>
                </c:pt>
                <c:pt idx="145">
                  <c:v>2.0527769836618357</c:v>
                </c:pt>
                <c:pt idx="146">
                  <c:v>1.8901078364318016</c:v>
                </c:pt>
                <c:pt idx="147">
                  <c:v>1.7291241717337784</c:v>
                </c:pt>
                <c:pt idx="148">
                  <c:v>1.5697890910130194</c:v>
                </c:pt>
                <c:pt idx="149">
                  <c:v>1.4120669450823231</c:v>
                </c:pt>
                <c:pt idx="150">
                  <c:v>1.2559232772891529</c:v>
                </c:pt>
                <c:pt idx="151">
                  <c:v>1.1013247698985098</c:v>
                </c:pt>
                <c:pt idx="152">
                  <c:v>0.94823919347569707</c:v>
                </c:pt>
                <c:pt idx="153">
                  <c:v>0.79663535906989691</c:v>
                </c:pt>
                <c:pt idx="154">
                  <c:v>0.64648307301450414</c:v>
                </c:pt>
                <c:pt idx="155">
                  <c:v>0.49775309417424923</c:v>
                </c:pt>
                <c:pt idx="156">
                  <c:v>0.35041709348165329</c:v>
                </c:pt>
                <c:pt idx="157">
                  <c:v>0.20444761561715821</c:v>
                </c:pt>
                <c:pt idx="158">
                  <c:v>5.9818042697915144E-2</c:v>
                </c:pt>
                <c:pt idx="159">
                  <c:v>-8.3497440150066077E-2</c:v>
                </c:pt>
                <c:pt idx="160">
                  <c:v>-0.22552387745262112</c:v>
                </c:pt>
                <c:pt idx="161">
                  <c:v>-0.36628557438894599</c:v>
                </c:pt>
                <c:pt idx="162">
                  <c:v>-0.50580612623432508</c:v>
                </c:pt>
                <c:pt idx="163">
                  <c:v>-0.64410844633742492</c:v>
                </c:pt>
                <c:pt idx="164">
                  <c:v>-0.78121479271906158</c:v>
                </c:pt>
                <c:pt idx="165">
                  <c:v>-0.91714679337343219</c:v>
                </c:pt>
                <c:pt idx="166">
                  <c:v>-1.0519254703472549</c:v>
                </c:pt>
                <c:pt idx="167">
                  <c:v>-1.1855712626672597</c:v>
                </c:pt>
                <c:pt idx="168">
                  <c:v>-1.3181040481817159</c:v>
                </c:pt>
                <c:pt idx="169">
                  <c:v>-1.449543164377439</c:v>
                </c:pt>
                <c:pt idx="170">
                  <c:v>-1.5799074282295718</c:v>
                </c:pt>
                <c:pt idx="171">
                  <c:v>-1.7092151551378978</c:v>
                </c:pt>
                <c:pt idx="172">
                  <c:v>-1.8374841769998236</c:v>
                </c:pt>
                <c:pt idx="173">
                  <c:v>-1.9647318594671259</c:v>
                </c:pt>
                <c:pt idx="174">
                  <c:v>-2.0909751184304608</c:v>
                </c:pt>
                <c:pt idx="175">
                  <c:v>-2.21623043577301</c:v>
                </c:pt>
                <c:pt idx="176">
                  <c:v>-2.3405138744319514</c:v>
                </c:pt>
                <c:pt idx="177">
                  <c:v>-2.4638410928041972</c:v>
                </c:pt>
                <c:pt idx="178">
                  <c:v>-2.5862273585304845</c:v>
                </c:pt>
                <c:pt idx="179">
                  <c:v>-2.7076875616899692</c:v>
                </c:pt>
                <c:pt idx="180">
                  <c:v>-2.8282362274354971</c:v>
                </c:pt>
                <c:pt idx="181">
                  <c:v>-2.9478875280978905</c:v>
                </c:pt>
                <c:pt idx="182">
                  <c:v>-3.0666552947860537</c:v>
                </c:pt>
                <c:pt idx="183">
                  <c:v>-3.1845530285079522</c:v>
                </c:pt>
                <c:pt idx="184">
                  <c:v>-3.3015939108362651</c:v>
                </c:pt>
                <c:pt idx="185">
                  <c:v>-3.4177908141409779</c:v>
                </c:pt>
                <c:pt idx="186">
                  <c:v>-3.5331563114100422</c:v>
                </c:pt>
                <c:pt idx="187">
                  <c:v>-3.6477026856779404</c:v>
                </c:pt>
                <c:pt idx="188">
                  <c:v>-3.7614419390809513</c:v>
                </c:pt>
                <c:pt idx="189">
                  <c:v>-3.8743858015568247</c:v>
                </c:pt>
                <c:pt idx="190">
                  <c:v>-3.9865457392056287</c:v>
                </c:pt>
                <c:pt idx="191">
                  <c:v>-4.0979329623275706</c:v>
                </c:pt>
                <c:pt idx="192">
                  <c:v>-4.2085584331528123</c:v>
                </c:pt>
                <c:pt idx="193">
                  <c:v>-4.3184328732773913</c:v>
                </c:pt>
                <c:pt idx="194">
                  <c:v>-4.427566770818693</c:v>
                </c:pt>
                <c:pt idx="195">
                  <c:v>-4.535970387303168</c:v>
                </c:pt>
                <c:pt idx="196">
                  <c:v>-4.6436537642983158</c:v>
                </c:pt>
                <c:pt idx="197">
                  <c:v>-4.7506267298003149</c:v>
                </c:pt>
                <c:pt idx="198">
                  <c:v>-4.8568989043881832</c:v>
                </c:pt>
                <c:pt idx="199">
                  <c:v>-4.9624797071546327</c:v>
                </c:pt>
                <c:pt idx="200">
                  <c:v>-5.0673783614233869</c:v>
                </c:pt>
                <c:pt idx="201">
                  <c:v>-5.1716039002622471</c:v>
                </c:pt>
                <c:pt idx="202">
                  <c:v>-5.2751651718005688</c:v>
                </c:pt>
                <c:pt idx="203">
                  <c:v>-5.3780708443596108</c:v>
                </c:pt>
                <c:pt idx="204">
                  <c:v>-5.4803294114035692</c:v>
                </c:pt>
                <c:pt idx="205">
                  <c:v>-5.5819491963188907</c:v>
                </c:pt>
                <c:pt idx="206">
                  <c:v>-5.6829383570290082</c:v>
                </c:pt>
                <c:pt idx="207">
                  <c:v>-5.7833048904513138</c:v>
                </c:pt>
                <c:pt idx="208">
                  <c:v>-5.8830566368028494</c:v>
                </c:pt>
                <c:pt idx="209">
                  <c:v>-5.9822012837608955</c:v>
                </c:pt>
                <c:pt idx="210">
                  <c:v>-6.0807463704843601</c:v>
                </c:pt>
                <c:pt idx="211">
                  <c:v>-6.1786992915015322</c:v>
                </c:pt>
                <c:pt idx="212">
                  <c:v>-6.2760673004695686</c:v>
                </c:pt>
                <c:pt idx="213">
                  <c:v>-6.372857513810791</c:v>
                </c:pt>
                <c:pt idx="214">
                  <c:v>-6.4690769142306852</c:v>
                </c:pt>
                <c:pt idx="215">
                  <c:v>-6.5647323541221727</c:v>
                </c:pt>
                <c:pt idx="216">
                  <c:v>-6.659830558860655</c:v>
                </c:pt>
                <c:pt idx="217">
                  <c:v>-6.7543781299939827</c:v>
                </c:pt>
                <c:pt idx="218">
                  <c:v>-6.8483815483314094</c:v>
                </c:pt>
                <c:pt idx="219">
                  <c:v>-6.9418471769354166</c:v>
                </c:pt>
                <c:pt idx="220">
                  <c:v>-7.0347812640199967</c:v>
                </c:pt>
                <c:pt idx="221">
                  <c:v>-7.1271899457590404</c:v>
                </c:pt>
                <c:pt idx="222">
                  <c:v>-7.2190792490080566</c:v>
                </c:pt>
                <c:pt idx="223">
                  <c:v>-7.3104550939425543</c:v>
                </c:pt>
                <c:pt idx="224">
                  <c:v>-7.401323296616086</c:v>
                </c:pt>
                <c:pt idx="225">
                  <c:v>-7.4916895714409382</c:v>
                </c:pt>
                <c:pt idx="226">
                  <c:v>-8.3689353951107464</c:v>
                </c:pt>
                <c:pt idx="227">
                  <c:v>-9.201603802758493</c:v>
                </c:pt>
                <c:pt idx="228">
                  <c:v>-9.9940507628010504</c:v>
                </c:pt>
                <c:pt idx="229">
                  <c:v>-10.750006470039619</c:v>
                </c:pt>
                <c:pt idx="230">
                  <c:v>-11.472691663147987</c:v>
                </c:pt>
                <c:pt idx="231">
                  <c:v>-12.164907814064254</c:v>
                </c:pt>
                <c:pt idx="232">
                  <c:v>-12.829107985025942</c:v>
                </c:pt>
                <c:pt idx="233">
                  <c:v>-13.467453161221206</c:v>
                </c:pt>
                <c:pt idx="234">
                  <c:v>-14.081857519605359</c:v>
                </c:pt>
                <c:pt idx="235">
                  <c:v>-14.674025163672743</c:v>
                </c:pt>
                <c:pt idx="236">
                  <c:v>-15.245480199919912</c:v>
                </c:pt>
                <c:pt idx="237">
                  <c:v>-15.797591564885799</c:v>
                </c:pt>
                <c:pt idx="238">
                  <c:v>-16.331593673623011</c:v>
                </c:pt>
                <c:pt idx="239">
                  <c:v>-16.848603712456907</c:v>
                </c:pt>
                <c:pt idx="240">
                  <c:v>-17.349636214726512</c:v>
                </c:pt>
                <c:pt idx="241">
                  <c:v>-17.835615419901075</c:v>
                </c:pt>
                <c:pt idx="242">
                  <c:v>-18.307385811521691</c:v>
                </c:pt>
                <c:pt idx="243">
                  <c:v>-18.765721149011455</c:v>
                </c:pt>
                <c:pt idx="244">
                  <c:v>-19.211332246234264</c:v>
                </c:pt>
                <c:pt idx="245">
                  <c:v>-19.644873701217801</c:v>
                </c:pt>
                <c:pt idx="246">
                  <c:v>-20.066949743371861</c:v>
                </c:pt>
                <c:pt idx="247">
                  <c:v>-20.478119334384882</c:v>
                </c:pt>
                <c:pt idx="248">
                  <c:v>-20.878900634948248</c:v>
                </c:pt>
                <c:pt idx="249">
                  <c:v>-21.269774930174641</c:v>
                </c:pt>
                <c:pt idx="250">
                  <c:v>-21.651190091008171</c:v>
                </c:pt>
                <c:pt idx="251">
                  <c:v>-22.023563636281345</c:v>
                </c:pt>
                <c:pt idx="252">
                  <c:v>-22.387285449750991</c:v>
                </c:pt>
                <c:pt idx="253">
                  <c:v>-22.742720197971206</c:v>
                </c:pt>
                <c:pt idx="254">
                  <c:v>-23.0902094878717</c:v>
                </c:pt>
                <c:pt idx="255">
                  <c:v>-23.430073797116403</c:v>
                </c:pt>
                <c:pt idx="256">
                  <c:v>-23.762614205494113</c:v>
                </c:pt>
                <c:pt idx="257">
                  <c:v>-24.088113951560317</c:v>
                </c:pt>
                <c:pt idx="258">
                  <c:v>-24.406839835364064</c:v>
                </c:pt>
                <c:pt idx="259">
                  <c:v>-24.719043485240491</c:v>
                </c:pt>
                <c:pt idx="260">
                  <c:v>-25.02496250423615</c:v>
                </c:pt>
                <c:pt idx="261">
                  <c:v>-25.324821509685513</c:v>
                </c:pt>
                <c:pt idx="262">
                  <c:v>-25.618833077711574</c:v>
                </c:pt>
                <c:pt idx="263">
                  <c:v>-25.907198602932027</c:v>
                </c:pt>
                <c:pt idx="264">
                  <c:v>-26.19010908237383</c:v>
                </c:pt>
                <c:pt idx="265">
                  <c:v>-26.467745831499339</c:v>
                </c:pt>
                <c:pt idx="266">
                  <c:v>-26.740281139299221</c:v>
                </c:pt>
                <c:pt idx="267">
                  <c:v>-27.007878868587266</c:v>
                </c:pt>
                <c:pt idx="268">
                  <c:v>-27.270695006921244</c:v>
                </c:pt>
                <c:pt idx="269">
                  <c:v>-27.528878172956187</c:v>
                </c:pt>
                <c:pt idx="270">
                  <c:v>-27.782570082497386</c:v>
                </c:pt>
                <c:pt idx="271">
                  <c:v>-28.031905978050432</c:v>
                </c:pt>
                <c:pt idx="272">
                  <c:v>-28.277015025253206</c:v>
                </c:pt>
                <c:pt idx="273">
                  <c:v>-28.518020679213492</c:v>
                </c:pt>
                <c:pt idx="274">
                  <c:v>-28.755041023457743</c:v>
                </c:pt>
                <c:pt idx="275">
                  <c:v>-28.98818908391647</c:v>
                </c:pt>
                <c:pt idx="276">
                  <c:v>-29.217573120124293</c:v>
                </c:pt>
                <c:pt idx="277">
                  <c:v>-29.443296895593573</c:v>
                </c:pt>
                <c:pt idx="278">
                  <c:v>-29.665459929126783</c:v>
                </c:pt>
                <c:pt idx="279">
                  <c:v>-29.884157728660128</c:v>
                </c:pt>
                <c:pt idx="280">
                  <c:v>-30.099482009077811</c:v>
                </c:pt>
                <c:pt idx="281">
                  <c:v>-30.311520895299488</c:v>
                </c:pt>
                <c:pt idx="282">
                  <c:v>-30.520359111821648</c:v>
                </c:pt>
                <c:pt idx="283">
                  <c:v>-30.726078159784414</c:v>
                </c:pt>
                <c:pt idx="284">
                  <c:v>-30.928756482537661</c:v>
                </c:pt>
                <c:pt idx="285">
                  <c:v>-31.128469620592696</c:v>
                </c:pt>
                <c:pt idx="286">
                  <c:v>-31.325290356766985</c:v>
                </c:pt>
                <c:pt idx="287">
                  <c:v>-31.51928885225869</c:v>
                </c:pt>
                <c:pt idx="288">
                  <c:v>-31.710532774323919</c:v>
                </c:pt>
                <c:pt idx="289">
                  <c:v>-31.899087416172058</c:v>
                </c:pt>
                <c:pt idx="290">
                  <c:v>-32.085015809642613</c:v>
                </c:pt>
                <c:pt idx="291">
                  <c:v>-32.268378831179902</c:v>
                </c:pt>
                <c:pt idx="292">
                  <c:v>-32.449235301579378</c:v>
                </c:pt>
                <c:pt idx="293">
                  <c:v>-32.627642079940927</c:v>
                </c:pt>
                <c:pt idx="294">
                  <c:v>-32.803654152228987</c:v>
                </c:pt>
                <c:pt idx="295">
                  <c:v>-32.977324714808077</c:v>
                </c:pt>
                <c:pt idx="296">
                  <c:v>-33.148705253292796</c:v>
                </c:pt>
                <c:pt idx="297">
                  <c:v>-33.317845617025249</c:v>
                </c:pt>
                <c:pt idx="298">
                  <c:v>-33.484794089468714</c:v>
                </c:pt>
                <c:pt idx="299">
                  <c:v>-33.649597454784299</c:v>
                </c:pt>
                <c:pt idx="300">
                  <c:v>-33.812301060837278</c:v>
                </c:pt>
                <c:pt idx="301">
                  <c:v>-33.972948878861494</c:v>
                </c:pt>
                <c:pt idx="302">
                  <c:v>-34.13158355999326</c:v>
                </c:pt>
                <c:pt idx="303">
                  <c:v>-34.288246488870733</c:v>
                </c:pt>
                <c:pt idx="304">
                  <c:v>-34.442977834480899</c:v>
                </c:pt>
                <c:pt idx="305">
                  <c:v>-34.595816598422687</c:v>
                </c:pt>
                <c:pt idx="306">
                  <c:v>-34.746800660743496</c:v>
                </c:pt>
                <c:pt idx="307">
                  <c:v>-34.895966823494831</c:v>
                </c:pt>
                <c:pt idx="308">
                  <c:v>-35.043350852143035</c:v>
                </c:pt>
                <c:pt idx="309">
                  <c:v>-35.18898751496144</c:v>
                </c:pt>
                <c:pt idx="310">
                  <c:v>-35.332910620521915</c:v>
                </c:pt>
                <c:pt idx="311">
                  <c:v>-35.475153053395744</c:v>
                </c:pt>
                <c:pt idx="312">
                  <c:v>-35.615746808166385</c:v>
                </c:pt>
                <c:pt idx="313">
                  <c:v>-35.75472302184987</c:v>
                </c:pt>
                <c:pt idx="314">
                  <c:v>-35.892112004812518</c:v>
                </c:pt>
                <c:pt idx="315">
                  <c:v>-36.027943270269517</c:v>
                </c:pt>
                <c:pt idx="316">
                  <c:v>-36.162245562442827</c:v>
                </c:pt>
                <c:pt idx="317">
                  <c:v>-36.295046883451583</c:v>
                </c:pt>
                <c:pt idx="318">
                  <c:v>-36.426374519003872</c:v>
                </c:pt>
                <c:pt idx="319">
                  <c:v>-36.556255062954158</c:v>
                </c:pt>
                <c:pt idx="320">
                  <c:v>-36.684714440786728</c:v>
                </c:pt>
                <c:pt idx="321">
                  <c:v>-36.811777932081924</c:v>
                </c:pt>
                <c:pt idx="322">
                  <c:v>-36.937470192018296</c:v>
                </c:pt>
                <c:pt idx="323">
                  <c:v>-37.061815271960647</c:v>
                </c:pt>
                <c:pt idx="324">
                  <c:v>-37.1848366391811</c:v>
                </c:pt>
                <c:pt idx="325">
                  <c:v>-37.306557195757115</c:v>
                </c:pt>
                <c:pt idx="326">
                  <c:v>-37.426999296688315</c:v>
                </c:pt>
                <c:pt idx="327">
                  <c:v>-37.546184767271093</c:v>
                </c:pt>
                <c:pt idx="328">
                  <c:v>-37.664134919767875</c:v>
                </c:pt>
                <c:pt idx="329">
                  <c:v>-37.78087056940587</c:v>
                </c:pt>
                <c:pt idx="330">
                  <c:v>-37.896412049738011</c:v>
                </c:pt>
                <c:pt idx="331">
                  <c:v>-38.01077922739691</c:v>
                </c:pt>
                <c:pt idx="332">
                  <c:v>-38.123991516271161</c:v>
                </c:pt>
                <c:pt idx="333">
                  <c:v>-38.236067891131349</c:v>
                </c:pt>
                <c:pt idx="334">
                  <c:v>-38.347026900731834</c:v>
                </c:pt>
                <c:pt idx="335">
                  <c:v>-38.456886680412985</c:v>
                </c:pt>
                <c:pt idx="336">
                  <c:v>-38.565664964226826</c:v>
                </c:pt>
                <c:pt idx="337">
                  <c:v>-38.673379096608429</c:v>
                </c:pt>
                <c:pt idx="338">
                  <c:v>-38.780046043613503</c:v>
                </c:pt>
                <c:pt idx="339">
                  <c:v>-38.885682403742102</c:v>
                </c:pt>
                <c:pt idx="340">
                  <c:v>-38.990304418366968</c:v>
                </c:pt>
                <c:pt idx="341">
                  <c:v>-39.093927981784212</c:v>
                </c:pt>
                <c:pt idx="342">
                  <c:v>-39.196568650903053</c:v>
                </c:pt>
                <c:pt idx="343">
                  <c:v>-39.298241654590505</c:v>
                </c:pt>
                <c:pt idx="344">
                  <c:v>-39.39896190268604</c:v>
                </c:pt>
                <c:pt idx="345">
                  <c:v>-39.498743994700519</c:v>
                </c:pt>
                <c:pt idx="346">
                  <c:v>-39.597602228212978</c:v>
                </c:pt>
                <c:pt idx="347">
                  <c:v>-39.695550606978109</c:v>
                </c:pt>
                <c:pt idx="348">
                  <c:v>-39.792602848756644</c:v>
                </c:pt>
                <c:pt idx="349">
                  <c:v>-39.888772392880398</c:v>
                </c:pt>
                <c:pt idx="350">
                  <c:v>-39.984072407562834</c:v>
                </c:pt>
                <c:pt idx="351">
                  <c:v>-40.07851579696581</c:v>
                </c:pt>
                <c:pt idx="352">
                  <c:v>-40.172115208032473</c:v>
                </c:pt>
                <c:pt idx="353">
                  <c:v>-40.264883037095728</c:v>
                </c:pt>
                <c:pt idx="354">
                  <c:v>-40.35683143627147</c:v>
                </c:pt>
                <c:pt idx="355">
                  <c:v>-40.447972319645224</c:v>
                </c:pt>
                <c:pt idx="356">
                  <c:v>-40.538317369260149</c:v>
                </c:pt>
                <c:pt idx="357">
                  <c:v>-40.627878040914631</c:v>
                </c:pt>
                <c:pt idx="358">
                  <c:v>-40.716665569776666</c:v>
                </c:pt>
                <c:pt idx="359">
                  <c:v>-40.804690975822197</c:v>
                </c:pt>
                <c:pt idx="360">
                  <c:v>-40.891965069104295</c:v>
                </c:pt>
                <c:pt idx="361">
                  <c:v>-40.978498454859597</c:v>
                </c:pt>
                <c:pt idx="362">
                  <c:v>-41.064301538458146</c:v>
                </c:pt>
                <c:pt idx="363">
                  <c:v>-41.14938453020271</c:v>
                </c:pt>
                <c:pt idx="364">
                  <c:v>-41.233757449983003</c:v>
                </c:pt>
                <c:pt idx="365">
                  <c:v>-41.317430131790438</c:v>
                </c:pt>
                <c:pt idx="366">
                  <c:v>-41.400412228098311</c:v>
                </c:pt>
                <c:pt idx="367">
                  <c:v>-41.482713214112643</c:v>
                </c:pt>
                <c:pt idx="368">
                  <c:v>-41.564342391898123</c:v>
                </c:pt>
                <c:pt idx="369">
                  <c:v>-41.645308894383817</c:v>
                </c:pt>
                <c:pt idx="370">
                  <c:v>-41.725621689252954</c:v>
                </c:pt>
                <c:pt idx="371">
                  <c:v>-41.80528958272081</c:v>
                </c:pt>
                <c:pt idx="372">
                  <c:v>-41.884321223204836</c:v>
                </c:pt>
                <c:pt idx="373">
                  <c:v>-41.962725104890588</c:v>
                </c:pt>
                <c:pt idx="374">
                  <c:v>-42.04050957119734</c:v>
                </c:pt>
                <c:pt idx="375">
                  <c:v>-42.117682818146633</c:v>
                </c:pt>
                <c:pt idx="376">
                  <c:v>-42.194252897637256</c:v>
                </c:pt>
                <c:pt idx="377">
                  <c:v>-42.270227720629705</c:v>
                </c:pt>
                <c:pt idx="378">
                  <c:v>-42.345615060243489</c:v>
                </c:pt>
                <c:pt idx="379">
                  <c:v>-42.420422554769729</c:v>
                </c:pt>
                <c:pt idx="380">
                  <c:v>-42.494657710602397</c:v>
                </c:pt>
                <c:pt idx="381">
                  <c:v>-42.568327905090584</c:v>
                </c:pt>
                <c:pt idx="382">
                  <c:v>-42.641440389314489</c:v>
                </c:pt>
                <c:pt idx="383">
                  <c:v>-42.714002290787647</c:v>
                </c:pt>
                <c:pt idx="384">
                  <c:v>-42.786020616087768</c:v>
                </c:pt>
                <c:pt idx="385">
                  <c:v>-42.857502253418538</c:v>
                </c:pt>
                <c:pt idx="386">
                  <c:v>-42.928453975104574</c:v>
                </c:pt>
                <c:pt idx="387">
                  <c:v>-42.998882440021603</c:v>
                </c:pt>
                <c:pt idx="388">
                  <c:v>-43.068794195964095</c:v>
                </c:pt>
                <c:pt idx="389">
                  <c:v>-43.138195681952141</c:v>
                </c:pt>
                <c:pt idx="390">
                  <c:v>-43.207093230479536</c:v>
                </c:pt>
                <c:pt idx="391">
                  <c:v>-43.275493069704957</c:v>
                </c:pt>
                <c:pt idx="392">
                  <c:v>-43.343401325587905</c:v>
                </c:pt>
                <c:pt idx="393">
                  <c:v>-43.410824023971159</c:v>
                </c:pt>
                <c:pt idx="394">
                  <c:v>-43.477767092611359</c:v>
                </c:pt>
                <c:pt idx="395">
                  <c:v>-43.544236363159328</c:v>
                </c:pt>
                <c:pt idx="396">
                  <c:v>-43.610237573091553</c:v>
                </c:pt>
                <c:pt idx="397">
                  <c:v>-43.675776367594366</c:v>
                </c:pt>
                <c:pt idx="398">
                  <c:v>-43.740858301402298</c:v>
                </c:pt>
                <c:pt idx="399">
                  <c:v>-43.805488840591664</c:v>
                </c:pt>
                <c:pt idx="400">
                  <c:v>-43.86967336433122</c:v>
                </c:pt>
                <c:pt idx="401">
                  <c:v>-43.93341716659053</c:v>
                </c:pt>
                <c:pt idx="402">
                  <c:v>-43.996725457807784</c:v>
                </c:pt>
                <c:pt idx="403">
                  <c:v>-44.059603366517912</c:v>
                </c:pt>
                <c:pt idx="404">
                  <c:v>-44.122055940942317</c:v>
                </c:pt>
                <c:pt idx="405">
                  <c:v>-44.184088150541228</c:v>
                </c:pt>
                <c:pt idx="406">
                  <c:v>-44.245704887529783</c:v>
                </c:pt>
                <c:pt idx="407">
                  <c:v>-44.306910968358785</c:v>
                </c:pt>
                <c:pt idx="408">
                  <c:v>-44.367711135161272</c:v>
                </c:pt>
                <c:pt idx="409">
                  <c:v>-44.428110057165668</c:v>
                </c:pt>
                <c:pt idx="410">
                  <c:v>-44.488112332076604</c:v>
                </c:pt>
                <c:pt idx="411">
                  <c:v>-44.547722487424217</c:v>
                </c:pt>
                <c:pt idx="412">
                  <c:v>-44.606944981882755</c:v>
                </c:pt>
                <c:pt idx="413">
                  <c:v>-44.665784206559458</c:v>
                </c:pt>
                <c:pt idx="414">
                  <c:v>-44.724244486254378</c:v>
                </c:pt>
                <c:pt idx="415">
                  <c:v>-44.782330080691963</c:v>
                </c:pt>
                <c:pt idx="416">
                  <c:v>-44.840045185725316</c:v>
                </c:pt>
                <c:pt idx="417">
                  <c:v>-44.897393934513509</c:v>
                </c:pt>
                <c:pt idx="418">
                  <c:v>-44.954380398673081</c:v>
                </c:pt>
                <c:pt idx="419">
                  <c:v>-45.011008589404049</c:v>
                </c:pt>
                <c:pt idx="420">
                  <c:v>-45.067282458591407</c:v>
                </c:pt>
                <c:pt idx="421">
                  <c:v>-45.123205899882436</c:v>
                </c:pt>
                <c:pt idx="422">
                  <c:v>-45.178782749740733</c:v>
                </c:pt>
                <c:pt idx="423">
                  <c:v>-45.234016788477412</c:v>
                </c:pt>
                <c:pt idx="424">
                  <c:v>-45.288911741260065</c:v>
                </c:pt>
                <c:pt idx="425">
                  <c:v>-45.343471279100172</c:v>
                </c:pt>
                <c:pt idx="426">
                  <c:v>-45.397699019819299</c:v>
                </c:pt>
                <c:pt idx="427">
                  <c:v>-45.451598528994865</c:v>
                </c:pt>
                <c:pt idx="428">
                  <c:v>-45.505173320885788</c:v>
                </c:pt>
                <c:pt idx="429">
                  <c:v>-45.558426859338645</c:v>
                </c:pt>
                <c:pt idx="430">
                  <c:v>-45.611362558674777</c:v>
                </c:pt>
                <c:pt idx="431">
                  <c:v>-45.663983784558802</c:v>
                </c:pt>
                <c:pt idx="432">
                  <c:v>-45.716293854849084</c:v>
                </c:pt>
                <c:pt idx="433">
                  <c:v>-45.768296040430428</c:v>
                </c:pt>
                <c:pt idx="434">
                  <c:v>-45.819993566029673</c:v>
                </c:pt>
                <c:pt idx="435">
                  <c:v>-45.871389611014344</c:v>
                </c:pt>
                <c:pt idx="436">
                  <c:v>-45.922487310175015</c:v>
                </c:pt>
                <c:pt idx="437">
                  <c:v>-45.973289754491582</c:v>
                </c:pt>
                <c:pt idx="438">
                  <c:v>-46.023799991884005</c:v>
                </c:pt>
                <c:pt idx="439">
                  <c:v>-46.074021027947687</c:v>
                </c:pt>
                <c:pt idx="440">
                  <c:v>-46.12395582667407</c:v>
                </c:pt>
                <c:pt idx="441">
                  <c:v>-46.173607311156665</c:v>
                </c:pt>
                <c:pt idx="442">
                  <c:v>-46.222978364282895</c:v>
                </c:pt>
                <c:pt idx="443">
                  <c:v>-46.272071829412099</c:v>
                </c:pt>
                <c:pt idx="444">
                  <c:v>-46.32089051104002</c:v>
                </c:pt>
                <c:pt idx="445">
                  <c:v>-46.369437175450017</c:v>
                </c:pt>
                <c:pt idx="446">
                  <c:v>-46.417714551351501</c:v>
                </c:pt>
                <c:pt idx="447">
                  <c:v>-46.465725330505663</c:v>
                </c:pt>
                <c:pt idx="448">
                  <c:v>-46.513472168338907</c:v>
                </c:pt>
                <c:pt idx="449">
                  <c:v>-46.560957684544292</c:v>
                </c:pt>
                <c:pt idx="450">
                  <c:v>-46.608184463671208</c:v>
                </c:pt>
                <c:pt idx="451">
                  <c:v>-46.655155055703538</c:v>
                </c:pt>
                <c:pt idx="452">
                  <c:v>-46.70187197662662</c:v>
                </c:pt>
                <c:pt idx="453">
                  <c:v>-46.748337708983257</c:v>
                </c:pt>
                <c:pt idx="454">
                  <c:v>-46.794554702418971</c:v>
                </c:pt>
                <c:pt idx="455">
                  <c:v>-46.840525374216753</c:v>
                </c:pt>
                <c:pt idx="456">
                  <c:v>-46.886252109821676</c:v>
                </c:pt>
                <c:pt idx="457">
                  <c:v>-46.931737263355338</c:v>
                </c:pt>
                <c:pt idx="458">
                  <c:v>-46.976983158120618</c:v>
                </c:pt>
                <c:pt idx="459">
                  <c:v>-47.021992087096798</c:v>
                </c:pt>
                <c:pt idx="460">
                  <c:v>-47.066766313425383</c:v>
                </c:pt>
                <c:pt idx="461">
                  <c:v>-47.111308070886622</c:v>
                </c:pt>
                <c:pt idx="462">
                  <c:v>-47.155619564367264</c:v>
                </c:pt>
                <c:pt idx="463">
                  <c:v>-47.199702970319336</c:v>
                </c:pt>
                <c:pt idx="464">
                  <c:v>-47.24356043721049</c:v>
                </c:pt>
                <c:pt idx="465">
                  <c:v>-47.287194085965957</c:v>
                </c:pt>
                <c:pt idx="466">
                  <c:v>-47.33060601040215</c:v>
                </c:pt>
                <c:pt idx="467">
                  <c:v>-47.373798277652426</c:v>
                </c:pt>
                <c:pt idx="468">
                  <c:v>-47.416772928584848</c:v>
                </c:pt>
                <c:pt idx="469">
                  <c:v>-47.459531978212311</c:v>
                </c:pt>
                <c:pt idx="470">
                  <c:v>-47.502077416095112</c:v>
                </c:pt>
                <c:pt idx="471">
                  <c:v>-47.544411206736186</c:v>
                </c:pt>
                <c:pt idx="472">
                  <c:v>-47.58653528996912</c:v>
                </c:pt>
                <c:pt idx="473">
                  <c:v>-47.628451581339029</c:v>
                </c:pt>
                <c:pt idx="474">
                  <c:v>-47.670161972476677</c:v>
                </c:pt>
                <c:pt idx="475">
                  <c:v>-47.711668331465653</c:v>
                </c:pt>
                <c:pt idx="476">
                  <c:v>-47.752972503203033</c:v>
                </c:pt>
                <c:pt idx="477">
                  <c:v>-47.794076309753535</c:v>
                </c:pt>
                <c:pt idx="478">
                  <c:v>-47.834981550697293</c:v>
                </c:pt>
                <c:pt idx="479">
                  <c:v>-47.875690003471398</c:v>
                </c:pt>
                <c:pt idx="480">
                  <c:v>-47.91620342370539</c:v>
                </c:pt>
                <c:pt idx="481">
                  <c:v>-47.956523545550773</c:v>
                </c:pt>
                <c:pt idx="482">
                  <c:v>-47.996652082004616</c:v>
                </c:pt>
                <c:pt idx="483">
                  <c:v>-48.036590725227491</c:v>
                </c:pt>
                <c:pt idx="484">
                  <c:v>-48.076341146855839</c:v>
                </c:pt>
                <c:pt idx="485">
                  <c:v>-48.115904998308679</c:v>
                </c:pt>
                <c:pt idx="486">
                  <c:v>-48.155283911089121</c:v>
                </c:pt>
                <c:pt idx="487">
                  <c:v>-48.194479497080479</c:v>
                </c:pt>
                <c:pt idx="488">
                  <c:v>-48.233493348837229</c:v>
                </c:pt>
                <c:pt idx="489">
                  <c:v>-48.272327039870966</c:v>
                </c:pt>
                <c:pt idx="490">
                  <c:v>-48.310982124931307</c:v>
                </c:pt>
                <c:pt idx="491">
                  <c:v>-48.349460140281963</c:v>
                </c:pt>
                <c:pt idx="492">
                  <c:v>-48.387762603972078</c:v>
                </c:pt>
                <c:pt idx="493">
                  <c:v>-48.425891016102831</c:v>
                </c:pt>
                <c:pt idx="494">
                  <c:v>-48.463846859089479</c:v>
                </c:pt>
                <c:pt idx="495">
                  <c:v>-48.501631597918916</c:v>
                </c:pt>
                <c:pt idx="496">
                  <c:v>-48.539246680402826</c:v>
                </c:pt>
                <c:pt idx="497">
                  <c:v>-48.576693537426507</c:v>
                </c:pt>
                <c:pt idx="498">
                  <c:v>-48.613973583193456</c:v>
                </c:pt>
                <c:pt idx="499">
                  <c:v>-48.651088215465833</c:v>
                </c:pt>
                <c:pt idx="500">
                  <c:v>-48.688038815800809</c:v>
                </c:pt>
                <c:pt idx="501">
                  <c:v>-48.724826749782977</c:v>
                </c:pt>
                <c:pt idx="502">
                  <c:v>-48.761453367252791</c:v>
                </c:pt>
                <c:pt idx="503">
                  <c:v>-48.7979200025312</c:v>
                </c:pt>
                <c:pt idx="504">
                  <c:v>-48.834227974640562</c:v>
                </c:pt>
                <c:pt idx="505">
                  <c:v>-48.870378587521728</c:v>
                </c:pt>
                <c:pt idx="506">
                  <c:v>-48.906373130247658</c:v>
                </c:pt>
                <c:pt idx="507">
                  <c:v>-48.942212877233388</c:v>
                </c:pt>
                <c:pt idx="508">
                  <c:v>-48.977899088442555</c:v>
                </c:pt>
                <c:pt idx="509">
                  <c:v>-49.013433009590486</c:v>
                </c:pt>
                <c:pt idx="510">
                  <c:v>-49.048815872343937</c:v>
                </c:pt>
                <c:pt idx="511">
                  <c:v>-49.084048894517551</c:v>
                </c:pt>
                <c:pt idx="512">
                  <c:v>-49.119133280267022</c:v>
                </c:pt>
                <c:pt idx="513">
                  <c:v>-49.154070220279245</c:v>
                </c:pt>
                <c:pt idx="514">
                  <c:v>-49.18886089195918</c:v>
                </c:pt>
                <c:pt idx="515">
                  <c:v>-49.223506459613766</c:v>
                </c:pt>
                <c:pt idx="516">
                  <c:v>-49.258008074632833</c:v>
                </c:pt>
                <c:pt idx="517">
                  <c:v>-49.292366875667057</c:v>
                </c:pt>
                <c:pt idx="518">
                  <c:v>-49.32658398880303</c:v>
                </c:pt>
                <c:pt idx="519">
                  <c:v>-49.360660527735519</c:v>
                </c:pt>
                <c:pt idx="520">
                  <c:v>-49.394597593936922</c:v>
                </c:pt>
                <c:pt idx="521">
                  <c:v>-49.428396276824031</c:v>
                </c:pt>
                <c:pt idx="522">
                  <c:v>-49.462057653922116</c:v>
                </c:pt>
                <c:pt idx="523">
                  <c:v>-49.495582791026315</c:v>
                </c:pt>
                <c:pt idx="524">
                  <c:v>-49.528972742360523</c:v>
                </c:pt>
                <c:pt idx="525">
                  <c:v>-49.562228550733771</c:v>
                </c:pt>
                <c:pt idx="526">
                  <c:v>-49.595351247693991</c:v>
                </c:pt>
                <c:pt idx="527">
                  <c:v>-49.628341853679473</c:v>
                </c:pt>
                <c:pt idx="528">
                  <c:v>-49.66120137816786</c:v>
                </c:pt>
                <c:pt idx="529">
                  <c:v>-49.693930819822796</c:v>
                </c:pt>
                <c:pt idx="530">
                  <c:v>-49.726531166638296</c:v>
                </c:pt>
                <c:pt idx="531">
                  <c:v>-49.759003396080814</c:v>
                </c:pt>
                <c:pt idx="532">
                  <c:v>-49.791348475229057</c:v>
                </c:pt>
                <c:pt idx="533">
                  <c:v>-49.823567360911696</c:v>
                </c:pt>
                <c:pt idx="534">
                  <c:v>-49.85566099984284</c:v>
                </c:pt>
                <c:pt idx="535">
                  <c:v>-49.887630328755478</c:v>
                </c:pt>
                <c:pt idx="536">
                  <c:v>-49.919476274532776</c:v>
                </c:pt>
                <c:pt idx="537">
                  <c:v>-49.951199754337367</c:v>
                </c:pt>
                <c:pt idx="538">
                  <c:v>-49.982801675738628</c:v>
                </c:pt>
                <c:pt idx="539">
                  <c:v>-50.014282936838079</c:v>
                </c:pt>
                <c:pt idx="540">
                  <c:v>-50.045644426392698</c:v>
                </c:pt>
                <c:pt idx="541">
                  <c:v>-50.076887023936465</c:v>
                </c:pt>
                <c:pt idx="542">
                  <c:v>-50.108011599899989</c:v>
                </c:pt>
                <c:pt idx="543">
                  <c:v>-50.139019015728302</c:v>
                </c:pt>
                <c:pt idx="544">
                  <c:v>-50.169910123996914</c:v>
                </c:pt>
                <c:pt idx="545">
                  <c:v>-50.200685768525958</c:v>
                </c:pt>
                <c:pt idx="546">
                  <c:v>-50.231346784492828</c:v>
                </c:pt>
                <c:pt idx="547">
                  <c:v>-50.261893998542881</c:v>
                </c:pt>
                <c:pt idx="548">
                  <c:v>-50.292328228898583</c:v>
                </c:pt>
                <c:pt idx="549">
                  <c:v>-50.322650285466999</c:v>
                </c:pt>
                <c:pt idx="550">
                  <c:v>-50.352860969945652</c:v>
                </c:pt>
                <c:pt idx="551">
                  <c:v>-50.382961075926779</c:v>
                </c:pt>
                <c:pt idx="552">
                  <c:v>-50.412951389000014</c:v>
                </c:pt>
                <c:pt idx="553">
                  <c:v>-50.442832686853613</c:v>
                </c:pt>
                <c:pt idx="554">
                  <c:v>-50.472605739374032</c:v>
                </c:pt>
                <c:pt idx="555">
                  <c:v>-50.502271308744149</c:v>
                </c:pt>
                <c:pt idx="556">
                  <c:v>-50.531830149539978</c:v>
                </c:pt>
                <c:pt idx="557">
                  <c:v>-50.561283008825903</c:v>
                </c:pt>
                <c:pt idx="558">
                  <c:v>-50.590630626248569</c:v>
                </c:pt>
                <c:pt idx="559">
                  <c:v>-50.619873734129364</c:v>
                </c:pt>
                <c:pt idx="560">
                  <c:v>-50.649013057555536</c:v>
                </c:pt>
                <c:pt idx="561">
                  <c:v>-50.678049314469945</c:v>
                </c:pt>
                <c:pt idx="562">
                  <c:v>-50.70698321575955</c:v>
                </c:pt>
                <c:pt idx="563">
                  <c:v>-50.73581546534254</c:v>
                </c:pt>
                <c:pt idx="564">
                  <c:v>-50.764546760254269</c:v>
                </c:pt>
                <c:pt idx="565">
                  <c:v>-50.793177790731818</c:v>
                </c:pt>
                <c:pt idx="566">
                  <c:v>-50.821709240297473</c:v>
                </c:pt>
                <c:pt idx="567">
                  <c:v>-50.85014178584089</c:v>
                </c:pt>
                <c:pt idx="568">
                  <c:v>-50.878476097700087</c:v>
                </c:pt>
                <c:pt idx="569">
                  <c:v>-50.906712839741274</c:v>
                </c:pt>
                <c:pt idx="570">
                  <c:v>-50.934852669437554</c:v>
                </c:pt>
                <c:pt idx="571">
                  <c:v>-50.962896237946453</c:v>
                </c:pt>
                <c:pt idx="572">
                  <c:v>-50.990844190186344</c:v>
                </c:pt>
                <c:pt idx="573">
                  <c:v>-51.018697164911799</c:v>
                </c:pt>
                <c:pt idx="574">
                  <c:v>-51.046455794787853</c:v>
                </c:pt>
                <c:pt idx="575">
                  <c:v>-51.074120706463177</c:v>
                </c:pt>
                <c:pt idx="576">
                  <c:v>-51.101692520642239</c:v>
                </c:pt>
                <c:pt idx="577">
                  <c:v>-51.129171852156446</c:v>
                </c:pt>
                <c:pt idx="578">
                  <c:v>-51.156559310034275</c:v>
                </c:pt>
                <c:pt idx="579">
                  <c:v>-51.183855497570363</c:v>
                </c:pt>
                <c:pt idx="580">
                  <c:v>-51.211061012393685</c:v>
                </c:pt>
                <c:pt idx="581">
                  <c:v>-51.238176446534716</c:v>
                </c:pt>
                <c:pt idx="582">
                  <c:v>-51.265202386491723</c:v>
                </c:pt>
                <c:pt idx="583">
                  <c:v>-51.292139413296027</c:v>
                </c:pt>
                <c:pt idx="584">
                  <c:v>-51.318988102576455</c:v>
                </c:pt>
                <c:pt idx="585">
                  <c:v>-51.345749024622762</c:v>
                </c:pt>
                <c:pt idx="586">
                  <c:v>-51.372422744448329</c:v>
                </c:pt>
                <c:pt idx="587">
                  <c:v>-51.399009821851834</c:v>
                </c:pt>
                <c:pt idx="588">
                  <c:v>-51.42551081147819</c:v>
                </c:pt>
                <c:pt idx="589">
                  <c:v>-51.451926262878544</c:v>
                </c:pt>
                <c:pt idx="590">
                  <c:v>-51.478256720569469</c:v>
                </c:pt>
                <c:pt idx="591">
                  <c:v>-51.504502724091438</c:v>
                </c:pt>
                <c:pt idx="592">
                  <c:v>-51.530664808066291</c:v>
                </c:pt>
                <c:pt idx="593">
                  <c:v>-51.556743502254115</c:v>
                </c:pt>
                <c:pt idx="594">
                  <c:v>-51.58273933160924</c:v>
                </c:pt>
                <c:pt idx="595">
                  <c:v>-51.608652816335436</c:v>
                </c:pt>
                <c:pt idx="596">
                  <c:v>-51.634484471940482</c:v>
                </c:pt>
                <c:pt idx="597">
                  <c:v>-51.660234809289818</c:v>
                </c:pt>
                <c:pt idx="598">
                  <c:v>-51.685904334659668</c:v>
                </c:pt>
                <c:pt idx="599">
                  <c:v>-51.711493549789253</c:v>
                </c:pt>
                <c:pt idx="600">
                  <c:v>-51.737002951932382</c:v>
                </c:pt>
                <c:pt idx="601">
                  <c:v>-51.762433033908394</c:v>
                </c:pt>
                <c:pt idx="602">
                  <c:v>-51.787784284152288</c:v>
                </c:pt>
                <c:pt idx="603">
                  <c:v>-51.813057186764311</c:v>
                </c:pt>
                <c:pt idx="604">
                  <c:v>-51.83825222155879</c:v>
                </c:pt>
                <c:pt idx="605">
                  <c:v>-51.8633698641123</c:v>
                </c:pt>
                <c:pt idx="606">
                  <c:v>-53.029981758520449</c:v>
                </c:pt>
                <c:pt idx="607">
                  <c:v>-54.050803573540065</c:v>
                </c:pt>
                <c:pt idx="608">
                  <c:v>-54.958527120477669</c:v>
                </c:pt>
                <c:pt idx="609">
                  <c:v>-55.776042224835905</c:v>
                </c:pt>
                <c:pt idx="610">
                  <c:v>-56.519948901796866</c:v>
                </c:pt>
                <c:pt idx="611">
                  <c:v>-57.202647209819126</c:v>
                </c:pt>
                <c:pt idx="612">
                  <c:v>-57.833635309060547</c:v>
                </c:pt>
                <c:pt idx="613">
                  <c:v>-58.420346372605998</c:v>
                </c:pt>
                <c:pt idx="614">
                  <c:v>-58.968706062408884</c:v>
                </c:pt>
                <c:pt idx="615">
                  <c:v>-59.483514655753531</c:v>
                </c:pt>
                <c:pt idx="616">
                  <c:v>-59.968715677341144</c:v>
                </c:pt>
                <c:pt idx="617">
                  <c:v>-60.427589021388208</c:v>
                </c:pt>
                <c:pt idx="618">
                  <c:v>-60.604399327176878</c:v>
                </c:pt>
                <c:pt idx="619">
                  <c:v>-60.777599770943581</c:v>
                </c:pt>
                <c:pt idx="620">
                  <c:v>-60.947337340064678</c:v>
                </c:pt>
                <c:pt idx="621">
                  <c:v>-61.113750120471948</c:v>
                </c:pt>
                <c:pt idx="622">
                  <c:v>-61.276968005864241</c:v>
                </c:pt>
                <c:pt idx="623">
                  <c:v>-61.437113337481989</c:v>
                </c:pt>
                <c:pt idx="624">
                  <c:v>-61.594301482443939</c:v>
                </c:pt>
                <c:pt idx="625">
                  <c:v>-61.748641357593009</c:v>
                </c:pt>
                <c:pt idx="626">
                  <c:v>-61.900235904900462</c:v>
                </c:pt>
                <c:pt idx="627">
                  <c:v>-62.049182523709703</c:v>
                </c:pt>
                <c:pt idx="628">
                  <c:v>-62.195573464441978</c:v>
                </c:pt>
                <c:pt idx="629">
                  <c:v>-62.339496187819599</c:v>
                </c:pt>
                <c:pt idx="630">
                  <c:v>-62.481033693173345</c:v>
                </c:pt>
                <c:pt idx="631">
                  <c:v>-62.620264818977638</c:v>
                </c:pt>
                <c:pt idx="632">
                  <c:v>-62.757264518390841</c:v>
                </c:pt>
                <c:pt idx="633">
                  <c:v>-62.892104112259027</c:v>
                </c:pt>
                <c:pt idx="634">
                  <c:v>-63.024851521764091</c:v>
                </c:pt>
                <c:pt idx="635">
                  <c:v>-63.155571482654892</c:v>
                </c:pt>
                <c:pt idx="636">
                  <c:v>-63.28432574278753</c:v>
                </c:pt>
                <c:pt idx="637">
                  <c:v>-63.411173244515489</c:v>
                </c:pt>
                <c:pt idx="638">
                  <c:v>-63.536170293306185</c:v>
                </c:pt>
                <c:pt idx="639">
                  <c:v>-63.659370713817182</c:v>
                </c:pt>
                <c:pt idx="640">
                  <c:v>-63.780825994537771</c:v>
                </c:pt>
                <c:pt idx="641">
                  <c:v>-63.900585421989774</c:v>
                </c:pt>
                <c:pt idx="642">
                  <c:v>-64.018696205381616</c:v>
                </c:pt>
                <c:pt idx="643">
                  <c:v>-64.135203592521805</c:v>
                </c:pt>
                <c:pt idx="644">
                  <c:v>-64.250150977719414</c:v>
                </c:pt>
                <c:pt idx="645">
                  <c:v>-64.36358000232903</c:v>
                </c:pt>
                <c:pt idx="646">
                  <c:v>-64.475530648536321</c:v>
                </c:pt>
                <c:pt idx="647">
                  <c:v>-64.586041326923407</c:v>
                </c:pt>
                <c:pt idx="648">
                  <c:v>-64.69514895830477</c:v>
                </c:pt>
                <c:pt idx="649">
                  <c:v>-64.802889050278964</c:v>
                </c:pt>
                <c:pt idx="650">
                  <c:v>-64.909295768901913</c:v>
                </c:pt>
                <c:pt idx="651">
                  <c:v>-65.014402005851338</c:v>
                </c:pt>
                <c:pt idx="652">
                  <c:v>-65.118239441419675</c:v>
                </c:pt>
                <c:pt idx="653">
                  <c:v>-65.220838603643699</c:v>
                </c:pt>
                <c:pt idx="654">
                  <c:v>-65.322228923852578</c:v>
                </c:pt>
                <c:pt idx="655">
                  <c:v>-65.42243878889272</c:v>
                </c:pt>
                <c:pt idx="656">
                  <c:v>-65.521495590265715</c:v>
                </c:pt>
                <c:pt idx="657">
                  <c:v>-65.619425770396859</c:v>
                </c:pt>
                <c:pt idx="658">
                  <c:v>-65.716254866233356</c:v>
                </c:pt>
                <c:pt idx="659">
                  <c:v>-65.812007550356086</c:v>
                </c:pt>
                <c:pt idx="660">
                  <c:v>-65.906707669773382</c:v>
                </c:pt>
                <c:pt idx="661">
                  <c:v>-66.00037828255283</c:v>
                </c:pt>
                <c:pt idx="662">
                  <c:v>-66.093041692434184</c:v>
                </c:pt>
                <c:pt idx="663">
                  <c:v>-66.184719481556456</c:v>
                </c:pt>
                <c:pt idx="664">
                  <c:v>-66.275432541420955</c:v>
                </c:pt>
                <c:pt idx="665">
                  <c:v>-66.365201102204153</c:v>
                </c:pt>
                <c:pt idx="666">
                  <c:v>-66.454044760524766</c:v>
                </c:pt>
                <c:pt idx="667">
                  <c:v>-66.541982505762348</c:v>
                </c:pt>
              </c:numCache>
            </c:numRef>
          </c:yVal>
          <c:smooth val="1"/>
          <c:extLst>
            <c:ext xmlns:c16="http://schemas.microsoft.com/office/drawing/2014/chart" uri="{C3380CC4-5D6E-409C-BE32-E72D297353CC}">
              <c16:uniqueId val="{00000000-DE43-DC42-A749-2941E176DFB2}"/>
            </c:ext>
          </c:extLst>
        </c:ser>
        <c:dLbls>
          <c:showLegendKey val="0"/>
          <c:showVal val="0"/>
          <c:showCatName val="0"/>
          <c:showSerName val="0"/>
          <c:showPercent val="0"/>
          <c:showBubbleSize val="0"/>
        </c:dLbls>
        <c:axId val="183670272"/>
        <c:axId val="183672192"/>
      </c:scatterChart>
      <c:scatterChart>
        <c:scatterStyle val="lineMarker"/>
        <c:varyColors val="0"/>
        <c:ser>
          <c:idx val="3"/>
          <c:order val="1"/>
          <c:tx>
            <c:v>Actual Phase</c:v>
          </c:tx>
          <c:spPr>
            <a:ln w="38100">
              <a:solidFill>
                <a:srgbClr val="660066"/>
              </a:solidFill>
              <a:prstDash val="solid"/>
            </a:ln>
          </c:spPr>
          <c:marker>
            <c:symbol val="none"/>
          </c:marker>
          <c:xVal>
            <c:numRef>
              <c:f>'Bode Plots Calculations'!$A$9:$A$676</c:f>
              <c:numCache>
                <c:formatCode>General</c:formatCode>
                <c:ptCount val="668"/>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1500</c:v>
                </c:pt>
                <c:pt idx="29">
                  <c:v>2000</c:v>
                </c:pt>
                <c:pt idx="30">
                  <c:v>2500</c:v>
                </c:pt>
                <c:pt idx="31">
                  <c:v>3000</c:v>
                </c:pt>
                <c:pt idx="32">
                  <c:v>3500</c:v>
                </c:pt>
                <c:pt idx="33">
                  <c:v>4000</c:v>
                </c:pt>
                <c:pt idx="34">
                  <c:v>4500</c:v>
                </c:pt>
                <c:pt idx="35">
                  <c:v>5000</c:v>
                </c:pt>
                <c:pt idx="36">
                  <c:v>5500</c:v>
                </c:pt>
                <c:pt idx="37">
                  <c:v>6000</c:v>
                </c:pt>
                <c:pt idx="38">
                  <c:v>6500</c:v>
                </c:pt>
                <c:pt idx="39">
                  <c:v>7000</c:v>
                </c:pt>
                <c:pt idx="40">
                  <c:v>7500</c:v>
                </c:pt>
                <c:pt idx="41">
                  <c:v>8000</c:v>
                </c:pt>
                <c:pt idx="42">
                  <c:v>8500</c:v>
                </c:pt>
                <c:pt idx="43">
                  <c:v>9000</c:v>
                </c:pt>
                <c:pt idx="44">
                  <c:v>9500</c:v>
                </c:pt>
                <c:pt idx="45">
                  <c:v>10000</c:v>
                </c:pt>
                <c:pt idx="46">
                  <c:v>10500</c:v>
                </c:pt>
                <c:pt idx="47">
                  <c:v>11000</c:v>
                </c:pt>
                <c:pt idx="48">
                  <c:v>11500</c:v>
                </c:pt>
                <c:pt idx="49">
                  <c:v>12000</c:v>
                </c:pt>
                <c:pt idx="50">
                  <c:v>12500</c:v>
                </c:pt>
                <c:pt idx="51">
                  <c:v>13000</c:v>
                </c:pt>
                <c:pt idx="52">
                  <c:v>13500</c:v>
                </c:pt>
                <c:pt idx="53">
                  <c:v>14000</c:v>
                </c:pt>
                <c:pt idx="54">
                  <c:v>14500</c:v>
                </c:pt>
                <c:pt idx="55">
                  <c:v>15000</c:v>
                </c:pt>
                <c:pt idx="56">
                  <c:v>15500</c:v>
                </c:pt>
                <c:pt idx="57">
                  <c:v>16000</c:v>
                </c:pt>
                <c:pt idx="58">
                  <c:v>16500</c:v>
                </c:pt>
                <c:pt idx="59">
                  <c:v>17000</c:v>
                </c:pt>
                <c:pt idx="60">
                  <c:v>17500</c:v>
                </c:pt>
                <c:pt idx="61">
                  <c:v>18000</c:v>
                </c:pt>
                <c:pt idx="62">
                  <c:v>18500</c:v>
                </c:pt>
                <c:pt idx="63">
                  <c:v>19000</c:v>
                </c:pt>
                <c:pt idx="64">
                  <c:v>19500</c:v>
                </c:pt>
                <c:pt idx="65">
                  <c:v>20000</c:v>
                </c:pt>
                <c:pt idx="66">
                  <c:v>20500</c:v>
                </c:pt>
                <c:pt idx="67">
                  <c:v>21000</c:v>
                </c:pt>
                <c:pt idx="68">
                  <c:v>21500</c:v>
                </c:pt>
                <c:pt idx="69">
                  <c:v>22000</c:v>
                </c:pt>
                <c:pt idx="70">
                  <c:v>22500</c:v>
                </c:pt>
                <c:pt idx="71">
                  <c:v>23000</c:v>
                </c:pt>
                <c:pt idx="72">
                  <c:v>23500</c:v>
                </c:pt>
                <c:pt idx="73">
                  <c:v>24000</c:v>
                </c:pt>
                <c:pt idx="74">
                  <c:v>24500</c:v>
                </c:pt>
                <c:pt idx="75">
                  <c:v>25000</c:v>
                </c:pt>
                <c:pt idx="76">
                  <c:v>25500</c:v>
                </c:pt>
                <c:pt idx="77">
                  <c:v>26000</c:v>
                </c:pt>
                <c:pt idx="78">
                  <c:v>26500</c:v>
                </c:pt>
                <c:pt idx="79">
                  <c:v>27000</c:v>
                </c:pt>
                <c:pt idx="80">
                  <c:v>27500</c:v>
                </c:pt>
                <c:pt idx="81">
                  <c:v>28000</c:v>
                </c:pt>
                <c:pt idx="82">
                  <c:v>28500</c:v>
                </c:pt>
                <c:pt idx="83">
                  <c:v>29000</c:v>
                </c:pt>
                <c:pt idx="84">
                  <c:v>29500</c:v>
                </c:pt>
                <c:pt idx="85">
                  <c:v>30000</c:v>
                </c:pt>
                <c:pt idx="86">
                  <c:v>30500</c:v>
                </c:pt>
                <c:pt idx="87">
                  <c:v>31000</c:v>
                </c:pt>
                <c:pt idx="88">
                  <c:v>31500</c:v>
                </c:pt>
                <c:pt idx="89">
                  <c:v>32000</c:v>
                </c:pt>
                <c:pt idx="90">
                  <c:v>32500</c:v>
                </c:pt>
                <c:pt idx="91">
                  <c:v>33000</c:v>
                </c:pt>
                <c:pt idx="92">
                  <c:v>33500</c:v>
                </c:pt>
                <c:pt idx="93">
                  <c:v>34000</c:v>
                </c:pt>
                <c:pt idx="94">
                  <c:v>34500</c:v>
                </c:pt>
                <c:pt idx="95">
                  <c:v>35000</c:v>
                </c:pt>
                <c:pt idx="96">
                  <c:v>35500</c:v>
                </c:pt>
                <c:pt idx="97">
                  <c:v>36000</c:v>
                </c:pt>
                <c:pt idx="98">
                  <c:v>36500</c:v>
                </c:pt>
                <c:pt idx="99">
                  <c:v>37000</c:v>
                </c:pt>
                <c:pt idx="100">
                  <c:v>37500</c:v>
                </c:pt>
                <c:pt idx="101">
                  <c:v>38000</c:v>
                </c:pt>
                <c:pt idx="102">
                  <c:v>38500</c:v>
                </c:pt>
                <c:pt idx="103">
                  <c:v>39000</c:v>
                </c:pt>
                <c:pt idx="104">
                  <c:v>39500</c:v>
                </c:pt>
                <c:pt idx="105">
                  <c:v>40000</c:v>
                </c:pt>
                <c:pt idx="106">
                  <c:v>40500</c:v>
                </c:pt>
                <c:pt idx="107">
                  <c:v>41000</c:v>
                </c:pt>
                <c:pt idx="108">
                  <c:v>41500</c:v>
                </c:pt>
                <c:pt idx="109">
                  <c:v>42000</c:v>
                </c:pt>
                <c:pt idx="110">
                  <c:v>42500</c:v>
                </c:pt>
                <c:pt idx="111">
                  <c:v>43000</c:v>
                </c:pt>
                <c:pt idx="112">
                  <c:v>43500</c:v>
                </c:pt>
                <c:pt idx="113">
                  <c:v>44000</c:v>
                </c:pt>
                <c:pt idx="114">
                  <c:v>44500</c:v>
                </c:pt>
                <c:pt idx="115">
                  <c:v>45000</c:v>
                </c:pt>
                <c:pt idx="116">
                  <c:v>45500</c:v>
                </c:pt>
                <c:pt idx="117">
                  <c:v>46000</c:v>
                </c:pt>
                <c:pt idx="118">
                  <c:v>46500</c:v>
                </c:pt>
                <c:pt idx="119">
                  <c:v>47000</c:v>
                </c:pt>
                <c:pt idx="120">
                  <c:v>47500</c:v>
                </c:pt>
                <c:pt idx="121">
                  <c:v>48000</c:v>
                </c:pt>
                <c:pt idx="122">
                  <c:v>48500</c:v>
                </c:pt>
                <c:pt idx="123">
                  <c:v>49000</c:v>
                </c:pt>
                <c:pt idx="124">
                  <c:v>49500</c:v>
                </c:pt>
                <c:pt idx="125">
                  <c:v>50000</c:v>
                </c:pt>
                <c:pt idx="126">
                  <c:v>50500</c:v>
                </c:pt>
                <c:pt idx="127">
                  <c:v>51000</c:v>
                </c:pt>
                <c:pt idx="128">
                  <c:v>51500</c:v>
                </c:pt>
                <c:pt idx="129">
                  <c:v>52000</c:v>
                </c:pt>
                <c:pt idx="130">
                  <c:v>52500</c:v>
                </c:pt>
                <c:pt idx="131">
                  <c:v>53000</c:v>
                </c:pt>
                <c:pt idx="132">
                  <c:v>53500</c:v>
                </c:pt>
                <c:pt idx="133">
                  <c:v>54000</c:v>
                </c:pt>
                <c:pt idx="134">
                  <c:v>54500</c:v>
                </c:pt>
                <c:pt idx="135">
                  <c:v>55000</c:v>
                </c:pt>
                <c:pt idx="136">
                  <c:v>55500</c:v>
                </c:pt>
                <c:pt idx="137">
                  <c:v>56000</c:v>
                </c:pt>
                <c:pt idx="138">
                  <c:v>56500</c:v>
                </c:pt>
                <c:pt idx="139">
                  <c:v>57000</c:v>
                </c:pt>
                <c:pt idx="140">
                  <c:v>57500</c:v>
                </c:pt>
                <c:pt idx="141">
                  <c:v>58000</c:v>
                </c:pt>
                <c:pt idx="142">
                  <c:v>58500</c:v>
                </c:pt>
                <c:pt idx="143">
                  <c:v>59000</c:v>
                </c:pt>
                <c:pt idx="144">
                  <c:v>59500</c:v>
                </c:pt>
                <c:pt idx="145">
                  <c:v>60000</c:v>
                </c:pt>
                <c:pt idx="146">
                  <c:v>60500</c:v>
                </c:pt>
                <c:pt idx="147">
                  <c:v>61000</c:v>
                </c:pt>
                <c:pt idx="148">
                  <c:v>61500</c:v>
                </c:pt>
                <c:pt idx="149">
                  <c:v>62000</c:v>
                </c:pt>
                <c:pt idx="150">
                  <c:v>62500</c:v>
                </c:pt>
                <c:pt idx="151">
                  <c:v>63000</c:v>
                </c:pt>
                <c:pt idx="152">
                  <c:v>63500</c:v>
                </c:pt>
                <c:pt idx="153">
                  <c:v>64000</c:v>
                </c:pt>
                <c:pt idx="154">
                  <c:v>64500</c:v>
                </c:pt>
                <c:pt idx="155">
                  <c:v>65000</c:v>
                </c:pt>
                <c:pt idx="156">
                  <c:v>65500</c:v>
                </c:pt>
                <c:pt idx="157">
                  <c:v>66000</c:v>
                </c:pt>
                <c:pt idx="158">
                  <c:v>66500</c:v>
                </c:pt>
                <c:pt idx="159">
                  <c:v>67000</c:v>
                </c:pt>
                <c:pt idx="160">
                  <c:v>67500</c:v>
                </c:pt>
                <c:pt idx="161">
                  <c:v>68000</c:v>
                </c:pt>
                <c:pt idx="162">
                  <c:v>68500</c:v>
                </c:pt>
                <c:pt idx="163">
                  <c:v>69000</c:v>
                </c:pt>
                <c:pt idx="164">
                  <c:v>69500</c:v>
                </c:pt>
                <c:pt idx="165">
                  <c:v>70000</c:v>
                </c:pt>
                <c:pt idx="166">
                  <c:v>70500</c:v>
                </c:pt>
                <c:pt idx="167">
                  <c:v>71000</c:v>
                </c:pt>
                <c:pt idx="168">
                  <c:v>71500</c:v>
                </c:pt>
                <c:pt idx="169">
                  <c:v>72000</c:v>
                </c:pt>
                <c:pt idx="170">
                  <c:v>72500</c:v>
                </c:pt>
                <c:pt idx="171">
                  <c:v>73000</c:v>
                </c:pt>
                <c:pt idx="172">
                  <c:v>73500</c:v>
                </c:pt>
                <c:pt idx="173">
                  <c:v>74000</c:v>
                </c:pt>
                <c:pt idx="174">
                  <c:v>74500</c:v>
                </c:pt>
                <c:pt idx="175">
                  <c:v>75000</c:v>
                </c:pt>
                <c:pt idx="176">
                  <c:v>75500</c:v>
                </c:pt>
                <c:pt idx="177">
                  <c:v>76000</c:v>
                </c:pt>
                <c:pt idx="178">
                  <c:v>76500</c:v>
                </c:pt>
                <c:pt idx="179">
                  <c:v>77000</c:v>
                </c:pt>
                <c:pt idx="180">
                  <c:v>77500</c:v>
                </c:pt>
                <c:pt idx="181">
                  <c:v>78000</c:v>
                </c:pt>
                <c:pt idx="182">
                  <c:v>78500</c:v>
                </c:pt>
                <c:pt idx="183">
                  <c:v>79000</c:v>
                </c:pt>
                <c:pt idx="184">
                  <c:v>79500</c:v>
                </c:pt>
                <c:pt idx="185">
                  <c:v>80000</c:v>
                </c:pt>
                <c:pt idx="186">
                  <c:v>80500</c:v>
                </c:pt>
                <c:pt idx="187">
                  <c:v>81000</c:v>
                </c:pt>
                <c:pt idx="188">
                  <c:v>81500</c:v>
                </c:pt>
                <c:pt idx="189">
                  <c:v>82000</c:v>
                </c:pt>
                <c:pt idx="190">
                  <c:v>82500</c:v>
                </c:pt>
                <c:pt idx="191">
                  <c:v>83000</c:v>
                </c:pt>
                <c:pt idx="192">
                  <c:v>83500</c:v>
                </c:pt>
                <c:pt idx="193">
                  <c:v>84000</c:v>
                </c:pt>
                <c:pt idx="194">
                  <c:v>84500</c:v>
                </c:pt>
                <c:pt idx="195">
                  <c:v>85000</c:v>
                </c:pt>
                <c:pt idx="196">
                  <c:v>85500</c:v>
                </c:pt>
                <c:pt idx="197">
                  <c:v>86000</c:v>
                </c:pt>
                <c:pt idx="198">
                  <c:v>86500</c:v>
                </c:pt>
                <c:pt idx="199">
                  <c:v>87000</c:v>
                </c:pt>
                <c:pt idx="200">
                  <c:v>87500</c:v>
                </c:pt>
                <c:pt idx="201">
                  <c:v>88000</c:v>
                </c:pt>
                <c:pt idx="202">
                  <c:v>88500</c:v>
                </c:pt>
                <c:pt idx="203">
                  <c:v>89000</c:v>
                </c:pt>
                <c:pt idx="204">
                  <c:v>89500</c:v>
                </c:pt>
                <c:pt idx="205">
                  <c:v>90000</c:v>
                </c:pt>
                <c:pt idx="206">
                  <c:v>90500</c:v>
                </c:pt>
                <c:pt idx="207">
                  <c:v>91000</c:v>
                </c:pt>
                <c:pt idx="208">
                  <c:v>91500</c:v>
                </c:pt>
                <c:pt idx="209">
                  <c:v>92000</c:v>
                </c:pt>
                <c:pt idx="210">
                  <c:v>92500</c:v>
                </c:pt>
                <c:pt idx="211">
                  <c:v>93000</c:v>
                </c:pt>
                <c:pt idx="212">
                  <c:v>93500</c:v>
                </c:pt>
                <c:pt idx="213">
                  <c:v>94000</c:v>
                </c:pt>
                <c:pt idx="214">
                  <c:v>94500</c:v>
                </c:pt>
                <c:pt idx="215">
                  <c:v>95000</c:v>
                </c:pt>
                <c:pt idx="216">
                  <c:v>95500</c:v>
                </c:pt>
                <c:pt idx="217">
                  <c:v>96000</c:v>
                </c:pt>
                <c:pt idx="218">
                  <c:v>96500</c:v>
                </c:pt>
                <c:pt idx="219">
                  <c:v>97000</c:v>
                </c:pt>
                <c:pt idx="220">
                  <c:v>97500</c:v>
                </c:pt>
                <c:pt idx="221">
                  <c:v>98000</c:v>
                </c:pt>
                <c:pt idx="222">
                  <c:v>98500</c:v>
                </c:pt>
                <c:pt idx="223">
                  <c:v>99000</c:v>
                </c:pt>
                <c:pt idx="224">
                  <c:v>99500</c:v>
                </c:pt>
                <c:pt idx="225">
                  <c:v>100000</c:v>
                </c:pt>
                <c:pt idx="226">
                  <c:v>105000</c:v>
                </c:pt>
                <c:pt idx="227">
                  <c:v>110000</c:v>
                </c:pt>
                <c:pt idx="228">
                  <c:v>115000</c:v>
                </c:pt>
                <c:pt idx="229">
                  <c:v>120000</c:v>
                </c:pt>
                <c:pt idx="230">
                  <c:v>125000</c:v>
                </c:pt>
                <c:pt idx="231">
                  <c:v>130000</c:v>
                </c:pt>
                <c:pt idx="232">
                  <c:v>135000</c:v>
                </c:pt>
                <c:pt idx="233">
                  <c:v>140000</c:v>
                </c:pt>
                <c:pt idx="234">
                  <c:v>145000</c:v>
                </c:pt>
                <c:pt idx="235">
                  <c:v>150000</c:v>
                </c:pt>
                <c:pt idx="236">
                  <c:v>155000</c:v>
                </c:pt>
                <c:pt idx="237">
                  <c:v>160000</c:v>
                </c:pt>
                <c:pt idx="238">
                  <c:v>165000</c:v>
                </c:pt>
                <c:pt idx="239">
                  <c:v>170000</c:v>
                </c:pt>
                <c:pt idx="240">
                  <c:v>175000</c:v>
                </c:pt>
                <c:pt idx="241">
                  <c:v>180000</c:v>
                </c:pt>
                <c:pt idx="242">
                  <c:v>185000</c:v>
                </c:pt>
                <c:pt idx="243">
                  <c:v>190000</c:v>
                </c:pt>
                <c:pt idx="244">
                  <c:v>195000</c:v>
                </c:pt>
                <c:pt idx="245">
                  <c:v>200000</c:v>
                </c:pt>
                <c:pt idx="246">
                  <c:v>205000</c:v>
                </c:pt>
                <c:pt idx="247">
                  <c:v>210000</c:v>
                </c:pt>
                <c:pt idx="248">
                  <c:v>215000</c:v>
                </c:pt>
                <c:pt idx="249">
                  <c:v>220000</c:v>
                </c:pt>
                <c:pt idx="250">
                  <c:v>225000</c:v>
                </c:pt>
                <c:pt idx="251">
                  <c:v>230000</c:v>
                </c:pt>
                <c:pt idx="252">
                  <c:v>235000</c:v>
                </c:pt>
                <c:pt idx="253">
                  <c:v>240000</c:v>
                </c:pt>
                <c:pt idx="254">
                  <c:v>245000</c:v>
                </c:pt>
                <c:pt idx="255">
                  <c:v>250000</c:v>
                </c:pt>
                <c:pt idx="256">
                  <c:v>255000</c:v>
                </c:pt>
                <c:pt idx="257">
                  <c:v>260000</c:v>
                </c:pt>
                <c:pt idx="258">
                  <c:v>265000</c:v>
                </c:pt>
                <c:pt idx="259">
                  <c:v>270000</c:v>
                </c:pt>
                <c:pt idx="260">
                  <c:v>275000</c:v>
                </c:pt>
                <c:pt idx="261">
                  <c:v>280000</c:v>
                </c:pt>
                <c:pt idx="262">
                  <c:v>285000</c:v>
                </c:pt>
                <c:pt idx="263">
                  <c:v>290000</c:v>
                </c:pt>
                <c:pt idx="264">
                  <c:v>295000</c:v>
                </c:pt>
                <c:pt idx="265">
                  <c:v>300000</c:v>
                </c:pt>
                <c:pt idx="266">
                  <c:v>305000</c:v>
                </c:pt>
                <c:pt idx="267">
                  <c:v>310000</c:v>
                </c:pt>
                <c:pt idx="268">
                  <c:v>315000</c:v>
                </c:pt>
                <c:pt idx="269">
                  <c:v>320000</c:v>
                </c:pt>
                <c:pt idx="270">
                  <c:v>325000</c:v>
                </c:pt>
                <c:pt idx="271">
                  <c:v>330000</c:v>
                </c:pt>
                <c:pt idx="272">
                  <c:v>335000</c:v>
                </c:pt>
                <c:pt idx="273">
                  <c:v>340000</c:v>
                </c:pt>
                <c:pt idx="274">
                  <c:v>345000</c:v>
                </c:pt>
                <c:pt idx="275">
                  <c:v>350000</c:v>
                </c:pt>
                <c:pt idx="276">
                  <c:v>355000</c:v>
                </c:pt>
                <c:pt idx="277">
                  <c:v>360000</c:v>
                </c:pt>
                <c:pt idx="278">
                  <c:v>365000</c:v>
                </c:pt>
                <c:pt idx="279">
                  <c:v>370000</c:v>
                </c:pt>
                <c:pt idx="280">
                  <c:v>375000</c:v>
                </c:pt>
                <c:pt idx="281">
                  <c:v>380000</c:v>
                </c:pt>
                <c:pt idx="282">
                  <c:v>385000</c:v>
                </c:pt>
                <c:pt idx="283">
                  <c:v>390000</c:v>
                </c:pt>
                <c:pt idx="284">
                  <c:v>395000</c:v>
                </c:pt>
                <c:pt idx="285">
                  <c:v>400000</c:v>
                </c:pt>
                <c:pt idx="286">
                  <c:v>405000</c:v>
                </c:pt>
                <c:pt idx="287">
                  <c:v>410000</c:v>
                </c:pt>
                <c:pt idx="288">
                  <c:v>415000</c:v>
                </c:pt>
                <c:pt idx="289">
                  <c:v>420000</c:v>
                </c:pt>
                <c:pt idx="290">
                  <c:v>425000</c:v>
                </c:pt>
                <c:pt idx="291">
                  <c:v>430000</c:v>
                </c:pt>
                <c:pt idx="292">
                  <c:v>435000</c:v>
                </c:pt>
                <c:pt idx="293">
                  <c:v>440000</c:v>
                </c:pt>
                <c:pt idx="294">
                  <c:v>445000</c:v>
                </c:pt>
                <c:pt idx="295">
                  <c:v>450000</c:v>
                </c:pt>
                <c:pt idx="296">
                  <c:v>455000</c:v>
                </c:pt>
                <c:pt idx="297">
                  <c:v>460000</c:v>
                </c:pt>
                <c:pt idx="298">
                  <c:v>465000</c:v>
                </c:pt>
                <c:pt idx="299">
                  <c:v>470000</c:v>
                </c:pt>
                <c:pt idx="300">
                  <c:v>475000</c:v>
                </c:pt>
                <c:pt idx="301">
                  <c:v>480000</c:v>
                </c:pt>
                <c:pt idx="302">
                  <c:v>485000</c:v>
                </c:pt>
                <c:pt idx="303">
                  <c:v>490000</c:v>
                </c:pt>
                <c:pt idx="304">
                  <c:v>495000</c:v>
                </c:pt>
                <c:pt idx="305">
                  <c:v>500000</c:v>
                </c:pt>
                <c:pt idx="306">
                  <c:v>505000</c:v>
                </c:pt>
                <c:pt idx="307">
                  <c:v>510000</c:v>
                </c:pt>
                <c:pt idx="308">
                  <c:v>515000</c:v>
                </c:pt>
                <c:pt idx="309">
                  <c:v>520000</c:v>
                </c:pt>
                <c:pt idx="310">
                  <c:v>525000</c:v>
                </c:pt>
                <c:pt idx="311">
                  <c:v>530000</c:v>
                </c:pt>
                <c:pt idx="312">
                  <c:v>535000</c:v>
                </c:pt>
                <c:pt idx="313">
                  <c:v>540000</c:v>
                </c:pt>
                <c:pt idx="314">
                  <c:v>545000</c:v>
                </c:pt>
                <c:pt idx="315">
                  <c:v>550000</c:v>
                </c:pt>
                <c:pt idx="316">
                  <c:v>555000</c:v>
                </c:pt>
                <c:pt idx="317">
                  <c:v>560000</c:v>
                </c:pt>
                <c:pt idx="318">
                  <c:v>565000</c:v>
                </c:pt>
                <c:pt idx="319">
                  <c:v>570000</c:v>
                </c:pt>
                <c:pt idx="320">
                  <c:v>575000</c:v>
                </c:pt>
                <c:pt idx="321">
                  <c:v>580000</c:v>
                </c:pt>
                <c:pt idx="322">
                  <c:v>585000</c:v>
                </c:pt>
                <c:pt idx="323">
                  <c:v>590000</c:v>
                </c:pt>
                <c:pt idx="324">
                  <c:v>595000</c:v>
                </c:pt>
                <c:pt idx="325">
                  <c:v>600000</c:v>
                </c:pt>
                <c:pt idx="326">
                  <c:v>605000</c:v>
                </c:pt>
                <c:pt idx="327">
                  <c:v>610000</c:v>
                </c:pt>
                <c:pt idx="328">
                  <c:v>615000</c:v>
                </c:pt>
                <c:pt idx="329">
                  <c:v>620000</c:v>
                </c:pt>
                <c:pt idx="330">
                  <c:v>625000</c:v>
                </c:pt>
                <c:pt idx="331">
                  <c:v>630000</c:v>
                </c:pt>
                <c:pt idx="332">
                  <c:v>635000</c:v>
                </c:pt>
                <c:pt idx="333">
                  <c:v>640000</c:v>
                </c:pt>
                <c:pt idx="334">
                  <c:v>645000</c:v>
                </c:pt>
                <c:pt idx="335">
                  <c:v>650000</c:v>
                </c:pt>
                <c:pt idx="336">
                  <c:v>655000</c:v>
                </c:pt>
                <c:pt idx="337">
                  <c:v>660000</c:v>
                </c:pt>
                <c:pt idx="338">
                  <c:v>665000</c:v>
                </c:pt>
                <c:pt idx="339">
                  <c:v>670000</c:v>
                </c:pt>
                <c:pt idx="340">
                  <c:v>675000</c:v>
                </c:pt>
                <c:pt idx="341">
                  <c:v>680000</c:v>
                </c:pt>
                <c:pt idx="342">
                  <c:v>685000</c:v>
                </c:pt>
                <c:pt idx="343">
                  <c:v>690000</c:v>
                </c:pt>
                <c:pt idx="344">
                  <c:v>695000</c:v>
                </c:pt>
                <c:pt idx="345">
                  <c:v>700000</c:v>
                </c:pt>
                <c:pt idx="346">
                  <c:v>705000</c:v>
                </c:pt>
                <c:pt idx="347">
                  <c:v>710000</c:v>
                </c:pt>
                <c:pt idx="348">
                  <c:v>715000</c:v>
                </c:pt>
                <c:pt idx="349">
                  <c:v>720000</c:v>
                </c:pt>
                <c:pt idx="350">
                  <c:v>725000</c:v>
                </c:pt>
                <c:pt idx="351">
                  <c:v>730000</c:v>
                </c:pt>
                <c:pt idx="352">
                  <c:v>735000</c:v>
                </c:pt>
                <c:pt idx="353">
                  <c:v>740000</c:v>
                </c:pt>
                <c:pt idx="354">
                  <c:v>745000</c:v>
                </c:pt>
                <c:pt idx="355">
                  <c:v>750000</c:v>
                </c:pt>
                <c:pt idx="356">
                  <c:v>755000</c:v>
                </c:pt>
                <c:pt idx="357">
                  <c:v>760000</c:v>
                </c:pt>
                <c:pt idx="358">
                  <c:v>765000</c:v>
                </c:pt>
                <c:pt idx="359">
                  <c:v>770000</c:v>
                </c:pt>
                <c:pt idx="360">
                  <c:v>775000</c:v>
                </c:pt>
                <c:pt idx="361">
                  <c:v>780000</c:v>
                </c:pt>
                <c:pt idx="362">
                  <c:v>785000</c:v>
                </c:pt>
                <c:pt idx="363">
                  <c:v>790000</c:v>
                </c:pt>
                <c:pt idx="364">
                  <c:v>795000</c:v>
                </c:pt>
                <c:pt idx="365">
                  <c:v>800000</c:v>
                </c:pt>
                <c:pt idx="366">
                  <c:v>805000</c:v>
                </c:pt>
                <c:pt idx="367">
                  <c:v>810000</c:v>
                </c:pt>
                <c:pt idx="368">
                  <c:v>815000</c:v>
                </c:pt>
                <c:pt idx="369">
                  <c:v>820000</c:v>
                </c:pt>
                <c:pt idx="370">
                  <c:v>825000</c:v>
                </c:pt>
                <c:pt idx="371">
                  <c:v>830000</c:v>
                </c:pt>
                <c:pt idx="372">
                  <c:v>835000</c:v>
                </c:pt>
                <c:pt idx="373">
                  <c:v>840000</c:v>
                </c:pt>
                <c:pt idx="374">
                  <c:v>845000</c:v>
                </c:pt>
                <c:pt idx="375">
                  <c:v>850000</c:v>
                </c:pt>
                <c:pt idx="376">
                  <c:v>855000</c:v>
                </c:pt>
                <c:pt idx="377">
                  <c:v>860000</c:v>
                </c:pt>
                <c:pt idx="378">
                  <c:v>865000</c:v>
                </c:pt>
                <c:pt idx="379">
                  <c:v>870000</c:v>
                </c:pt>
                <c:pt idx="380">
                  <c:v>875000</c:v>
                </c:pt>
                <c:pt idx="381">
                  <c:v>880000</c:v>
                </c:pt>
                <c:pt idx="382">
                  <c:v>885000</c:v>
                </c:pt>
                <c:pt idx="383">
                  <c:v>890000</c:v>
                </c:pt>
                <c:pt idx="384">
                  <c:v>895000</c:v>
                </c:pt>
                <c:pt idx="385">
                  <c:v>900000</c:v>
                </c:pt>
                <c:pt idx="386">
                  <c:v>905000</c:v>
                </c:pt>
                <c:pt idx="387">
                  <c:v>910000</c:v>
                </c:pt>
                <c:pt idx="388">
                  <c:v>915000</c:v>
                </c:pt>
                <c:pt idx="389">
                  <c:v>920000</c:v>
                </c:pt>
                <c:pt idx="390">
                  <c:v>925000</c:v>
                </c:pt>
                <c:pt idx="391">
                  <c:v>930000</c:v>
                </c:pt>
                <c:pt idx="392">
                  <c:v>935000</c:v>
                </c:pt>
                <c:pt idx="393">
                  <c:v>940000</c:v>
                </c:pt>
                <c:pt idx="394">
                  <c:v>945000</c:v>
                </c:pt>
                <c:pt idx="395">
                  <c:v>950000</c:v>
                </c:pt>
                <c:pt idx="396">
                  <c:v>955000</c:v>
                </c:pt>
                <c:pt idx="397">
                  <c:v>960000</c:v>
                </c:pt>
                <c:pt idx="398">
                  <c:v>965000</c:v>
                </c:pt>
                <c:pt idx="399">
                  <c:v>970000</c:v>
                </c:pt>
                <c:pt idx="400">
                  <c:v>975000</c:v>
                </c:pt>
                <c:pt idx="401">
                  <c:v>980000</c:v>
                </c:pt>
                <c:pt idx="402">
                  <c:v>985000</c:v>
                </c:pt>
                <c:pt idx="403">
                  <c:v>990000</c:v>
                </c:pt>
                <c:pt idx="404">
                  <c:v>995000</c:v>
                </c:pt>
                <c:pt idx="405">
                  <c:v>1000000</c:v>
                </c:pt>
                <c:pt idx="406">
                  <c:v>1005000</c:v>
                </c:pt>
                <c:pt idx="407">
                  <c:v>1010000</c:v>
                </c:pt>
                <c:pt idx="408">
                  <c:v>1015000</c:v>
                </c:pt>
                <c:pt idx="409">
                  <c:v>1020000</c:v>
                </c:pt>
                <c:pt idx="410">
                  <c:v>1025000</c:v>
                </c:pt>
                <c:pt idx="411">
                  <c:v>1030000</c:v>
                </c:pt>
                <c:pt idx="412">
                  <c:v>1035000</c:v>
                </c:pt>
                <c:pt idx="413">
                  <c:v>1040000</c:v>
                </c:pt>
                <c:pt idx="414">
                  <c:v>1045000</c:v>
                </c:pt>
                <c:pt idx="415">
                  <c:v>1050000</c:v>
                </c:pt>
                <c:pt idx="416">
                  <c:v>1055000</c:v>
                </c:pt>
                <c:pt idx="417">
                  <c:v>1060000</c:v>
                </c:pt>
                <c:pt idx="418">
                  <c:v>1065000</c:v>
                </c:pt>
                <c:pt idx="419">
                  <c:v>1070000</c:v>
                </c:pt>
                <c:pt idx="420">
                  <c:v>1075000</c:v>
                </c:pt>
                <c:pt idx="421">
                  <c:v>1080000</c:v>
                </c:pt>
                <c:pt idx="422">
                  <c:v>1085000</c:v>
                </c:pt>
                <c:pt idx="423">
                  <c:v>1090000</c:v>
                </c:pt>
                <c:pt idx="424">
                  <c:v>1095000</c:v>
                </c:pt>
                <c:pt idx="425">
                  <c:v>1100000</c:v>
                </c:pt>
                <c:pt idx="426">
                  <c:v>1105000</c:v>
                </c:pt>
                <c:pt idx="427">
                  <c:v>1110000</c:v>
                </c:pt>
                <c:pt idx="428">
                  <c:v>1115000</c:v>
                </c:pt>
                <c:pt idx="429">
                  <c:v>1120000</c:v>
                </c:pt>
                <c:pt idx="430">
                  <c:v>1125000</c:v>
                </c:pt>
                <c:pt idx="431">
                  <c:v>1130000</c:v>
                </c:pt>
                <c:pt idx="432">
                  <c:v>1135000</c:v>
                </c:pt>
                <c:pt idx="433">
                  <c:v>1140000</c:v>
                </c:pt>
                <c:pt idx="434">
                  <c:v>1145000</c:v>
                </c:pt>
                <c:pt idx="435">
                  <c:v>1150000</c:v>
                </c:pt>
                <c:pt idx="436">
                  <c:v>1155000</c:v>
                </c:pt>
                <c:pt idx="437">
                  <c:v>1160000</c:v>
                </c:pt>
                <c:pt idx="438">
                  <c:v>1165000</c:v>
                </c:pt>
                <c:pt idx="439">
                  <c:v>1170000</c:v>
                </c:pt>
                <c:pt idx="440">
                  <c:v>1175000</c:v>
                </c:pt>
                <c:pt idx="441">
                  <c:v>1180000</c:v>
                </c:pt>
                <c:pt idx="442">
                  <c:v>1185000</c:v>
                </c:pt>
                <c:pt idx="443">
                  <c:v>1190000</c:v>
                </c:pt>
                <c:pt idx="444">
                  <c:v>1195000</c:v>
                </c:pt>
                <c:pt idx="445">
                  <c:v>1200000</c:v>
                </c:pt>
                <c:pt idx="446">
                  <c:v>1205000</c:v>
                </c:pt>
                <c:pt idx="447">
                  <c:v>1210000</c:v>
                </c:pt>
                <c:pt idx="448">
                  <c:v>1215000</c:v>
                </c:pt>
                <c:pt idx="449">
                  <c:v>1220000</c:v>
                </c:pt>
                <c:pt idx="450">
                  <c:v>1225000</c:v>
                </c:pt>
                <c:pt idx="451">
                  <c:v>1230000</c:v>
                </c:pt>
                <c:pt idx="452">
                  <c:v>1235000</c:v>
                </c:pt>
                <c:pt idx="453">
                  <c:v>1240000</c:v>
                </c:pt>
                <c:pt idx="454">
                  <c:v>1245000</c:v>
                </c:pt>
                <c:pt idx="455">
                  <c:v>1250000</c:v>
                </c:pt>
                <c:pt idx="456">
                  <c:v>1255000</c:v>
                </c:pt>
                <c:pt idx="457">
                  <c:v>1260000</c:v>
                </c:pt>
                <c:pt idx="458">
                  <c:v>1265000</c:v>
                </c:pt>
                <c:pt idx="459">
                  <c:v>1270000</c:v>
                </c:pt>
                <c:pt idx="460">
                  <c:v>1275000</c:v>
                </c:pt>
                <c:pt idx="461">
                  <c:v>1280000</c:v>
                </c:pt>
                <c:pt idx="462">
                  <c:v>1285000</c:v>
                </c:pt>
                <c:pt idx="463">
                  <c:v>1290000</c:v>
                </c:pt>
                <c:pt idx="464">
                  <c:v>1295000</c:v>
                </c:pt>
                <c:pt idx="465">
                  <c:v>1300000</c:v>
                </c:pt>
                <c:pt idx="466">
                  <c:v>1305000</c:v>
                </c:pt>
                <c:pt idx="467">
                  <c:v>1310000</c:v>
                </c:pt>
                <c:pt idx="468">
                  <c:v>1315000</c:v>
                </c:pt>
                <c:pt idx="469">
                  <c:v>1320000</c:v>
                </c:pt>
                <c:pt idx="470">
                  <c:v>1325000</c:v>
                </c:pt>
                <c:pt idx="471">
                  <c:v>1330000</c:v>
                </c:pt>
                <c:pt idx="472">
                  <c:v>1335000</c:v>
                </c:pt>
                <c:pt idx="473">
                  <c:v>1340000</c:v>
                </c:pt>
                <c:pt idx="474">
                  <c:v>1345000</c:v>
                </c:pt>
                <c:pt idx="475">
                  <c:v>1350000</c:v>
                </c:pt>
                <c:pt idx="476">
                  <c:v>1355000</c:v>
                </c:pt>
                <c:pt idx="477">
                  <c:v>1360000</c:v>
                </c:pt>
                <c:pt idx="478">
                  <c:v>1365000</c:v>
                </c:pt>
                <c:pt idx="479">
                  <c:v>1370000</c:v>
                </c:pt>
                <c:pt idx="480">
                  <c:v>1375000</c:v>
                </c:pt>
                <c:pt idx="481">
                  <c:v>1380000</c:v>
                </c:pt>
                <c:pt idx="482">
                  <c:v>1385000</c:v>
                </c:pt>
                <c:pt idx="483">
                  <c:v>1390000</c:v>
                </c:pt>
                <c:pt idx="484">
                  <c:v>1395000</c:v>
                </c:pt>
                <c:pt idx="485">
                  <c:v>1400000</c:v>
                </c:pt>
                <c:pt idx="486">
                  <c:v>1405000</c:v>
                </c:pt>
                <c:pt idx="487">
                  <c:v>1410000</c:v>
                </c:pt>
                <c:pt idx="488">
                  <c:v>1415000</c:v>
                </c:pt>
                <c:pt idx="489">
                  <c:v>1420000</c:v>
                </c:pt>
                <c:pt idx="490">
                  <c:v>1425000</c:v>
                </c:pt>
                <c:pt idx="491">
                  <c:v>1430000</c:v>
                </c:pt>
                <c:pt idx="492">
                  <c:v>1435000</c:v>
                </c:pt>
                <c:pt idx="493">
                  <c:v>1440000</c:v>
                </c:pt>
                <c:pt idx="494">
                  <c:v>1445000</c:v>
                </c:pt>
                <c:pt idx="495">
                  <c:v>1450000</c:v>
                </c:pt>
                <c:pt idx="496">
                  <c:v>1455000</c:v>
                </c:pt>
                <c:pt idx="497">
                  <c:v>1460000</c:v>
                </c:pt>
                <c:pt idx="498">
                  <c:v>1465000</c:v>
                </c:pt>
                <c:pt idx="499">
                  <c:v>1470000</c:v>
                </c:pt>
                <c:pt idx="500">
                  <c:v>1475000</c:v>
                </c:pt>
                <c:pt idx="501">
                  <c:v>1480000</c:v>
                </c:pt>
                <c:pt idx="502">
                  <c:v>1485000</c:v>
                </c:pt>
                <c:pt idx="503">
                  <c:v>1490000</c:v>
                </c:pt>
                <c:pt idx="504">
                  <c:v>1495000</c:v>
                </c:pt>
                <c:pt idx="505">
                  <c:v>1500000</c:v>
                </c:pt>
                <c:pt idx="506">
                  <c:v>1505000</c:v>
                </c:pt>
                <c:pt idx="507">
                  <c:v>1510000</c:v>
                </c:pt>
                <c:pt idx="508">
                  <c:v>1515000</c:v>
                </c:pt>
                <c:pt idx="509">
                  <c:v>1520000</c:v>
                </c:pt>
                <c:pt idx="510">
                  <c:v>1525000</c:v>
                </c:pt>
                <c:pt idx="511">
                  <c:v>1530000</c:v>
                </c:pt>
                <c:pt idx="512">
                  <c:v>1535000</c:v>
                </c:pt>
                <c:pt idx="513">
                  <c:v>1540000</c:v>
                </c:pt>
                <c:pt idx="514">
                  <c:v>1545000</c:v>
                </c:pt>
                <c:pt idx="515">
                  <c:v>1550000</c:v>
                </c:pt>
                <c:pt idx="516">
                  <c:v>1555000</c:v>
                </c:pt>
                <c:pt idx="517">
                  <c:v>1560000</c:v>
                </c:pt>
                <c:pt idx="518">
                  <c:v>1565000</c:v>
                </c:pt>
                <c:pt idx="519">
                  <c:v>1570000</c:v>
                </c:pt>
                <c:pt idx="520">
                  <c:v>1575000</c:v>
                </c:pt>
                <c:pt idx="521">
                  <c:v>1580000</c:v>
                </c:pt>
                <c:pt idx="522">
                  <c:v>1585000</c:v>
                </c:pt>
                <c:pt idx="523">
                  <c:v>1590000</c:v>
                </c:pt>
                <c:pt idx="524">
                  <c:v>1595000</c:v>
                </c:pt>
                <c:pt idx="525">
                  <c:v>1600000</c:v>
                </c:pt>
                <c:pt idx="526">
                  <c:v>1605000</c:v>
                </c:pt>
                <c:pt idx="527">
                  <c:v>1610000</c:v>
                </c:pt>
                <c:pt idx="528">
                  <c:v>1615000</c:v>
                </c:pt>
                <c:pt idx="529">
                  <c:v>1620000</c:v>
                </c:pt>
                <c:pt idx="530">
                  <c:v>1625000</c:v>
                </c:pt>
                <c:pt idx="531">
                  <c:v>1630000</c:v>
                </c:pt>
                <c:pt idx="532">
                  <c:v>1635000</c:v>
                </c:pt>
                <c:pt idx="533">
                  <c:v>1640000</c:v>
                </c:pt>
                <c:pt idx="534">
                  <c:v>1645000</c:v>
                </c:pt>
                <c:pt idx="535">
                  <c:v>1650000</c:v>
                </c:pt>
                <c:pt idx="536">
                  <c:v>1655000</c:v>
                </c:pt>
                <c:pt idx="537">
                  <c:v>1660000</c:v>
                </c:pt>
                <c:pt idx="538">
                  <c:v>1665000</c:v>
                </c:pt>
                <c:pt idx="539">
                  <c:v>1670000</c:v>
                </c:pt>
                <c:pt idx="540">
                  <c:v>1675000</c:v>
                </c:pt>
                <c:pt idx="541">
                  <c:v>1680000</c:v>
                </c:pt>
                <c:pt idx="542">
                  <c:v>1685000</c:v>
                </c:pt>
                <c:pt idx="543">
                  <c:v>1690000</c:v>
                </c:pt>
                <c:pt idx="544">
                  <c:v>1695000</c:v>
                </c:pt>
                <c:pt idx="545">
                  <c:v>1700000</c:v>
                </c:pt>
                <c:pt idx="546">
                  <c:v>1705000</c:v>
                </c:pt>
                <c:pt idx="547">
                  <c:v>1710000</c:v>
                </c:pt>
                <c:pt idx="548">
                  <c:v>1715000</c:v>
                </c:pt>
                <c:pt idx="549">
                  <c:v>1720000</c:v>
                </c:pt>
                <c:pt idx="550">
                  <c:v>1725000</c:v>
                </c:pt>
                <c:pt idx="551">
                  <c:v>1730000</c:v>
                </c:pt>
                <c:pt idx="552">
                  <c:v>1735000</c:v>
                </c:pt>
                <c:pt idx="553">
                  <c:v>1740000</c:v>
                </c:pt>
                <c:pt idx="554">
                  <c:v>1745000</c:v>
                </c:pt>
                <c:pt idx="555">
                  <c:v>1750000</c:v>
                </c:pt>
                <c:pt idx="556">
                  <c:v>1755000</c:v>
                </c:pt>
                <c:pt idx="557">
                  <c:v>1760000</c:v>
                </c:pt>
                <c:pt idx="558">
                  <c:v>1765000</c:v>
                </c:pt>
                <c:pt idx="559">
                  <c:v>1770000</c:v>
                </c:pt>
                <c:pt idx="560">
                  <c:v>1775000</c:v>
                </c:pt>
                <c:pt idx="561">
                  <c:v>1780000</c:v>
                </c:pt>
                <c:pt idx="562">
                  <c:v>1785000</c:v>
                </c:pt>
                <c:pt idx="563">
                  <c:v>1790000</c:v>
                </c:pt>
                <c:pt idx="564">
                  <c:v>1795000</c:v>
                </c:pt>
                <c:pt idx="565">
                  <c:v>1800000</c:v>
                </c:pt>
                <c:pt idx="566">
                  <c:v>1805000</c:v>
                </c:pt>
                <c:pt idx="567">
                  <c:v>1810000</c:v>
                </c:pt>
                <c:pt idx="568">
                  <c:v>1815000</c:v>
                </c:pt>
                <c:pt idx="569">
                  <c:v>1820000</c:v>
                </c:pt>
                <c:pt idx="570">
                  <c:v>1825000</c:v>
                </c:pt>
                <c:pt idx="571">
                  <c:v>1830000</c:v>
                </c:pt>
                <c:pt idx="572">
                  <c:v>1835000</c:v>
                </c:pt>
                <c:pt idx="573">
                  <c:v>1840000</c:v>
                </c:pt>
                <c:pt idx="574">
                  <c:v>1845000</c:v>
                </c:pt>
                <c:pt idx="575">
                  <c:v>1850000</c:v>
                </c:pt>
                <c:pt idx="576">
                  <c:v>1855000</c:v>
                </c:pt>
                <c:pt idx="577">
                  <c:v>1860000</c:v>
                </c:pt>
                <c:pt idx="578">
                  <c:v>1865000</c:v>
                </c:pt>
                <c:pt idx="579">
                  <c:v>1870000</c:v>
                </c:pt>
                <c:pt idx="580">
                  <c:v>1875000</c:v>
                </c:pt>
                <c:pt idx="581">
                  <c:v>1880000</c:v>
                </c:pt>
                <c:pt idx="582">
                  <c:v>1885000</c:v>
                </c:pt>
                <c:pt idx="583">
                  <c:v>1890000</c:v>
                </c:pt>
                <c:pt idx="584">
                  <c:v>1895000</c:v>
                </c:pt>
                <c:pt idx="585">
                  <c:v>1900000</c:v>
                </c:pt>
                <c:pt idx="586">
                  <c:v>1905000</c:v>
                </c:pt>
                <c:pt idx="587">
                  <c:v>1910000</c:v>
                </c:pt>
                <c:pt idx="588">
                  <c:v>1915000</c:v>
                </c:pt>
                <c:pt idx="589">
                  <c:v>1920000</c:v>
                </c:pt>
                <c:pt idx="590">
                  <c:v>1925000</c:v>
                </c:pt>
                <c:pt idx="591">
                  <c:v>1930000</c:v>
                </c:pt>
                <c:pt idx="592">
                  <c:v>1935000</c:v>
                </c:pt>
                <c:pt idx="593">
                  <c:v>1940000</c:v>
                </c:pt>
                <c:pt idx="594">
                  <c:v>1945000</c:v>
                </c:pt>
                <c:pt idx="595">
                  <c:v>1950000</c:v>
                </c:pt>
                <c:pt idx="596">
                  <c:v>1955000</c:v>
                </c:pt>
                <c:pt idx="597">
                  <c:v>1960000</c:v>
                </c:pt>
                <c:pt idx="598">
                  <c:v>1965000</c:v>
                </c:pt>
                <c:pt idx="599">
                  <c:v>1970000</c:v>
                </c:pt>
                <c:pt idx="600">
                  <c:v>1975000</c:v>
                </c:pt>
                <c:pt idx="601">
                  <c:v>1980000</c:v>
                </c:pt>
                <c:pt idx="602">
                  <c:v>1985000</c:v>
                </c:pt>
                <c:pt idx="603">
                  <c:v>1990000</c:v>
                </c:pt>
                <c:pt idx="604">
                  <c:v>1995000</c:v>
                </c:pt>
                <c:pt idx="605">
                  <c:v>2000000</c:v>
                </c:pt>
                <c:pt idx="606">
                  <c:v>2250000</c:v>
                </c:pt>
                <c:pt idx="607">
                  <c:v>2500000</c:v>
                </c:pt>
                <c:pt idx="608">
                  <c:v>2750000</c:v>
                </c:pt>
                <c:pt idx="609">
                  <c:v>3000000</c:v>
                </c:pt>
                <c:pt idx="610">
                  <c:v>3250000</c:v>
                </c:pt>
                <c:pt idx="611">
                  <c:v>3500000</c:v>
                </c:pt>
                <c:pt idx="612">
                  <c:v>3750000</c:v>
                </c:pt>
                <c:pt idx="613">
                  <c:v>4000000</c:v>
                </c:pt>
                <c:pt idx="614">
                  <c:v>4250000</c:v>
                </c:pt>
                <c:pt idx="615">
                  <c:v>4500000</c:v>
                </c:pt>
                <c:pt idx="616">
                  <c:v>4750000</c:v>
                </c:pt>
                <c:pt idx="617">
                  <c:v>5000000</c:v>
                </c:pt>
                <c:pt idx="618">
                  <c:v>5100000</c:v>
                </c:pt>
                <c:pt idx="619">
                  <c:v>5200000</c:v>
                </c:pt>
                <c:pt idx="620">
                  <c:v>5300000</c:v>
                </c:pt>
                <c:pt idx="621">
                  <c:v>5400000</c:v>
                </c:pt>
                <c:pt idx="622">
                  <c:v>5500000</c:v>
                </c:pt>
                <c:pt idx="623">
                  <c:v>5600000</c:v>
                </c:pt>
                <c:pt idx="624">
                  <c:v>5700000</c:v>
                </c:pt>
                <c:pt idx="625">
                  <c:v>5800000</c:v>
                </c:pt>
                <c:pt idx="626">
                  <c:v>5900000</c:v>
                </c:pt>
                <c:pt idx="627">
                  <c:v>6000000</c:v>
                </c:pt>
                <c:pt idx="628">
                  <c:v>6100000</c:v>
                </c:pt>
                <c:pt idx="629">
                  <c:v>6200000</c:v>
                </c:pt>
                <c:pt idx="630">
                  <c:v>6300000</c:v>
                </c:pt>
                <c:pt idx="631">
                  <c:v>6400000</c:v>
                </c:pt>
                <c:pt idx="632">
                  <c:v>6500000</c:v>
                </c:pt>
                <c:pt idx="633">
                  <c:v>6600000</c:v>
                </c:pt>
                <c:pt idx="634">
                  <c:v>6700000</c:v>
                </c:pt>
                <c:pt idx="635">
                  <c:v>6800000</c:v>
                </c:pt>
                <c:pt idx="636">
                  <c:v>6900000</c:v>
                </c:pt>
                <c:pt idx="637">
                  <c:v>7000000</c:v>
                </c:pt>
                <c:pt idx="638">
                  <c:v>7100000</c:v>
                </c:pt>
                <c:pt idx="639">
                  <c:v>7200000</c:v>
                </c:pt>
                <c:pt idx="640">
                  <c:v>7300000</c:v>
                </c:pt>
                <c:pt idx="641">
                  <c:v>7400000</c:v>
                </c:pt>
                <c:pt idx="642">
                  <c:v>7500000</c:v>
                </c:pt>
                <c:pt idx="643">
                  <c:v>7600000</c:v>
                </c:pt>
                <c:pt idx="644">
                  <c:v>7700000</c:v>
                </c:pt>
                <c:pt idx="645">
                  <c:v>7800000</c:v>
                </c:pt>
                <c:pt idx="646">
                  <c:v>7900000</c:v>
                </c:pt>
                <c:pt idx="647">
                  <c:v>8000000</c:v>
                </c:pt>
                <c:pt idx="648">
                  <c:v>8100000</c:v>
                </c:pt>
                <c:pt idx="649">
                  <c:v>8200000</c:v>
                </c:pt>
                <c:pt idx="650">
                  <c:v>8300000</c:v>
                </c:pt>
                <c:pt idx="651">
                  <c:v>8400000</c:v>
                </c:pt>
                <c:pt idx="652">
                  <c:v>8500000</c:v>
                </c:pt>
                <c:pt idx="653">
                  <c:v>8600000</c:v>
                </c:pt>
                <c:pt idx="654">
                  <c:v>8700000</c:v>
                </c:pt>
                <c:pt idx="655">
                  <c:v>8800000</c:v>
                </c:pt>
                <c:pt idx="656">
                  <c:v>8900000</c:v>
                </c:pt>
                <c:pt idx="657">
                  <c:v>9000000</c:v>
                </c:pt>
                <c:pt idx="658">
                  <c:v>9100000</c:v>
                </c:pt>
                <c:pt idx="659">
                  <c:v>9200000</c:v>
                </c:pt>
                <c:pt idx="660">
                  <c:v>9300000</c:v>
                </c:pt>
                <c:pt idx="661">
                  <c:v>9400000</c:v>
                </c:pt>
                <c:pt idx="662">
                  <c:v>9500000</c:v>
                </c:pt>
                <c:pt idx="663">
                  <c:v>9600000</c:v>
                </c:pt>
                <c:pt idx="664">
                  <c:v>9700000</c:v>
                </c:pt>
                <c:pt idx="665">
                  <c:v>9800000</c:v>
                </c:pt>
                <c:pt idx="666">
                  <c:v>9900000</c:v>
                </c:pt>
                <c:pt idx="667">
                  <c:v>10000000</c:v>
                </c:pt>
              </c:numCache>
            </c:numRef>
          </c:xVal>
          <c:yVal>
            <c:numRef>
              <c:f>'Bode Plots Calculations'!$BN$9:$BN$676</c:f>
              <c:numCache>
                <c:formatCode>General</c:formatCode>
                <c:ptCount val="668"/>
                <c:pt idx="0">
                  <c:v>-7.6473917161725866E-4</c:v>
                </c:pt>
                <c:pt idx="1">
                  <c:v>-1.5294783540559405E-3</c:v>
                </c:pt>
                <c:pt idx="2">
                  <c:v>-2.2942175581374697E-3</c:v>
                </c:pt>
                <c:pt idx="3">
                  <c:v>-3.0589567946832704E-3</c:v>
                </c:pt>
                <c:pt idx="4">
                  <c:v>-3.8236960745147695E-3</c:v>
                </c:pt>
                <c:pt idx="5">
                  <c:v>-4.5884354084533945E-3</c:v>
                </c:pt>
                <c:pt idx="6">
                  <c:v>-5.3531748073205754E-3</c:v>
                </c:pt>
                <c:pt idx="7">
                  <c:v>-6.1179142819377426E-3</c:v>
                </c:pt>
                <c:pt idx="8">
                  <c:v>-6.8826538431263368E-3</c:v>
                </c:pt>
                <c:pt idx="9">
                  <c:v>-7.647393501707794E-3</c:v>
                </c:pt>
                <c:pt idx="10">
                  <c:v>-1.5294797824850147E-2</c:v>
                </c:pt>
                <c:pt idx="11">
                  <c:v>-2.2942223790907035E-2</c:v>
                </c:pt>
                <c:pt idx="12">
                  <c:v>-3.0589682221449206E-2</c:v>
                </c:pt>
                <c:pt idx="13">
                  <c:v>-3.8237183938183643E-2</c:v>
                </c:pt>
                <c:pt idx="14">
                  <c:v>-4.5884739762998943E-2</c:v>
                </c:pt>
                <c:pt idx="15">
                  <c:v>-5.3532360518010691E-2</c:v>
                </c:pt>
                <c:pt idx="16">
                  <c:v>-6.1180057025606936E-2</c:v>
                </c:pt>
                <c:pt idx="17">
                  <c:v>-6.8827840108493535E-2</c:v>
                </c:pt>
                <c:pt idx="18">
                  <c:v>-7.6475720589739588E-2</c:v>
                </c:pt>
                <c:pt idx="19">
                  <c:v>-0.15296226373783126</c:v>
                </c:pt>
                <c:pt idx="20">
                  <c:v>-0.22947045654409171</c:v>
                </c:pt>
                <c:pt idx="21">
                  <c:v>-0.3060111351951279</c:v>
                </c:pt>
                <c:pt idx="22">
                  <c:v>-0.38259514951739121</c:v>
                </c:pt>
                <c:pt idx="23">
                  <c:v>-0.45923336754183702</c:v>
                </c:pt>
                <c:pt idx="24">
                  <c:v>-0.53593668008408324</c:v>
                </c:pt>
                <c:pt idx="25">
                  <c:v>-0.61271600534398507</c:v>
                </c:pt>
                <c:pt idx="26">
                  <c:v>-0.68958229352856604</c:v>
                </c:pt>
                <c:pt idx="27">
                  <c:v>-0.76654653150228313</c:v>
                </c:pt>
                <c:pt idx="28">
                  <c:v>-1.1532246674898847</c:v>
                </c:pt>
                <c:pt idx="29">
                  <c:v>-1.544028963077394</c:v>
                </c:pt>
                <c:pt idx="30">
                  <c:v>-1.9404029255867223</c:v>
                </c:pt>
                <c:pt idx="31">
                  <c:v>-2.343850343325963</c:v>
                </c:pt>
                <c:pt idx="32">
                  <c:v>-2.7559528000953399</c:v>
                </c:pt>
                <c:pt idx="33">
                  <c:v>-3.1783889476558236</c:v>
                </c:pt>
                <c:pt idx="34">
                  <c:v>-3.6129560249419641</c:v>
                </c:pt>
                <c:pt idx="35">
                  <c:v>-4.0615941994801448</c:v>
                </c:pt>
                <c:pt idx="36">
                  <c:v>-4.5264144186480291</c:v>
                </c:pt>
                <c:pt idx="37">
                  <c:v>-5.0097306025716088</c:v>
                </c:pt>
                <c:pt idx="38">
                  <c:v>-5.5140971951933411</c:v>
                </c:pt>
                <c:pt idx="39">
                  <c:v>-6.0423533267012699</c:v>
                </c:pt>
                <c:pt idx="40">
                  <c:v>-6.5976751440541053</c:v>
                </c:pt>
                <c:pt idx="41">
                  <c:v>-7.1836382565235901</c:v>
                </c:pt>
                <c:pt idx="42">
                  <c:v>-7.8042927460570617</c:v>
                </c:pt>
                <c:pt idx="43">
                  <c:v>-8.4642538421514235</c:v>
                </c:pt>
                <c:pt idx="44">
                  <c:v>-9.1688122028442542</c:v>
                </c:pt>
                <c:pt idx="45">
                  <c:v>-9.9240688360146017</c:v>
                </c:pt>
                <c:pt idx="46">
                  <c:v>-10.737101113863082</c:v>
                </c:pt>
                <c:pt idx="47">
                  <c:v>-11.616168173030767</c:v>
                </c:pt>
                <c:pt idx="48">
                  <c:v>-12.570966367835389</c:v>
                </c:pt>
                <c:pt idx="49">
                  <c:v>-13.61294848255903</c:v>
                </c:pt>
                <c:pt idx="50">
                  <c:v>-14.755724230454543</c:v>
                </c:pt>
                <c:pt idx="51">
                  <c:v>-16.015564227869262</c:v>
                </c:pt>
                <c:pt idx="52">
                  <c:v>-17.412034994106214</c:v>
                </c:pt>
                <c:pt idx="53">
                  <c:v>-18.968797979512804</c:v>
                </c:pt>
                <c:pt idx="54">
                  <c:v>-20.714609489441507</c:v>
                </c:pt>
                <c:pt idx="55">
                  <c:v>-22.68455670536753</c:v>
                </c:pt>
                <c:pt idx="56">
                  <c:v>-24.921549211207054</c:v>
                </c:pt>
                <c:pt idx="57">
                  <c:v>-27.478037749435376</c:v>
                </c:pt>
                <c:pt idx="58">
                  <c:v>-30.417817458382657</c:v>
                </c:pt>
                <c:pt idx="59">
                  <c:v>-33.817527430183532</c:v>
                </c:pt>
                <c:pt idx="60">
                  <c:v>-37.766976806217812</c:v>
                </c:pt>
                <c:pt idx="61">
                  <c:v>-42.366575631976787</c:v>
                </c:pt>
                <c:pt idx="62">
                  <c:v>-47.718877537563159</c:v>
                </c:pt>
                <c:pt idx="63">
                  <c:v>-53.9099787387159</c:v>
                </c:pt>
                <c:pt idx="64">
                  <c:v>-60.977001278659266</c:v>
                </c:pt>
                <c:pt idx="65">
                  <c:v>-68.863809274052244</c:v>
                </c:pt>
                <c:pt idx="66">
                  <c:v>-77.381457791908389</c:v>
                </c:pt>
                <c:pt idx="67">
                  <c:v>-86.205295659852212</c:v>
                </c:pt>
                <c:pt idx="68">
                  <c:v>-94.93341521562256</c:v>
                </c:pt>
                <c:pt idx="69">
                  <c:v>-103.18844825974993</c:v>
                </c:pt>
                <c:pt idx="70">
                  <c:v>-110.70499525285554</c:v>
                </c:pt>
                <c:pt idx="71">
                  <c:v>-117.35877887729563</c:v>
                </c:pt>
                <c:pt idx="72">
                  <c:v>-123.14247073250537</c:v>
                </c:pt>
                <c:pt idx="73">
                  <c:v>-128.12073181468463</c:v>
                </c:pt>
                <c:pt idx="74">
                  <c:v>-132.39036723400417</c:v>
                </c:pt>
                <c:pt idx="75">
                  <c:v>-136.05450070790678</c:v>
                </c:pt>
                <c:pt idx="76">
                  <c:v>-139.20922554834792</c:v>
                </c:pt>
                <c:pt idx="77">
                  <c:v>-141.93832736937674</c:v>
                </c:pt>
                <c:pt idx="78">
                  <c:v>-144.3123366551323</c:v>
                </c:pt>
                <c:pt idx="79">
                  <c:v>-146.38954816556858</c:v>
                </c:pt>
                <c:pt idx="80">
                  <c:v>-148.21773222462551</c:v>
                </c:pt>
                <c:pt idx="81">
                  <c:v>-149.83592803987491</c:v>
                </c:pt>
                <c:pt idx="82">
                  <c:v>-151.27606603467439</c:v>
                </c:pt>
                <c:pt idx="83">
                  <c:v>-152.56434078451716</c:v>
                </c:pt>
                <c:pt idx="84">
                  <c:v>-153.72233393794266</c:v>
                </c:pt>
                <c:pt idx="85">
                  <c:v>-154.76791641178545</c:v>
                </c:pt>
                <c:pt idx="86">
                  <c:v>-155.71596691385298</c:v>
                </c:pt>
                <c:pt idx="87">
                  <c:v>-156.57894224886886</c:v>
                </c:pt>
                <c:pt idx="88">
                  <c:v>-157.36732995144206</c:v>
                </c:pt>
                <c:pt idx="89">
                  <c:v>-158.09000825385769</c:v>
                </c:pt>
                <c:pt idx="90">
                  <c:v>-158.75453331899783</c:v>
                </c:pt>
                <c:pt idx="91">
                  <c:v>-159.36736939307721</c:v>
                </c:pt>
                <c:pt idx="92">
                  <c:v>-159.93407408424994</c:v>
                </c:pt>
                <c:pt idx="93">
                  <c:v>-160.45944825583723</c:v>
                </c:pt>
                <c:pt idx="94">
                  <c:v>-160.94765790903409</c:v>
                </c:pt>
                <c:pt idx="95">
                  <c:v>-161.40233379620443</c:v>
                </c:pt>
                <c:pt idx="96">
                  <c:v>-161.82665324656372</c:v>
                </c:pt>
                <c:pt idx="97">
                  <c:v>-162.22340771550179</c:v>
                </c:pt>
                <c:pt idx="98">
                  <c:v>-162.59505881967448</c:v>
                </c:pt>
                <c:pt idx="99">
                  <c:v>-162.94378504026025</c:v>
                </c:pt>
                <c:pt idx="100">
                  <c:v>-163.27152082662647</c:v>
                </c:pt>
                <c:pt idx="101">
                  <c:v>-163.57998948176638</c:v>
                </c:pt>
                <c:pt idx="102">
                  <c:v>-163.8707309362247</c:v>
                </c:pt>
                <c:pt idx="103">
                  <c:v>-164.1451253013206</c:v>
                </c:pt>
                <c:pt idx="104">
                  <c:v>-164.40441292198568</c:v>
                </c:pt>
                <c:pt idx="105">
                  <c:v>-164.64971151430211</c:v>
                </c:pt>
                <c:pt idx="106">
                  <c:v>-164.88203086507698</c:v>
                </c:pt>
                <c:pt idx="107">
                  <c:v>-165.10228548455757</c:v>
                </c:pt>
                <c:pt idx="108">
                  <c:v>-165.3113055340776</c:v>
                </c:pt>
                <c:pt idx="109">
                  <c:v>-165.50984629447089</c:v>
                </c:pt>
                <c:pt idx="110">
                  <c:v>-165.6985963957259</c:v>
                </c:pt>
                <c:pt idx="111">
                  <c:v>-165.8781849914335</c:v>
                </c:pt>
                <c:pt idx="112">
                  <c:v>-166.04918803140197</c:v>
                </c:pt>
                <c:pt idx="113">
                  <c:v>-166.21213376105959</c:v>
                </c:pt>
                <c:pt idx="114">
                  <c:v>-166.36750755587497</c:v>
                </c:pt>
                <c:pt idx="115">
                  <c:v>-166.51575618217456</c:v>
                </c:pt>
                <c:pt idx="116">
                  <c:v>-166.65729156175834</c:v>
                </c:pt>
                <c:pt idx="117">
                  <c:v>-166.79249410608111</c:v>
                </c:pt>
                <c:pt idx="118">
                  <c:v>-166.92171567604723</c:v>
                </c:pt>
                <c:pt idx="119">
                  <c:v>-167.04528221532934</c:v>
                </c:pt>
                <c:pt idx="120">
                  <c:v>-167.16349609827458</c:v>
                </c:pt>
                <c:pt idx="121">
                  <c:v>-167.27663822769736</c:v>
                </c:pt>
                <c:pt idx="122">
                  <c:v>-167.38496991297637</c:v>
                </c:pt>
                <c:pt idx="123">
                  <c:v>-167.48873455473938</c:v>
                </c:pt>
                <c:pt idx="124">
                  <c:v>-167.58815915890128</c:v>
                </c:pt>
                <c:pt idx="125">
                  <c:v>-167.68345569982196</c:v>
                </c:pt>
                <c:pt idx="126">
                  <c:v>-167.77482234978717</c:v>
                </c:pt>
                <c:pt idx="127">
                  <c:v>-167.86244458981753</c:v>
                </c:pt>
                <c:pt idx="128">
                  <c:v>-167.94649621492397</c:v>
                </c:pt>
                <c:pt idx="129">
                  <c:v>-168.02714024530181</c:v>
                </c:pt>
                <c:pt idx="130">
                  <c:v>-168.10452975355176</c:v>
                </c:pt>
                <c:pt idx="131">
                  <c:v>-168.17880861680212</c:v>
                </c:pt>
                <c:pt idx="132">
                  <c:v>-168.25011220155477</c:v>
                </c:pt>
                <c:pt idx="133">
                  <c:v>-168.31856798816065</c:v>
                </c:pt>
                <c:pt idx="134">
                  <c:v>-168.38429614103555</c:v>
                </c:pt>
                <c:pt idx="135">
                  <c:v>-168.44741003003116</c:v>
                </c:pt>
                <c:pt idx="136">
                  <c:v>-168.50801670776957</c:v>
                </c:pt>
                <c:pt idx="137">
                  <c:v>-168.56621734721614</c:v>
                </c:pt>
                <c:pt idx="138">
                  <c:v>-168.62210764329944</c:v>
                </c:pt>
                <c:pt idx="139">
                  <c:v>-168.6757781819768</c:v>
                </c:pt>
                <c:pt idx="140">
                  <c:v>-168.72731477978098</c:v>
                </c:pt>
                <c:pt idx="141">
                  <c:v>-168.77679879656685</c:v>
                </c:pt>
                <c:pt idx="142">
                  <c:v>-168.82430742389283</c:v>
                </c:pt>
                <c:pt idx="143">
                  <c:v>-168.86991395122391</c:v>
                </c:pt>
                <c:pt idx="144">
                  <c:v>-168.91368801192161</c:v>
                </c:pt>
                <c:pt idx="145">
                  <c:v>-168.95569581078993</c:v>
                </c:pt>
                <c:pt idx="146">
                  <c:v>-168.99600033477103</c:v>
                </c:pt>
                <c:pt idx="147">
                  <c:v>-169.03466154823064</c:v>
                </c:pt>
                <c:pt idx="148">
                  <c:v>-169.0717365741325</c:v>
                </c:pt>
                <c:pt idx="149">
                  <c:v>-169.10727986227931</c:v>
                </c:pt>
                <c:pt idx="150">
                  <c:v>-169.14134334568499</c:v>
                </c:pt>
                <c:pt idx="151">
                  <c:v>-169.17397658604565</c:v>
                </c:pt>
                <c:pt idx="152">
                  <c:v>-169.20522690918659</c:v>
                </c:pt>
                <c:pt idx="153">
                  <c:v>-169.23513953128361</c:v>
                </c:pt>
                <c:pt idx="154">
                  <c:v>-169.26375767658388</c:v>
                </c:pt>
                <c:pt idx="155">
                  <c:v>-169.29112268728949</c:v>
                </c:pt>
                <c:pt idx="156">
                  <c:v>-169.31727412620521</c:v>
                </c:pt>
                <c:pt idx="157">
                  <c:v>-169.34224987270275</c:v>
                </c:pt>
                <c:pt idx="158">
                  <c:v>-169.36608621250429</c:v>
                </c:pt>
                <c:pt idx="159">
                  <c:v>-169.38881792174578</c:v>
                </c:pt>
                <c:pt idx="160">
                  <c:v>-169.41047834574204</c:v>
                </c:pt>
                <c:pt idx="161">
                  <c:v>-169.4310994728398</c:v>
                </c:pt>
                <c:pt idx="162">
                  <c:v>-169.45071200371405</c:v>
                </c:pt>
                <c:pt idx="163">
                  <c:v>-169.46934541643193</c:v>
                </c:pt>
                <c:pt idx="164">
                  <c:v>-169.48702802758547</c:v>
                </c:pt>
                <c:pt idx="165">
                  <c:v>-169.5037870497662</c:v>
                </c:pt>
                <c:pt idx="166">
                  <c:v>-169.5196486456372</c:v>
                </c:pt>
                <c:pt idx="167">
                  <c:v>-169.53463797883501</c:v>
                </c:pt>
                <c:pt idx="168">
                  <c:v>-169.54877926191676</c:v>
                </c:pt>
                <c:pt idx="169">
                  <c:v>-169.56209580155209</c:v>
                </c:pt>
                <c:pt idx="170">
                  <c:v>-169.57461004114293</c:v>
                </c:pt>
                <c:pt idx="171">
                  <c:v>-169.58634360104122</c:v>
                </c:pt>
                <c:pt idx="172">
                  <c:v>-169.59731731652121</c:v>
                </c:pt>
                <c:pt idx="173">
                  <c:v>-169.60755127365266</c:v>
                </c:pt>
                <c:pt idx="174">
                  <c:v>-169.61706484320845</c:v>
                </c:pt>
                <c:pt idx="175">
                  <c:v>-169.62587671273272</c:v>
                </c:pt>
                <c:pt idx="176">
                  <c:v>-169.63400491688483</c:v>
                </c:pt>
                <c:pt idx="177">
                  <c:v>-169.64146686616664</c:v>
                </c:pt>
                <c:pt idx="178">
                  <c:v>-169.64827937413375</c:v>
                </c:pt>
                <c:pt idx="179">
                  <c:v>-169.65445868318301</c:v>
                </c:pt>
                <c:pt idx="180">
                  <c:v>-169.66002048900333</c:v>
                </c:pt>
                <c:pt idx="181">
                  <c:v>-169.66497996376981</c:v>
                </c:pt>
                <c:pt idx="182">
                  <c:v>-169.66935177815694</c:v>
                </c:pt>
                <c:pt idx="183">
                  <c:v>-169.67315012224003</c:v>
                </c:pt>
                <c:pt idx="184">
                  <c:v>-169.67638872535062</c:v>
                </c:pt>
                <c:pt idx="185">
                  <c:v>-169.67908087494669</c:v>
                </c:pt>
                <c:pt idx="186">
                  <c:v>-169.68123943455419</c:v>
                </c:pt>
                <c:pt idx="187">
                  <c:v>-169.68287686083363</c:v>
                </c:pt>
                <c:pt idx="188">
                  <c:v>-169.68400521982065</c:v>
                </c:pt>
                <c:pt idx="189">
                  <c:v>-169.68463620238794</c:v>
                </c:pt>
                <c:pt idx="190">
                  <c:v>-169.68478113897092</c:v>
                </c:pt>
                <c:pt idx="191">
                  <c:v>-169.68445101359913</c:v>
                </c:pt>
                <c:pt idx="192">
                  <c:v>-169.68365647727029</c:v>
                </c:pt>
                <c:pt idx="193">
                  <c:v>-169.68240786070396</c:v>
                </c:pt>
                <c:pt idx="194">
                  <c:v>-169.68071518650729</c:v>
                </c:pt>
                <c:pt idx="195">
                  <c:v>-169.67858818078525</c:v>
                </c:pt>
                <c:pt idx="196">
                  <c:v>-169.67603628422435</c:v>
                </c:pt>
                <c:pt idx="197">
                  <c:v>-169.67306866267813</c:v>
                </c:pt>
                <c:pt idx="198">
                  <c:v>-169.66969421727981</c:v>
                </c:pt>
                <c:pt idx="199">
                  <c:v>-169.66592159410743</c:v>
                </c:pt>
                <c:pt idx="200">
                  <c:v>-169.66175919342416</c:v>
                </c:pt>
                <c:pt idx="201">
                  <c:v>-169.65721517851577</c:v>
                </c:pt>
                <c:pt idx="202">
                  <c:v>-169.65229748414529</c:v>
                </c:pt>
                <c:pt idx="203">
                  <c:v>-169.64701382464483</c:v>
                </c:pt>
                <c:pt idx="204">
                  <c:v>-169.64137170166225</c:v>
                </c:pt>
                <c:pt idx="205">
                  <c:v>-169.63537841157967</c:v>
                </c:pt>
                <c:pt idx="206">
                  <c:v>-169.62904105262106</c:v>
                </c:pt>
                <c:pt idx="207">
                  <c:v>-169.62236653166246</c:v>
                </c:pt>
                <c:pt idx="208">
                  <c:v>-169.61536157076105</c:v>
                </c:pt>
                <c:pt idx="209">
                  <c:v>-169.6080327134153</c:v>
                </c:pt>
                <c:pt idx="210">
                  <c:v>-169.60038633056985</c:v>
                </c:pt>
                <c:pt idx="211">
                  <c:v>-169.59242862637714</c:v>
                </c:pt>
                <c:pt idx="212">
                  <c:v>-169.58416564372683</c:v>
                </c:pt>
                <c:pt idx="213">
                  <c:v>-169.57560326955473</c:v>
                </c:pt>
                <c:pt idx="214">
                  <c:v>-169.56674723994075</c:v>
                </c:pt>
                <c:pt idx="215">
                  <c:v>-169.55760314500617</c:v>
                </c:pt>
                <c:pt idx="216">
                  <c:v>-169.54817643361918</c:v>
                </c:pt>
                <c:pt idx="217">
                  <c:v>-169.53847241791726</c:v>
                </c:pt>
                <c:pt idx="218">
                  <c:v>-169.52849627765571</c:v>
                </c:pt>
                <c:pt idx="219">
                  <c:v>-169.51825306438846</c:v>
                </c:pt>
                <c:pt idx="220">
                  <c:v>-169.50774770549049</c:v>
                </c:pt>
                <c:pt idx="221">
                  <c:v>-169.49698500802742</c:v>
                </c:pt>
                <c:pt idx="222">
                  <c:v>-169.48596966248027</c:v>
                </c:pt>
                <c:pt idx="223">
                  <c:v>-169.47470624633036</c:v>
                </c:pt>
                <c:pt idx="224">
                  <c:v>-169.46319922751204</c:v>
                </c:pt>
                <c:pt idx="225">
                  <c:v>-169.45145296773754</c:v>
                </c:pt>
                <c:pt idx="226">
                  <c:v>-169.32172182475486</c:v>
                </c:pt>
                <c:pt idx="227">
                  <c:v>-169.17218563333014</c:v>
                </c:pt>
                <c:pt idx="228">
                  <c:v>-169.00586309911364</c:v>
                </c:pt>
                <c:pt idx="229">
                  <c:v>-168.82519959907609</c:v>
                </c:pt>
                <c:pt idx="230">
                  <c:v>-168.63219950676682</c:v>
                </c:pt>
                <c:pt idx="231">
                  <c:v>-168.42852316622032</c:v>
                </c:pt>
                <c:pt idx="232">
                  <c:v>-168.21555912681731</c:v>
                </c:pt>
                <c:pt idx="233">
                  <c:v>-167.99447874550077</c:v>
                </c:pt>
                <c:pt idx="234">
                  <c:v>-167.76627801184708</c:v>
                </c:pt>
                <c:pt idx="235">
                  <c:v>-167.53180997454487</c:v>
                </c:pt>
                <c:pt idx="236">
                  <c:v>-167.29181015939238</c:v>
                </c:pt>
                <c:pt idx="237">
                  <c:v>-167.04691669542416</c:v>
                </c:pt>
                <c:pt idx="238">
                  <c:v>-166.79768639924714</c:v>
                </c:pt>
                <c:pt idx="239">
                  <c:v>-166.54460773960366</c:v>
                </c:pt>
                <c:pt idx="240">
                  <c:v>-166.28811137024229</c:v>
                </c:pt>
                <c:pt idx="241">
                  <c:v>-166.02857875021451</c:v>
                </c:pt>
                <c:pt idx="242">
                  <c:v>-165.76634924720909</c:v>
                </c:pt>
                <c:pt idx="243">
                  <c:v>-165.50172602826308</c:v>
                </c:pt>
                <c:pt idx="244">
                  <c:v>-165.2349809740264</c:v>
                </c:pt>
                <c:pt idx="245">
                  <c:v>-164.96635880137063</c:v>
                </c:pt>
                <c:pt idx="246">
                  <c:v>-164.69608054003962</c:v>
                </c:pt>
                <c:pt idx="247">
                  <c:v>-164.42434647904349</c:v>
                </c:pt>
                <c:pt idx="248">
                  <c:v>-164.15133867530415</c:v>
                </c:pt>
                <c:pt idx="249">
                  <c:v>-163.87722309898797</c:v>
                </c:pt>
                <c:pt idx="250">
                  <c:v>-163.60215147578106</c:v>
                </c:pt>
                <c:pt idx="251">
                  <c:v>-163.3262628751622</c:v>
                </c:pt>
                <c:pt idx="252">
                  <c:v>-163.04968508482483</c:v>
                </c:pt>
                <c:pt idx="253">
                  <c:v>-162.7725358042822</c:v>
                </c:pt>
                <c:pt idx="254">
                  <c:v>-162.49492368496303</c:v>
                </c:pt>
                <c:pt idx="255">
                  <c:v>-162.21694923947746</c:v>
                </c:pt>
                <c:pt idx="256">
                  <c:v>-161.93870563897235</c:v>
                </c:pt>
                <c:pt idx="257">
                  <c:v>-161.6602794144224</c:v>
                </c:pt>
                <c:pt idx="258">
                  <c:v>-161.38175107518398</c:v>
                </c:pt>
                <c:pt idx="259">
                  <c:v>-161.10319565606346</c:v>
                </c:pt>
                <c:pt idx="260">
                  <c:v>-160.82468320243075</c:v>
                </c:pt>
                <c:pt idx="261">
                  <c:v>-160.54627920148351</c:v>
                </c:pt>
                <c:pt idx="262">
                  <c:v>-160.26804496657508</c:v>
                </c:pt>
                <c:pt idx="263">
                  <c:v>-159.99003798052237</c:v>
                </c:pt>
                <c:pt idx="264">
                  <c:v>-159.71231220297221</c:v>
                </c:pt>
                <c:pt idx="265">
                  <c:v>-159.43491834619786</c:v>
                </c:pt>
                <c:pt idx="266">
                  <c:v>-159.15790412310071</c:v>
                </c:pt>
                <c:pt idx="267">
                  <c:v>-158.88131447068392</c:v>
                </c:pt>
                <c:pt idx="268">
                  <c:v>-158.60519175183438</c:v>
                </c:pt>
                <c:pt idx="269">
                  <c:v>-158.32957593788018</c:v>
                </c:pt>
                <c:pt idx="270">
                  <c:v>-158.05450477407564</c:v>
                </c:pt>
                <c:pt idx="271">
                  <c:v>-157.78001392989532</c:v>
                </c:pt>
                <c:pt idx="272">
                  <c:v>-157.50613713578534</c:v>
                </c:pt>
                <c:pt idx="273">
                  <c:v>-157.23290630781946</c:v>
                </c:pt>
                <c:pt idx="274">
                  <c:v>-156.9603516615328</c:v>
                </c:pt>
                <c:pt idx="275">
                  <c:v>-156.68850181605697</c:v>
                </c:pt>
                <c:pt idx="276">
                  <c:v>-156.4173838895469</c:v>
                </c:pt>
                <c:pt idx="277">
                  <c:v>-156.14702358677872</c:v>
                </c:pt>
                <c:pt idx="278">
                  <c:v>-155.87744527969474</c:v>
                </c:pt>
                <c:pt idx="279">
                  <c:v>-155.60867208158871</c:v>
                </c:pt>
                <c:pt idx="280">
                  <c:v>-155.34072591554389</c:v>
                </c:pt>
                <c:pt idx="281">
                  <c:v>-155.07362757767359</c:v>
                </c:pt>
                <c:pt idx="282">
                  <c:v>-154.80739679565181</c:v>
                </c:pt>
                <c:pt idx="283">
                  <c:v>-154.5420522829709</c:v>
                </c:pt>
                <c:pt idx="284">
                  <c:v>-154.27761178931817</c:v>
                </c:pt>
                <c:pt idx="285">
                  <c:v>-154.01409214742068</c:v>
                </c:pt>
                <c:pt idx="286">
                  <c:v>-153.75150931667423</c:v>
                </c:pt>
                <c:pt idx="287">
                  <c:v>-153.48987842383769</c:v>
                </c:pt>
                <c:pt idx="288">
                  <c:v>-153.22921380104904</c:v>
                </c:pt>
                <c:pt idx="289">
                  <c:v>-152.96952902139074</c:v>
                </c:pt>
                <c:pt idx="290">
                  <c:v>-152.71083693221226</c:v>
                </c:pt>
                <c:pt idx="291">
                  <c:v>-152.45314968639613</c:v>
                </c:pt>
                <c:pt idx="292">
                  <c:v>-152.19647877173699</c:v>
                </c:pt>
                <c:pt idx="293">
                  <c:v>-151.94083503858596</c:v>
                </c:pt>
                <c:pt idx="294">
                  <c:v>-151.6862287258991</c:v>
                </c:pt>
                <c:pt idx="295">
                  <c:v>-151.43266948581629</c:v>
                </c:pt>
                <c:pt idx="296">
                  <c:v>-151.18016640688367</c:v>
                </c:pt>
                <c:pt idx="297">
                  <c:v>-150.92872803602407</c:v>
                </c:pt>
                <c:pt idx="298">
                  <c:v>-150.67836239935016</c:v>
                </c:pt>
                <c:pt idx="299">
                  <c:v>-150.42907702190536</c:v>
                </c:pt>
                <c:pt idx="300">
                  <c:v>-150.18087894641164</c:v>
                </c:pt>
                <c:pt idx="301">
                  <c:v>-149.93377475109588</c:v>
                </c:pt>
                <c:pt idx="302">
                  <c:v>-149.68777056665922</c:v>
                </c:pt>
                <c:pt idx="303">
                  <c:v>-149.44287209245036</c:v>
                </c:pt>
                <c:pt idx="304">
                  <c:v>-149.19908461189621</c:v>
                </c:pt>
                <c:pt idx="305">
                  <c:v>-148.95641300724083</c:v>
                </c:pt>
                <c:pt idx="306">
                  <c:v>-148.71486177363806</c:v>
                </c:pt>
                <c:pt idx="307">
                  <c:v>-148.47443503264014</c:v>
                </c:pt>
                <c:pt idx="308">
                  <c:v>-148.2351365451205</c:v>
                </c:pt>
                <c:pt idx="309">
                  <c:v>-147.99696972366661</c:v>
                </c:pt>
                <c:pt idx="310">
                  <c:v>-147.75993764447551</c:v>
                </c:pt>
                <c:pt idx="311">
                  <c:v>-147.52404305878161</c:v>
                </c:pt>
                <c:pt idx="312">
                  <c:v>-147.28928840384484</c:v>
                </c:pt>
                <c:pt idx="313">
                  <c:v>-147.0556758135242</c:v>
                </c:pt>
                <c:pt idx="314">
                  <c:v>-146.82320712846109</c:v>
                </c:pt>
                <c:pt idx="315">
                  <c:v>-146.59188390589262</c:v>
                </c:pt>
                <c:pt idx="316">
                  <c:v>-146.36170742911671</c:v>
                </c:pt>
                <c:pt idx="317">
                  <c:v>-146.13267871662615</c:v>
                </c:pt>
                <c:pt idx="318">
                  <c:v>-145.90479853092953</c:v>
                </c:pt>
                <c:pt idx="319">
                  <c:v>-145.67806738707489</c:v>
                </c:pt>
                <c:pt idx="320">
                  <c:v>-145.45248556089052</c:v>
                </c:pt>
                <c:pt idx="321">
                  <c:v>-145.22805309695701</c:v>
                </c:pt>
                <c:pt idx="322">
                  <c:v>-145.00476981632309</c:v>
                </c:pt>
                <c:pt idx="323">
                  <c:v>-144.78263532397736</c:v>
                </c:pt>
                <c:pt idx="324">
                  <c:v>-144.56164901608636</c:v>
                </c:pt>
                <c:pt idx="325">
                  <c:v>-144.34181008700992</c:v>
                </c:pt>
                <c:pt idx="326">
                  <c:v>-144.12311753610336</c:v>
                </c:pt>
                <c:pt idx="327">
                  <c:v>-143.9055701743147</c:v>
                </c:pt>
                <c:pt idx="328">
                  <c:v>-143.68916663058644</c:v>
                </c:pt>
                <c:pt idx="329">
                  <c:v>-143.47390535806883</c:v>
                </c:pt>
                <c:pt idx="330">
                  <c:v>-143.25978464015245</c:v>
                </c:pt>
                <c:pt idx="331">
                  <c:v>-143.04680259632676</c:v>
                </c:pt>
                <c:pt idx="332">
                  <c:v>-142.83495718787162</c:v>
                </c:pt>
                <c:pt idx="333">
                  <c:v>-142.62424622338671</c:v>
                </c:pt>
                <c:pt idx="334">
                  <c:v>-142.41466736416632</c:v>
                </c:pt>
                <c:pt idx="335">
                  <c:v>-142.20621812942326</c:v>
                </c:pt>
                <c:pt idx="336">
                  <c:v>-141.99889590136792</c:v>
                </c:pt>
                <c:pt idx="337">
                  <c:v>-141.79269793014723</c:v>
                </c:pt>
                <c:pt idx="338">
                  <c:v>-141.58762133864784</c:v>
                </c:pt>
                <c:pt idx="339">
                  <c:v>-141.38366312716781</c:v>
                </c:pt>
                <c:pt idx="340">
                  <c:v>-141.18082017796158</c:v>
                </c:pt>
                <c:pt idx="341">
                  <c:v>-140.97908925966092</c:v>
                </c:pt>
                <c:pt idx="342">
                  <c:v>-140.77846703157681</c:v>
                </c:pt>
                <c:pt idx="343">
                  <c:v>-140.578950047885</c:v>
                </c:pt>
                <c:pt idx="344">
                  <c:v>-140.38053476169893</c:v>
                </c:pt>
                <c:pt idx="345">
                  <c:v>-140.18321752903313</c:v>
                </c:pt>
                <c:pt idx="346">
                  <c:v>-139.9869946126602</c:v>
                </c:pt>
                <c:pt idx="347">
                  <c:v>-139.79186218586423</c:v>
                </c:pt>
                <c:pt idx="348">
                  <c:v>-139.59781633609376</c:v>
                </c:pt>
                <c:pt idx="349">
                  <c:v>-139.40485306851662</c:v>
                </c:pt>
                <c:pt idx="350">
                  <c:v>-139.21296830947941</c:v>
                </c:pt>
                <c:pt idx="351">
                  <c:v>-139.02215790987404</c:v>
                </c:pt>
                <c:pt idx="352">
                  <c:v>-138.83241764841424</c:v>
                </c:pt>
                <c:pt idx="353">
                  <c:v>-138.64374323482329</c:v>
                </c:pt>
                <c:pt idx="354">
                  <c:v>-138.45613031293627</c:v>
                </c:pt>
                <c:pt idx="355">
                  <c:v>-138.2695744637185</c:v>
                </c:pt>
                <c:pt idx="356">
                  <c:v>-138.08407120820206</c:v>
                </c:pt>
                <c:pt idx="357">
                  <c:v>-137.89961601034292</c:v>
                </c:pt>
                <c:pt idx="358">
                  <c:v>-137.71620427980039</c:v>
                </c:pt>
                <c:pt idx="359">
                  <c:v>-137.53383137464041</c:v>
                </c:pt>
                <c:pt idx="360">
                  <c:v>-137.35249260396512</c:v>
                </c:pt>
                <c:pt idx="361">
                  <c:v>-137.17218323047032</c:v>
                </c:pt>
                <c:pt idx="362">
                  <c:v>-136.99289847293215</c:v>
                </c:pt>
                <c:pt idx="363">
                  <c:v>-136.81463350862518</c:v>
                </c:pt>
                <c:pt idx="364">
                  <c:v>-136.63738347567326</c:v>
                </c:pt>
                <c:pt idx="365">
                  <c:v>-136.46114347533484</c:v>
                </c:pt>
                <c:pt idx="366">
                  <c:v>-136.28590857422418</c:v>
                </c:pt>
                <c:pt idx="367">
                  <c:v>-136.11167380647021</c:v>
                </c:pt>
                <c:pt idx="368">
                  <c:v>-135.93843417581391</c:v>
                </c:pt>
                <c:pt idx="369">
                  <c:v>-135.76618465764682</c:v>
                </c:pt>
                <c:pt idx="370">
                  <c:v>-135.59492020099034</c:v>
                </c:pt>
                <c:pt idx="371">
                  <c:v>-135.4246357304192</c:v>
                </c:pt>
                <c:pt idx="372">
                  <c:v>-135.25532614792851</c:v>
                </c:pt>
                <c:pt idx="373">
                  <c:v>-135.08698633474711</c:v>
                </c:pt>
                <c:pt idx="374">
                  <c:v>-134.91961115309797</c:v>
                </c:pt>
                <c:pt idx="375">
                  <c:v>-134.75319544790642</c:v>
                </c:pt>
                <c:pt idx="376">
                  <c:v>-134.58773404845832</c:v>
                </c:pt>
                <c:pt idx="377">
                  <c:v>-134.42322177000887</c:v>
                </c:pt>
                <c:pt idx="378">
                  <c:v>-134.25965341534297</c:v>
                </c:pt>
                <c:pt idx="379">
                  <c:v>-134.09702377628889</c:v>
                </c:pt>
                <c:pt idx="380">
                  <c:v>-133.93532763518581</c:v>
                </c:pt>
                <c:pt idx="381">
                  <c:v>-133.77455976630665</c:v>
                </c:pt>
                <c:pt idx="382">
                  <c:v>-133.61471493723715</c:v>
                </c:pt>
                <c:pt idx="383">
                  <c:v>-133.45578791021202</c:v>
                </c:pt>
                <c:pt idx="384">
                  <c:v>-133.2977734434098</c:v>
                </c:pt>
                <c:pt idx="385">
                  <c:v>-133.1406662922067</c:v>
                </c:pt>
                <c:pt idx="386">
                  <c:v>-132.98446121039066</c:v>
                </c:pt>
                <c:pt idx="387">
                  <c:v>-132.82915295133697</c:v>
                </c:pt>
                <c:pt idx="388">
                  <c:v>-132.67473626914585</c:v>
                </c:pt>
                <c:pt idx="389">
                  <c:v>-132.52120591974295</c:v>
                </c:pt>
                <c:pt idx="390">
                  <c:v>-132.36855666194441</c:v>
                </c:pt>
                <c:pt idx="391">
                  <c:v>-132.21678325848595</c:v>
                </c:pt>
                <c:pt idx="392">
                  <c:v>-132.06588047701851</c:v>
                </c:pt>
                <c:pt idx="393">
                  <c:v>-131.91584309106989</c:v>
                </c:pt>
                <c:pt idx="394">
                  <c:v>-131.76666588097416</c:v>
                </c:pt>
                <c:pt idx="395">
                  <c:v>-131.61834363476891</c:v>
                </c:pt>
                <c:pt idx="396">
                  <c:v>-131.47087114906182</c:v>
                </c:pt>
                <c:pt idx="397">
                  <c:v>-131.32424322986685</c:v>
                </c:pt>
                <c:pt idx="398">
                  <c:v>-131.17845469341103</c:v>
                </c:pt>
                <c:pt idx="399">
                  <c:v>-131.03350036691242</c:v>
                </c:pt>
                <c:pt idx="400">
                  <c:v>-130.88937508933017</c:v>
                </c:pt>
                <c:pt idx="401">
                  <c:v>-130.74607371208737</c:v>
                </c:pt>
                <c:pt idx="402">
                  <c:v>-130.60359109976696</c:v>
                </c:pt>
                <c:pt idx="403">
                  <c:v>-130.46192213078226</c:v>
                </c:pt>
                <c:pt idx="404">
                  <c:v>-130.32106169802188</c:v>
                </c:pt>
                <c:pt idx="405">
                  <c:v>-130.18100470947005</c:v>
                </c:pt>
                <c:pt idx="406">
                  <c:v>-130.04174608880334</c:v>
                </c:pt>
                <c:pt idx="407">
                  <c:v>-129.90328077596371</c:v>
                </c:pt>
                <c:pt idx="408">
                  <c:v>-129.76560372770899</c:v>
                </c:pt>
                <c:pt idx="409">
                  <c:v>-129.62870991814134</c:v>
                </c:pt>
                <c:pt idx="410">
                  <c:v>-129.49259433921401</c:v>
                </c:pt>
                <c:pt idx="411">
                  <c:v>-129.35725200121729</c:v>
                </c:pt>
                <c:pt idx="412">
                  <c:v>-129.22267793324423</c:v>
                </c:pt>
                <c:pt idx="413">
                  <c:v>-129.08886718363593</c:v>
                </c:pt>
                <c:pt idx="414">
                  <c:v>-128.95581482040839</c:v>
                </c:pt>
                <c:pt idx="415">
                  <c:v>-128.82351593165993</c:v>
                </c:pt>
                <c:pt idx="416">
                  <c:v>-128.69196562596056</c:v>
                </c:pt>
                <c:pt idx="417">
                  <c:v>-128.56115903272368</c:v>
                </c:pt>
                <c:pt idx="418">
                  <c:v>-128.43109130256033</c:v>
                </c:pt>
                <c:pt idx="419">
                  <c:v>-128.30175760761685</c:v>
                </c:pt>
                <c:pt idx="420">
                  <c:v>-128.17315314189619</c:v>
                </c:pt>
                <c:pt idx="421">
                  <c:v>-128.0452731215631</c:v>
                </c:pt>
                <c:pt idx="422">
                  <c:v>-127.91811278523421</c:v>
                </c:pt>
                <c:pt idx="423">
                  <c:v>-127.79166739425307</c:v>
                </c:pt>
                <c:pt idx="424">
                  <c:v>-127.66593223295045</c:v>
                </c:pt>
                <c:pt idx="425">
                  <c:v>-127.54090260889089</c:v>
                </c:pt>
                <c:pt idx="426">
                  <c:v>-127.41657385310498</c:v>
                </c:pt>
                <c:pt idx="427">
                  <c:v>-127.29294132030886</c:v>
                </c:pt>
                <c:pt idx="428">
                  <c:v>-127.1700003891104</c:v>
                </c:pt>
                <c:pt idx="429">
                  <c:v>-127.04774646220294</c:v>
                </c:pt>
                <c:pt idx="430">
                  <c:v>-126.92617496654702</c:v>
                </c:pt>
                <c:pt idx="431">
                  <c:v>-126.80528135353987</c:v>
                </c:pt>
                <c:pt idx="432">
                  <c:v>-126.68506109917388</c:v>
                </c:pt>
                <c:pt idx="433">
                  <c:v>-126.56550970418347</c:v>
                </c:pt>
                <c:pt idx="434">
                  <c:v>-126.4466226941817</c:v>
                </c:pt>
                <c:pt idx="435">
                  <c:v>-126.32839561978589</c:v>
                </c:pt>
                <c:pt idx="436">
                  <c:v>-126.21082405673346</c:v>
                </c:pt>
                <c:pt idx="437">
                  <c:v>-126.09390360598775</c:v>
                </c:pt>
                <c:pt idx="438">
                  <c:v>-125.97762989383428</c:v>
                </c:pt>
                <c:pt idx="439">
                  <c:v>-125.86199857196797</c:v>
                </c:pt>
                <c:pt idx="440">
                  <c:v>-125.74700531757126</c:v>
                </c:pt>
                <c:pt idx="441">
                  <c:v>-125.63264583338351</c:v>
                </c:pt>
                <c:pt idx="442">
                  <c:v>-125.51891584776213</c:v>
                </c:pt>
                <c:pt idx="443">
                  <c:v>-125.40581111473564</c:v>
                </c:pt>
                <c:pt idx="444">
                  <c:v>-125.29332741404859</c:v>
                </c:pt>
                <c:pt idx="445">
                  <c:v>-125.18146055119935</c:v>
                </c:pt>
                <c:pt idx="446">
                  <c:v>-125.07020635746993</c:v>
                </c:pt>
                <c:pt idx="447">
                  <c:v>-124.95956068994929</c:v>
                </c:pt>
                <c:pt idx="448">
                  <c:v>-124.84951943154935</c:v>
                </c:pt>
                <c:pt idx="449">
                  <c:v>-124.74007849101459</c:v>
                </c:pt>
                <c:pt idx="450">
                  <c:v>-124.631233802925</c:v>
                </c:pt>
                <c:pt idx="451">
                  <c:v>-124.52298132769303</c:v>
                </c:pt>
                <c:pt idx="452">
                  <c:v>-124.41531705155468</c:v>
                </c:pt>
                <c:pt idx="453">
                  <c:v>-124.30823698655416</c:v>
                </c:pt>
                <c:pt idx="454">
                  <c:v>-124.20173717052376</c:v>
                </c:pt>
                <c:pt idx="455">
                  <c:v>-124.09581366705783</c:v>
                </c:pt>
                <c:pt idx="456">
                  <c:v>-123.99046256548172</c:v>
                </c:pt>
                <c:pt idx="457">
                  <c:v>-123.88567998081572</c:v>
                </c:pt>
                <c:pt idx="458">
                  <c:v>-123.78146205373413</c:v>
                </c:pt>
                <c:pt idx="459">
                  <c:v>-123.67780495051953</c:v>
                </c:pt>
                <c:pt idx="460">
                  <c:v>-123.57470486301301</c:v>
                </c:pt>
                <c:pt idx="461">
                  <c:v>-123.47215800855955</c:v>
                </c:pt>
                <c:pt idx="462">
                  <c:v>-123.3701606299495</c:v>
                </c:pt>
                <c:pt idx="463">
                  <c:v>-123.26870899535619</c:v>
                </c:pt>
                <c:pt idx="464">
                  <c:v>-123.16779939826942</c:v>
                </c:pt>
                <c:pt idx="465">
                  <c:v>-123.06742815742544</c:v>
                </c:pt>
                <c:pt idx="466">
                  <c:v>-122.96759161673326</c:v>
                </c:pt>
                <c:pt idx="467">
                  <c:v>-122.8682861451978</c:v>
                </c:pt>
                <c:pt idx="468">
                  <c:v>-122.76950813683916</c:v>
                </c:pt>
                <c:pt idx="469">
                  <c:v>-122.67125401060973</c:v>
                </c:pt>
                <c:pt idx="470">
                  <c:v>-122.57352021030729</c:v>
                </c:pt>
                <c:pt idx="471">
                  <c:v>-122.47630320448599</c:v>
                </c:pt>
                <c:pt idx="472">
                  <c:v>-122.37959948636392</c:v>
                </c:pt>
                <c:pt idx="473">
                  <c:v>-122.28340557372866</c:v>
                </c:pt>
                <c:pt idx="474">
                  <c:v>-122.18771800883978</c:v>
                </c:pt>
                <c:pt idx="475">
                  <c:v>-122.0925333583294</c:v>
                </c:pt>
                <c:pt idx="476">
                  <c:v>-121.99784821310001</c:v>
                </c:pt>
                <c:pt idx="477">
                  <c:v>-121.90365918822035</c:v>
                </c:pt>
                <c:pt idx="478">
                  <c:v>-121.80996292281904</c:v>
                </c:pt>
                <c:pt idx="479">
                  <c:v>-121.71675607997643</c:v>
                </c:pt>
                <c:pt idx="480">
                  <c:v>-121.62403534661441</c:v>
                </c:pt>
                <c:pt idx="481">
                  <c:v>-121.53179743338418</c:v>
                </c:pt>
                <c:pt idx="482">
                  <c:v>-121.44003907455296</c:v>
                </c:pt>
                <c:pt idx="483">
                  <c:v>-121.34875702788825</c:v>
                </c:pt>
                <c:pt idx="484">
                  <c:v>-121.2579480745412</c:v>
                </c:pt>
                <c:pt idx="485">
                  <c:v>-121.16760901892825</c:v>
                </c:pt>
                <c:pt idx="486">
                  <c:v>-121.07773668861125</c:v>
                </c:pt>
                <c:pt idx="487">
                  <c:v>-120.98832793417674</c:v>
                </c:pt>
                <c:pt idx="488">
                  <c:v>-120.89937962911347</c:v>
                </c:pt>
                <c:pt idx="489">
                  <c:v>-120.81088866968918</c:v>
                </c:pt>
                <c:pt idx="490">
                  <c:v>-120.72285197482599</c:v>
                </c:pt>
                <c:pt idx="491">
                  <c:v>-120.63526648597514</c:v>
                </c:pt>
                <c:pt idx="492">
                  <c:v>-120.54812916699046</c:v>
                </c:pt>
                <c:pt idx="493">
                  <c:v>-120.46143700400101</c:v>
                </c:pt>
                <c:pt idx="494">
                  <c:v>-120.37518700528317</c:v>
                </c:pt>
                <c:pt idx="495">
                  <c:v>-120.28937620113166</c:v>
                </c:pt>
                <c:pt idx="496">
                  <c:v>-120.20400164373</c:v>
                </c:pt>
                <c:pt idx="497">
                  <c:v>-120.11906040702046</c:v>
                </c:pt>
                <c:pt idx="498">
                  <c:v>-120.03454958657308</c:v>
                </c:pt>
                <c:pt idx="499">
                  <c:v>-119.95046629945455</c:v>
                </c:pt>
                <c:pt idx="500">
                  <c:v>-119.86680768409643</c:v>
                </c:pt>
                <c:pt idx="501">
                  <c:v>-119.7835709001629</c:v>
                </c:pt>
                <c:pt idx="502">
                  <c:v>-119.70075312841817</c:v>
                </c:pt>
                <c:pt idx="503">
                  <c:v>-119.61835157059366</c:v>
                </c:pt>
                <c:pt idx="504">
                  <c:v>-119.53636344925476</c:v>
                </c:pt>
                <c:pt idx="505">
                  <c:v>-119.45478600766742</c:v>
                </c:pt>
                <c:pt idx="506">
                  <c:v>-119.37361650966443</c:v>
                </c:pt>
                <c:pt idx="507">
                  <c:v>-119.29285223951173</c:v>
                </c:pt>
                <c:pt idx="508">
                  <c:v>-119.21249050177462</c:v>
                </c:pt>
                <c:pt idx="509">
                  <c:v>-119.13252862118338</c:v>
                </c:pt>
                <c:pt idx="510">
                  <c:v>-119.05296394249964</c:v>
                </c:pt>
                <c:pt idx="511">
                  <c:v>-118.97379383038209</c:v>
                </c:pt>
                <c:pt idx="512">
                  <c:v>-118.8950156692525</c:v>
                </c:pt>
                <c:pt idx="513">
                  <c:v>-118.81662686316187</c:v>
                </c:pt>
                <c:pt idx="514">
                  <c:v>-118.73862483565641</c:v>
                </c:pt>
                <c:pt idx="515">
                  <c:v>-118.66100702964378</c:v>
                </c:pt>
                <c:pt idx="516">
                  <c:v>-118.58377090725963</c:v>
                </c:pt>
                <c:pt idx="517">
                  <c:v>-118.50691394973403</c:v>
                </c:pt>
                <c:pt idx="518">
                  <c:v>-118.43043365725819</c:v>
                </c:pt>
                <c:pt idx="519">
                  <c:v>-118.35432754885174</c:v>
                </c:pt>
                <c:pt idx="520">
                  <c:v>-118.27859316222965</c:v>
                </c:pt>
                <c:pt idx="521">
                  <c:v>-118.20322805367003</c:v>
                </c:pt>
                <c:pt idx="522">
                  <c:v>-118.1282297978818</c:v>
                </c:pt>
                <c:pt idx="523">
                  <c:v>-118.05359598787295</c:v>
                </c:pt>
                <c:pt idx="524">
                  <c:v>-117.97932423481919</c:v>
                </c:pt>
                <c:pt idx="525">
                  <c:v>-117.90541216793245</c:v>
                </c:pt>
                <c:pt idx="526">
                  <c:v>-117.8318574343306</c:v>
                </c:pt>
                <c:pt idx="527">
                  <c:v>-117.75865769890697</c:v>
                </c:pt>
                <c:pt idx="528">
                  <c:v>-117.68581064420032</c:v>
                </c:pt>
                <c:pt idx="529">
                  <c:v>-117.61331397026558</c:v>
                </c:pt>
                <c:pt idx="530">
                  <c:v>-117.54116539454483</c:v>
                </c:pt>
                <c:pt idx="531">
                  <c:v>-117.46936265173888</c:v>
                </c:pt>
                <c:pt idx="532">
                  <c:v>-117.39790349367901</c:v>
                </c:pt>
                <c:pt idx="533">
                  <c:v>-117.32678568919968</c:v>
                </c:pt>
                <c:pt idx="534">
                  <c:v>-117.25600702401157</c:v>
                </c:pt>
                <c:pt idx="535">
                  <c:v>-117.18556530057501</c:v>
                </c:pt>
                <c:pt idx="536">
                  <c:v>-117.1154583379741</c:v>
                </c:pt>
                <c:pt idx="537">
                  <c:v>-117.0456839717916</c:v>
                </c:pt>
                <c:pt idx="538">
                  <c:v>-116.97624005398374</c:v>
                </c:pt>
                <c:pt idx="539">
                  <c:v>-116.90712445275643</c:v>
                </c:pt>
                <c:pt idx="540">
                  <c:v>-116.83833505244144</c:v>
                </c:pt>
                <c:pt idx="541">
                  <c:v>-116.76986975337356</c:v>
                </c:pt>
                <c:pt idx="542">
                  <c:v>-116.70172647176815</c:v>
                </c:pt>
                <c:pt idx="543">
                  <c:v>-116.63390313959938</c:v>
                </c:pt>
                <c:pt idx="544">
                  <c:v>-116.56639770447906</c:v>
                </c:pt>
                <c:pt idx="545">
                  <c:v>-116.49920812953636</c:v>
                </c:pt>
                <c:pt idx="546">
                  <c:v>-116.43233239329774</c:v>
                </c:pt>
                <c:pt idx="547">
                  <c:v>-116.36576848956791</c:v>
                </c:pt>
                <c:pt idx="548">
                  <c:v>-116.29951442731122</c:v>
                </c:pt>
                <c:pt idx="549">
                  <c:v>-116.23356823053386</c:v>
                </c:pt>
                <c:pt idx="550">
                  <c:v>-116.16792793816667</c:v>
                </c:pt>
                <c:pt idx="551">
                  <c:v>-116.10259160394853</c:v>
                </c:pt>
                <c:pt idx="552">
                  <c:v>-116.03755729631072</c:v>
                </c:pt>
                <c:pt idx="553">
                  <c:v>-115.97282309826157</c:v>
                </c:pt>
                <c:pt idx="554">
                  <c:v>-115.90838710727212</c:v>
                </c:pt>
                <c:pt idx="555">
                  <c:v>-115.84424743516243</c:v>
                </c:pt>
                <c:pt idx="556">
                  <c:v>-115.78040220798827</c:v>
                </c:pt>
                <c:pt idx="557">
                  <c:v>-115.71684956592917</c:v>
                </c:pt>
                <c:pt idx="558">
                  <c:v>-115.65358766317632</c:v>
                </c:pt>
                <c:pt idx="559">
                  <c:v>-115.59061466782198</c:v>
                </c:pt>
                <c:pt idx="560">
                  <c:v>-115.52792876174908</c:v>
                </c:pt>
                <c:pt idx="561">
                  <c:v>-115.46552814052168</c:v>
                </c:pt>
                <c:pt idx="562">
                  <c:v>-115.40341101327635</c:v>
                </c:pt>
                <c:pt idx="563">
                  <c:v>-115.34157560261386</c:v>
                </c:pt>
                <c:pt idx="564">
                  <c:v>-115.28002014449193</c:v>
                </c:pt>
                <c:pt idx="565">
                  <c:v>-115.21874288811864</c:v>
                </c:pt>
                <c:pt idx="566">
                  <c:v>-115.1577420958463</c:v>
                </c:pt>
                <c:pt idx="567">
                  <c:v>-115.09701604306652</c:v>
                </c:pt>
                <c:pt idx="568">
                  <c:v>-115.03656301810548</c:v>
                </c:pt>
                <c:pt idx="569">
                  <c:v>-114.97638132212022</c:v>
                </c:pt>
                <c:pt idx="570">
                  <c:v>-114.91646926899574</c:v>
                </c:pt>
                <c:pt idx="571">
                  <c:v>-114.85682518524264</c:v>
                </c:pt>
                <c:pt idx="572">
                  <c:v>-114.79744740989524</c:v>
                </c:pt>
                <c:pt idx="573">
                  <c:v>-114.73833429441115</c:v>
                </c:pt>
                <c:pt idx="574">
                  <c:v>-114.67948420257076</c:v>
                </c:pt>
                <c:pt idx="575">
                  <c:v>-114.62089551037801</c:v>
                </c:pt>
                <c:pt idx="576">
                  <c:v>-114.56256660596158</c:v>
                </c:pt>
                <c:pt idx="577">
                  <c:v>-114.50449588947689</c:v>
                </c:pt>
                <c:pt idx="578">
                  <c:v>-114.44668177300882</c:v>
                </c:pt>
                <c:pt idx="579">
                  <c:v>-114.3891226804752</c:v>
                </c:pt>
                <c:pt idx="580">
                  <c:v>-114.33181704753093</c:v>
                </c:pt>
                <c:pt idx="581">
                  <c:v>-114.27476332147279</c:v>
                </c:pt>
                <c:pt idx="582">
                  <c:v>-114.21795996114498</c:v>
                </c:pt>
                <c:pt idx="583">
                  <c:v>-114.16140543684561</c:v>
                </c:pt>
                <c:pt idx="584">
                  <c:v>-114.10509823023341</c:v>
                </c:pt>
                <c:pt idx="585">
                  <c:v>-114.04903683423551</c:v>
                </c:pt>
                <c:pt idx="586">
                  <c:v>-113.99321975295594</c:v>
                </c:pt>
                <c:pt idx="587">
                  <c:v>-113.93764550158457</c:v>
                </c:pt>
                <c:pt idx="588">
                  <c:v>-113.88231260630702</c:v>
                </c:pt>
                <c:pt idx="589">
                  <c:v>-113.82721960421499</c:v>
                </c:pt>
                <c:pt idx="590">
                  <c:v>-113.77236504321752</c:v>
                </c:pt>
                <c:pt idx="591">
                  <c:v>-113.71774748195291</c:v>
                </c:pt>
                <c:pt idx="592">
                  <c:v>-113.66336548970115</c:v>
                </c:pt>
                <c:pt idx="593">
                  <c:v>-113.60921764629715</c:v>
                </c:pt>
                <c:pt idx="594">
                  <c:v>-113.55530254204477</c:v>
                </c:pt>
                <c:pt idx="595">
                  <c:v>-113.50161877763128</c:v>
                </c:pt>
                <c:pt idx="596">
                  <c:v>-113.44816496404273</c:v>
                </c:pt>
                <c:pt idx="597">
                  <c:v>-113.39493972247971</c:v>
                </c:pt>
                <c:pt idx="598">
                  <c:v>-113.34194168427416</c:v>
                </c:pt>
                <c:pt idx="599">
                  <c:v>-113.2891694908065</c:v>
                </c:pt>
                <c:pt idx="600">
                  <c:v>-113.23662179342357</c:v>
                </c:pt>
                <c:pt idx="601">
                  <c:v>-113.1842972533573</c:v>
                </c:pt>
                <c:pt idx="602">
                  <c:v>-113.13219454164376</c:v>
                </c:pt>
                <c:pt idx="603">
                  <c:v>-113.08031233904322</c:v>
                </c:pt>
                <c:pt idx="604">
                  <c:v>-113.02864933596065</c:v>
                </c:pt>
                <c:pt idx="605">
                  <c:v>-112.97720423236687</c:v>
                </c:pt>
                <c:pt idx="606">
                  <c:v>-110.65660988293752</c:v>
                </c:pt>
                <c:pt idx="607">
                  <c:v>-108.74585798673689</c:v>
                </c:pt>
                <c:pt idx="608">
                  <c:v>-107.14860531719015</c:v>
                </c:pt>
                <c:pt idx="609">
                  <c:v>-105.79557611685861</c:v>
                </c:pt>
                <c:pt idx="610">
                  <c:v>-104.63598557394322</c:v>
                </c:pt>
                <c:pt idx="611">
                  <c:v>-103.63191524753471</c:v>
                </c:pt>
                <c:pt idx="612">
                  <c:v>-102.75456792241427</c:v>
                </c:pt>
                <c:pt idx="613">
                  <c:v>-101.9817299374529</c:v>
                </c:pt>
                <c:pt idx="614">
                  <c:v>-101.2960206274072</c:v>
                </c:pt>
                <c:pt idx="615">
                  <c:v>-100.68366347392626</c:v>
                </c:pt>
                <c:pt idx="616">
                  <c:v>-100.13360903755056</c:v>
                </c:pt>
                <c:pt idx="617">
                  <c:v>-99.636899125660719</c:v>
                </c:pt>
                <c:pt idx="618">
                  <c:v>-99.451462664343836</c:v>
                </c:pt>
                <c:pt idx="619">
                  <c:v>-99.272965202064029</c:v>
                </c:pt>
                <c:pt idx="620">
                  <c:v>-99.101027766622053</c:v>
                </c:pt>
                <c:pt idx="621">
                  <c:v>-98.935298252899457</c:v>
                </c:pt>
                <c:pt idx="622">
                  <c:v>-98.775449103865171</c:v>
                </c:pt>
                <c:pt idx="623">
                  <c:v>-98.621175225602798</c:v>
                </c:pt>
                <c:pt idx="624">
                  <c:v>-98.472192109508967</c:v>
                </c:pt>
                <c:pt idx="625">
                  <c:v>-98.328234138244653</c:v>
                </c:pt>
                <c:pt idx="626">
                  <c:v>-98.189053054971396</c:v>
                </c:pt>
                <c:pt idx="627">
                  <c:v>-98.054416577946256</c:v>
                </c:pt>
                <c:pt idx="628">
                  <c:v>-97.924107144746714</c:v>
                </c:pt>
                <c:pt idx="629">
                  <c:v>-97.797920772294944</c:v>
                </c:pt>
                <c:pt idx="630">
                  <c:v>-97.675666020501353</c:v>
                </c:pt>
                <c:pt idx="631">
                  <c:v>-97.557163048777198</c:v>
                </c:pt>
                <c:pt idx="632">
                  <c:v>-97.44224275591445</c:v>
                </c:pt>
                <c:pt idx="633">
                  <c:v>-97.330745994918161</c:v>
                </c:pt>
                <c:pt idx="634">
                  <c:v>-97.222522855326858</c:v>
                </c:pt>
                <c:pt idx="635">
                  <c:v>-97.117432006389691</c:v>
                </c:pt>
                <c:pt idx="636">
                  <c:v>-97.015340095197701</c:v>
                </c:pt>
                <c:pt idx="637">
                  <c:v>-96.916121194509159</c:v>
                </c:pt>
                <c:pt idx="638">
                  <c:v>-96.819656295572884</c:v>
                </c:pt>
                <c:pt idx="639">
                  <c:v>-96.72583284175056</c:v>
                </c:pt>
                <c:pt idx="640">
                  <c:v>-96.634544299180021</c:v>
                </c:pt>
                <c:pt idx="641">
                  <c:v>-96.545689761107909</c:v>
                </c:pt>
                <c:pt idx="642">
                  <c:v>-96.459173582866754</c:v>
                </c:pt>
                <c:pt idx="643">
                  <c:v>-96.374905044774763</c:v>
                </c:pt>
                <c:pt idx="644">
                  <c:v>-96.29279804050951</c:v>
                </c:pt>
                <c:pt idx="645">
                  <c:v>-96.212770788747207</c:v>
                </c:pt>
                <c:pt idx="646">
                  <c:v>-96.134745566074542</c:v>
                </c:pt>
                <c:pt idx="647">
                  <c:v>-96.058648459372463</c:v>
                </c:pt>
                <c:pt idx="648">
                  <c:v>-95.984409136041734</c:v>
                </c:pt>
                <c:pt idx="649">
                  <c:v>-95.911960630594734</c:v>
                </c:pt>
                <c:pt idx="650">
                  <c:v>-95.841239146273765</c:v>
                </c:pt>
                <c:pt idx="651">
                  <c:v>-95.772183870481626</c:v>
                </c:pt>
                <c:pt idx="652">
                  <c:v>-95.704736802918148</c:v>
                </c:pt>
                <c:pt idx="653">
                  <c:v>-95.638842595418481</c:v>
                </c:pt>
                <c:pt idx="654">
                  <c:v>-95.574448402576408</c:v>
                </c:pt>
                <c:pt idx="655">
                  <c:v>-95.511503742318297</c:v>
                </c:pt>
                <c:pt idx="656">
                  <c:v>-95.44996036566512</c:v>
                </c:pt>
                <c:pt idx="657">
                  <c:v>-95.389772134985947</c:v>
                </c:pt>
                <c:pt idx="658">
                  <c:v>-95.330894910106167</c:v>
                </c:pt>
                <c:pt idx="659">
                  <c:v>-95.273286441687375</c:v>
                </c:pt>
                <c:pt idx="660">
                  <c:v>-95.216906271344385</c:v>
                </c:pt>
                <c:pt idx="661">
                  <c:v>-95.161715638009511</c:v>
                </c:pt>
                <c:pt idx="662">
                  <c:v>-95.10767739009421</c:v>
                </c:pt>
                <c:pt idx="663">
                  <c:v>-95.054755903034632</c:v>
                </c:pt>
                <c:pt idx="664">
                  <c:v>-95.002917001841368</c:v>
                </c:pt>
                <c:pt idx="665">
                  <c:v>-94.952127888303238</c:v>
                </c:pt>
                <c:pt idx="666">
                  <c:v>-94.902357072523046</c:v>
                </c:pt>
                <c:pt idx="667">
                  <c:v>-94.853574308488376</c:v>
                </c:pt>
              </c:numCache>
            </c:numRef>
          </c:yVal>
          <c:smooth val="0"/>
          <c:extLst>
            <c:ext xmlns:c16="http://schemas.microsoft.com/office/drawing/2014/chart" uri="{C3380CC4-5D6E-409C-BE32-E72D297353CC}">
              <c16:uniqueId val="{00000001-DE43-DC42-A749-2941E176DFB2}"/>
            </c:ext>
          </c:extLst>
        </c:ser>
        <c:dLbls>
          <c:showLegendKey val="0"/>
          <c:showVal val="0"/>
          <c:showCatName val="0"/>
          <c:showSerName val="0"/>
          <c:showPercent val="0"/>
          <c:showBubbleSize val="0"/>
        </c:dLbls>
        <c:axId val="183674368"/>
        <c:axId val="183675904"/>
      </c:scatterChart>
      <c:valAx>
        <c:axId val="183670272"/>
        <c:scaling>
          <c:logBase val="10"/>
          <c:orientation val="minMax"/>
          <c:max val="10000000"/>
          <c:min val="1000"/>
        </c:scaling>
        <c:delete val="0"/>
        <c:axPos val="b"/>
        <c:title>
          <c:tx>
            <c:rich>
              <a:bodyPr/>
              <a:lstStyle/>
              <a:p>
                <a:pPr>
                  <a:defRPr sz="800" b="1" i="0" u="none" strike="noStrike" baseline="0">
                    <a:solidFill>
                      <a:srgbClr val="000000"/>
                    </a:solidFill>
                    <a:latin typeface="Arial"/>
                    <a:ea typeface="Arial"/>
                    <a:cs typeface="Arial"/>
                  </a:defRPr>
                </a:pPr>
                <a:r>
                  <a:rPr lang="en-US"/>
                  <a:t>Frequency (Hz)</a:t>
                </a:r>
              </a:p>
            </c:rich>
          </c:tx>
          <c:layout>
            <c:manualLayout>
              <c:xMode val="edge"/>
              <c:yMode val="edge"/>
              <c:x val="0.43297177526722869"/>
              <c:y val="0.88311797388962088"/>
            </c:manualLayout>
          </c:layout>
          <c:overlay val="0"/>
          <c:spPr>
            <a:noFill/>
            <a:ln w="25400">
              <a:noFill/>
            </a:ln>
          </c:spPr>
        </c:title>
        <c:numFmt formatCode="General" sourceLinked="1"/>
        <c:majorTickMark val="out"/>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3672192"/>
        <c:crossesAt val="-120"/>
        <c:crossBetween val="midCat"/>
      </c:valAx>
      <c:valAx>
        <c:axId val="183672192"/>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en-US"/>
                  <a:t>Gain (db)</a:t>
                </a:r>
              </a:p>
            </c:rich>
          </c:tx>
          <c:layout>
            <c:manualLayout>
              <c:xMode val="edge"/>
              <c:yMode val="edge"/>
              <c:x val="3.0797101449275412E-2"/>
              <c:y val="0.4415589869448189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3670272"/>
        <c:crosses val="autoZero"/>
        <c:crossBetween val="midCat"/>
      </c:valAx>
      <c:valAx>
        <c:axId val="183674368"/>
        <c:scaling>
          <c:logBase val="10"/>
          <c:orientation val="minMax"/>
        </c:scaling>
        <c:delete val="1"/>
        <c:axPos val="b"/>
        <c:numFmt formatCode="General" sourceLinked="1"/>
        <c:majorTickMark val="out"/>
        <c:minorTickMark val="none"/>
        <c:tickLblPos val="none"/>
        <c:crossAx val="183675904"/>
        <c:crosses val="autoZero"/>
        <c:crossBetween val="midCat"/>
      </c:valAx>
      <c:valAx>
        <c:axId val="183675904"/>
        <c:scaling>
          <c:orientation val="minMax"/>
        </c:scaling>
        <c:delete val="0"/>
        <c:axPos val="r"/>
        <c:title>
          <c:tx>
            <c:rich>
              <a:bodyPr/>
              <a:lstStyle/>
              <a:p>
                <a:pPr>
                  <a:defRPr sz="800" b="1" i="0" u="none" strike="noStrike" baseline="0">
                    <a:solidFill>
                      <a:srgbClr val="000000"/>
                    </a:solidFill>
                    <a:latin typeface="Arial"/>
                    <a:ea typeface="Arial"/>
                    <a:cs typeface="Arial"/>
                  </a:defRPr>
                </a:pPr>
                <a:r>
                  <a:rPr lang="en-US"/>
                  <a:t>Phase Margin (Deg)</a:t>
                </a:r>
              </a:p>
            </c:rich>
          </c:tx>
          <c:layout>
            <c:manualLayout>
              <c:xMode val="edge"/>
              <c:yMode val="edge"/>
              <c:x val="0.95471185667010505"/>
              <c:y val="0.36623431162013825"/>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3674368"/>
        <c:crosses val="max"/>
        <c:crossBetween val="midCat"/>
      </c:valAx>
      <c:spPr>
        <a:noFill/>
        <a:ln w="12700">
          <a:solidFill>
            <a:srgbClr val="808080"/>
          </a:solidFill>
          <a:prstDash val="solid"/>
        </a:ln>
      </c:spPr>
    </c:plotArea>
    <c:legend>
      <c:legendPos val="r"/>
      <c:layout>
        <c:manualLayout>
          <c:xMode val="edge"/>
          <c:yMode val="edge"/>
          <c:x val="0.76630434782608692"/>
          <c:y val="1.2987012987012988E-2"/>
          <c:w val="0.21557971014492749"/>
          <c:h val="0.1454545454545454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en-US"/>
              <a:t>FeedBack To Comp
5V Vin</a:t>
            </a:r>
          </a:p>
        </c:rich>
      </c:tx>
      <c:layout>
        <c:manualLayout>
          <c:xMode val="edge"/>
          <c:yMode val="edge"/>
          <c:x val="0.40036307961505191"/>
          <c:y val="3.3766233766233771E-2"/>
        </c:manualLayout>
      </c:layout>
      <c:overlay val="0"/>
      <c:spPr>
        <a:noFill/>
        <a:ln w="25400">
          <a:noFill/>
        </a:ln>
      </c:spPr>
    </c:title>
    <c:autoTitleDeleted val="0"/>
    <c:plotArea>
      <c:layout>
        <c:manualLayout>
          <c:layoutTarget val="inner"/>
          <c:xMode val="edge"/>
          <c:yMode val="edge"/>
          <c:x val="0.11594223410296738"/>
          <c:y val="0.20779247132770992"/>
          <c:w val="0.79166806723432415"/>
          <c:h val="0.60519557274195002"/>
        </c:manualLayout>
      </c:layout>
      <c:scatterChart>
        <c:scatterStyle val="smoothMarker"/>
        <c:varyColors val="0"/>
        <c:ser>
          <c:idx val="2"/>
          <c:order val="0"/>
          <c:tx>
            <c:v>Theoretical gain</c:v>
          </c:tx>
          <c:spPr>
            <a:ln w="38100">
              <a:solidFill>
                <a:srgbClr val="FF0000"/>
              </a:solidFill>
              <a:prstDash val="solid"/>
            </a:ln>
          </c:spPr>
          <c:marker>
            <c:symbol val="none"/>
          </c:marker>
          <c:xVal>
            <c:numRef>
              <c:f>'Bode Plots Calculations'!$A$9:$A$676</c:f>
              <c:numCache>
                <c:formatCode>General</c:formatCode>
                <c:ptCount val="668"/>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1500</c:v>
                </c:pt>
                <c:pt idx="29">
                  <c:v>2000</c:v>
                </c:pt>
                <c:pt idx="30">
                  <c:v>2500</c:v>
                </c:pt>
                <c:pt idx="31">
                  <c:v>3000</c:v>
                </c:pt>
                <c:pt idx="32">
                  <c:v>3500</c:v>
                </c:pt>
                <c:pt idx="33">
                  <c:v>4000</c:v>
                </c:pt>
                <c:pt idx="34">
                  <c:v>4500</c:v>
                </c:pt>
                <c:pt idx="35">
                  <c:v>5000</c:v>
                </c:pt>
                <c:pt idx="36">
                  <c:v>5500</c:v>
                </c:pt>
                <c:pt idx="37">
                  <c:v>6000</c:v>
                </c:pt>
                <c:pt idx="38">
                  <c:v>6500</c:v>
                </c:pt>
                <c:pt idx="39">
                  <c:v>7000</c:v>
                </c:pt>
                <c:pt idx="40">
                  <c:v>7500</c:v>
                </c:pt>
                <c:pt idx="41">
                  <c:v>8000</c:v>
                </c:pt>
                <c:pt idx="42">
                  <c:v>8500</c:v>
                </c:pt>
                <c:pt idx="43">
                  <c:v>9000</c:v>
                </c:pt>
                <c:pt idx="44">
                  <c:v>9500</c:v>
                </c:pt>
                <c:pt idx="45">
                  <c:v>10000</c:v>
                </c:pt>
                <c:pt idx="46">
                  <c:v>10500</c:v>
                </c:pt>
                <c:pt idx="47">
                  <c:v>11000</c:v>
                </c:pt>
                <c:pt idx="48">
                  <c:v>11500</c:v>
                </c:pt>
                <c:pt idx="49">
                  <c:v>12000</c:v>
                </c:pt>
                <c:pt idx="50">
                  <c:v>12500</c:v>
                </c:pt>
                <c:pt idx="51">
                  <c:v>13000</c:v>
                </c:pt>
                <c:pt idx="52">
                  <c:v>13500</c:v>
                </c:pt>
                <c:pt idx="53">
                  <c:v>14000</c:v>
                </c:pt>
                <c:pt idx="54">
                  <c:v>14500</c:v>
                </c:pt>
                <c:pt idx="55">
                  <c:v>15000</c:v>
                </c:pt>
                <c:pt idx="56">
                  <c:v>15500</c:v>
                </c:pt>
                <c:pt idx="57">
                  <c:v>16000</c:v>
                </c:pt>
                <c:pt idx="58">
                  <c:v>16500</c:v>
                </c:pt>
                <c:pt idx="59">
                  <c:v>17000</c:v>
                </c:pt>
                <c:pt idx="60">
                  <c:v>17500</c:v>
                </c:pt>
                <c:pt idx="61">
                  <c:v>18000</c:v>
                </c:pt>
                <c:pt idx="62">
                  <c:v>18500</c:v>
                </c:pt>
                <c:pt idx="63">
                  <c:v>19000</c:v>
                </c:pt>
                <c:pt idx="64">
                  <c:v>19500</c:v>
                </c:pt>
                <c:pt idx="65">
                  <c:v>20000</c:v>
                </c:pt>
                <c:pt idx="66">
                  <c:v>20500</c:v>
                </c:pt>
                <c:pt idx="67">
                  <c:v>21000</c:v>
                </c:pt>
                <c:pt idx="68">
                  <c:v>21500</c:v>
                </c:pt>
                <c:pt idx="69">
                  <c:v>22000</c:v>
                </c:pt>
                <c:pt idx="70">
                  <c:v>22500</c:v>
                </c:pt>
                <c:pt idx="71">
                  <c:v>23000</c:v>
                </c:pt>
                <c:pt idx="72">
                  <c:v>23500</c:v>
                </c:pt>
                <c:pt idx="73">
                  <c:v>24000</c:v>
                </c:pt>
                <c:pt idx="74">
                  <c:v>24500</c:v>
                </c:pt>
                <c:pt idx="75">
                  <c:v>25000</c:v>
                </c:pt>
                <c:pt idx="76">
                  <c:v>25500</c:v>
                </c:pt>
                <c:pt idx="77">
                  <c:v>26000</c:v>
                </c:pt>
                <c:pt idx="78">
                  <c:v>26500</c:v>
                </c:pt>
                <c:pt idx="79">
                  <c:v>27000</c:v>
                </c:pt>
                <c:pt idx="80">
                  <c:v>27500</c:v>
                </c:pt>
                <c:pt idx="81">
                  <c:v>28000</c:v>
                </c:pt>
                <c:pt idx="82">
                  <c:v>28500</c:v>
                </c:pt>
                <c:pt idx="83">
                  <c:v>29000</c:v>
                </c:pt>
                <c:pt idx="84">
                  <c:v>29500</c:v>
                </c:pt>
                <c:pt idx="85">
                  <c:v>30000</c:v>
                </c:pt>
                <c:pt idx="86">
                  <c:v>30500</c:v>
                </c:pt>
                <c:pt idx="87">
                  <c:v>31000</c:v>
                </c:pt>
                <c:pt idx="88">
                  <c:v>31500</c:v>
                </c:pt>
                <c:pt idx="89">
                  <c:v>32000</c:v>
                </c:pt>
                <c:pt idx="90">
                  <c:v>32500</c:v>
                </c:pt>
                <c:pt idx="91">
                  <c:v>33000</c:v>
                </c:pt>
                <c:pt idx="92">
                  <c:v>33500</c:v>
                </c:pt>
                <c:pt idx="93">
                  <c:v>34000</c:v>
                </c:pt>
                <c:pt idx="94">
                  <c:v>34500</c:v>
                </c:pt>
                <c:pt idx="95">
                  <c:v>35000</c:v>
                </c:pt>
                <c:pt idx="96">
                  <c:v>35500</c:v>
                </c:pt>
                <c:pt idx="97">
                  <c:v>36000</c:v>
                </c:pt>
                <c:pt idx="98">
                  <c:v>36500</c:v>
                </c:pt>
                <c:pt idx="99">
                  <c:v>37000</c:v>
                </c:pt>
                <c:pt idx="100">
                  <c:v>37500</c:v>
                </c:pt>
                <c:pt idx="101">
                  <c:v>38000</c:v>
                </c:pt>
                <c:pt idx="102">
                  <c:v>38500</c:v>
                </c:pt>
                <c:pt idx="103">
                  <c:v>39000</c:v>
                </c:pt>
                <c:pt idx="104">
                  <c:v>39500</c:v>
                </c:pt>
                <c:pt idx="105">
                  <c:v>40000</c:v>
                </c:pt>
                <c:pt idx="106">
                  <c:v>40500</c:v>
                </c:pt>
                <c:pt idx="107">
                  <c:v>41000</c:v>
                </c:pt>
                <c:pt idx="108">
                  <c:v>41500</c:v>
                </c:pt>
                <c:pt idx="109">
                  <c:v>42000</c:v>
                </c:pt>
                <c:pt idx="110">
                  <c:v>42500</c:v>
                </c:pt>
                <c:pt idx="111">
                  <c:v>43000</c:v>
                </c:pt>
                <c:pt idx="112">
                  <c:v>43500</c:v>
                </c:pt>
                <c:pt idx="113">
                  <c:v>44000</c:v>
                </c:pt>
                <c:pt idx="114">
                  <c:v>44500</c:v>
                </c:pt>
                <c:pt idx="115">
                  <c:v>45000</c:v>
                </c:pt>
                <c:pt idx="116">
                  <c:v>45500</c:v>
                </c:pt>
                <c:pt idx="117">
                  <c:v>46000</c:v>
                </c:pt>
                <c:pt idx="118">
                  <c:v>46500</c:v>
                </c:pt>
                <c:pt idx="119">
                  <c:v>47000</c:v>
                </c:pt>
                <c:pt idx="120">
                  <c:v>47500</c:v>
                </c:pt>
                <c:pt idx="121">
                  <c:v>48000</c:v>
                </c:pt>
                <c:pt idx="122">
                  <c:v>48500</c:v>
                </c:pt>
                <c:pt idx="123">
                  <c:v>49000</c:v>
                </c:pt>
                <c:pt idx="124">
                  <c:v>49500</c:v>
                </c:pt>
                <c:pt idx="125">
                  <c:v>50000</c:v>
                </c:pt>
                <c:pt idx="126">
                  <c:v>50500</c:v>
                </c:pt>
                <c:pt idx="127">
                  <c:v>51000</c:v>
                </c:pt>
                <c:pt idx="128">
                  <c:v>51500</c:v>
                </c:pt>
                <c:pt idx="129">
                  <c:v>52000</c:v>
                </c:pt>
                <c:pt idx="130">
                  <c:v>52500</c:v>
                </c:pt>
                <c:pt idx="131">
                  <c:v>53000</c:v>
                </c:pt>
                <c:pt idx="132">
                  <c:v>53500</c:v>
                </c:pt>
                <c:pt idx="133">
                  <c:v>54000</c:v>
                </c:pt>
                <c:pt idx="134">
                  <c:v>54500</c:v>
                </c:pt>
                <c:pt idx="135">
                  <c:v>55000</c:v>
                </c:pt>
                <c:pt idx="136">
                  <c:v>55500</c:v>
                </c:pt>
                <c:pt idx="137">
                  <c:v>56000</c:v>
                </c:pt>
                <c:pt idx="138">
                  <c:v>56500</c:v>
                </c:pt>
                <c:pt idx="139">
                  <c:v>57000</c:v>
                </c:pt>
                <c:pt idx="140">
                  <c:v>57500</c:v>
                </c:pt>
                <c:pt idx="141">
                  <c:v>58000</c:v>
                </c:pt>
                <c:pt idx="142">
                  <c:v>58500</c:v>
                </c:pt>
                <c:pt idx="143">
                  <c:v>59000</c:v>
                </c:pt>
                <c:pt idx="144">
                  <c:v>59500</c:v>
                </c:pt>
                <c:pt idx="145">
                  <c:v>60000</c:v>
                </c:pt>
                <c:pt idx="146">
                  <c:v>60500</c:v>
                </c:pt>
                <c:pt idx="147">
                  <c:v>61000</c:v>
                </c:pt>
                <c:pt idx="148">
                  <c:v>61500</c:v>
                </c:pt>
                <c:pt idx="149">
                  <c:v>62000</c:v>
                </c:pt>
                <c:pt idx="150">
                  <c:v>62500</c:v>
                </c:pt>
                <c:pt idx="151">
                  <c:v>63000</c:v>
                </c:pt>
                <c:pt idx="152">
                  <c:v>63500</c:v>
                </c:pt>
                <c:pt idx="153">
                  <c:v>64000</c:v>
                </c:pt>
                <c:pt idx="154">
                  <c:v>64500</c:v>
                </c:pt>
                <c:pt idx="155">
                  <c:v>65000</c:v>
                </c:pt>
                <c:pt idx="156">
                  <c:v>65500</c:v>
                </c:pt>
                <c:pt idx="157">
                  <c:v>66000</c:v>
                </c:pt>
                <c:pt idx="158">
                  <c:v>66500</c:v>
                </c:pt>
                <c:pt idx="159">
                  <c:v>67000</c:v>
                </c:pt>
                <c:pt idx="160">
                  <c:v>67500</c:v>
                </c:pt>
                <c:pt idx="161">
                  <c:v>68000</c:v>
                </c:pt>
                <c:pt idx="162">
                  <c:v>68500</c:v>
                </c:pt>
                <c:pt idx="163">
                  <c:v>69000</c:v>
                </c:pt>
                <c:pt idx="164">
                  <c:v>69500</c:v>
                </c:pt>
                <c:pt idx="165">
                  <c:v>70000</c:v>
                </c:pt>
                <c:pt idx="166">
                  <c:v>70500</c:v>
                </c:pt>
                <c:pt idx="167">
                  <c:v>71000</c:v>
                </c:pt>
                <c:pt idx="168">
                  <c:v>71500</c:v>
                </c:pt>
                <c:pt idx="169">
                  <c:v>72000</c:v>
                </c:pt>
                <c:pt idx="170">
                  <c:v>72500</c:v>
                </c:pt>
                <c:pt idx="171">
                  <c:v>73000</c:v>
                </c:pt>
                <c:pt idx="172">
                  <c:v>73500</c:v>
                </c:pt>
                <c:pt idx="173">
                  <c:v>74000</c:v>
                </c:pt>
                <c:pt idx="174">
                  <c:v>74500</c:v>
                </c:pt>
                <c:pt idx="175">
                  <c:v>75000</c:v>
                </c:pt>
                <c:pt idx="176">
                  <c:v>75500</c:v>
                </c:pt>
                <c:pt idx="177">
                  <c:v>76000</c:v>
                </c:pt>
                <c:pt idx="178">
                  <c:v>76500</c:v>
                </c:pt>
                <c:pt idx="179">
                  <c:v>77000</c:v>
                </c:pt>
                <c:pt idx="180">
                  <c:v>77500</c:v>
                </c:pt>
                <c:pt idx="181">
                  <c:v>78000</c:v>
                </c:pt>
                <c:pt idx="182">
                  <c:v>78500</c:v>
                </c:pt>
                <c:pt idx="183">
                  <c:v>79000</c:v>
                </c:pt>
                <c:pt idx="184">
                  <c:v>79500</c:v>
                </c:pt>
                <c:pt idx="185">
                  <c:v>80000</c:v>
                </c:pt>
                <c:pt idx="186">
                  <c:v>80500</c:v>
                </c:pt>
                <c:pt idx="187">
                  <c:v>81000</c:v>
                </c:pt>
                <c:pt idx="188">
                  <c:v>81500</c:v>
                </c:pt>
                <c:pt idx="189">
                  <c:v>82000</c:v>
                </c:pt>
                <c:pt idx="190">
                  <c:v>82500</c:v>
                </c:pt>
                <c:pt idx="191">
                  <c:v>83000</c:v>
                </c:pt>
                <c:pt idx="192">
                  <c:v>83500</c:v>
                </c:pt>
                <c:pt idx="193">
                  <c:v>84000</c:v>
                </c:pt>
                <c:pt idx="194">
                  <c:v>84500</c:v>
                </c:pt>
                <c:pt idx="195">
                  <c:v>85000</c:v>
                </c:pt>
                <c:pt idx="196">
                  <c:v>85500</c:v>
                </c:pt>
                <c:pt idx="197">
                  <c:v>86000</c:v>
                </c:pt>
                <c:pt idx="198">
                  <c:v>86500</c:v>
                </c:pt>
                <c:pt idx="199">
                  <c:v>87000</c:v>
                </c:pt>
                <c:pt idx="200">
                  <c:v>87500</c:v>
                </c:pt>
                <c:pt idx="201">
                  <c:v>88000</c:v>
                </c:pt>
                <c:pt idx="202">
                  <c:v>88500</c:v>
                </c:pt>
                <c:pt idx="203">
                  <c:v>89000</c:v>
                </c:pt>
                <c:pt idx="204">
                  <c:v>89500</c:v>
                </c:pt>
                <c:pt idx="205">
                  <c:v>90000</c:v>
                </c:pt>
                <c:pt idx="206">
                  <c:v>90500</c:v>
                </c:pt>
                <c:pt idx="207">
                  <c:v>91000</c:v>
                </c:pt>
                <c:pt idx="208">
                  <c:v>91500</c:v>
                </c:pt>
                <c:pt idx="209">
                  <c:v>92000</c:v>
                </c:pt>
                <c:pt idx="210">
                  <c:v>92500</c:v>
                </c:pt>
                <c:pt idx="211">
                  <c:v>93000</c:v>
                </c:pt>
                <c:pt idx="212">
                  <c:v>93500</c:v>
                </c:pt>
                <c:pt idx="213">
                  <c:v>94000</c:v>
                </c:pt>
                <c:pt idx="214">
                  <c:v>94500</c:v>
                </c:pt>
                <c:pt idx="215">
                  <c:v>95000</c:v>
                </c:pt>
                <c:pt idx="216">
                  <c:v>95500</c:v>
                </c:pt>
                <c:pt idx="217">
                  <c:v>96000</c:v>
                </c:pt>
                <c:pt idx="218">
                  <c:v>96500</c:v>
                </c:pt>
                <c:pt idx="219">
                  <c:v>97000</c:v>
                </c:pt>
                <c:pt idx="220">
                  <c:v>97500</c:v>
                </c:pt>
                <c:pt idx="221">
                  <c:v>98000</c:v>
                </c:pt>
                <c:pt idx="222">
                  <c:v>98500</c:v>
                </c:pt>
                <c:pt idx="223">
                  <c:v>99000</c:v>
                </c:pt>
                <c:pt idx="224">
                  <c:v>99500</c:v>
                </c:pt>
                <c:pt idx="225">
                  <c:v>100000</c:v>
                </c:pt>
                <c:pt idx="226">
                  <c:v>105000</c:v>
                </c:pt>
                <c:pt idx="227">
                  <c:v>110000</c:v>
                </c:pt>
                <c:pt idx="228">
                  <c:v>115000</c:v>
                </c:pt>
                <c:pt idx="229">
                  <c:v>120000</c:v>
                </c:pt>
                <c:pt idx="230">
                  <c:v>125000</c:v>
                </c:pt>
                <c:pt idx="231">
                  <c:v>130000</c:v>
                </c:pt>
                <c:pt idx="232">
                  <c:v>135000</c:v>
                </c:pt>
                <c:pt idx="233">
                  <c:v>140000</c:v>
                </c:pt>
                <c:pt idx="234">
                  <c:v>145000</c:v>
                </c:pt>
                <c:pt idx="235">
                  <c:v>150000</c:v>
                </c:pt>
                <c:pt idx="236">
                  <c:v>155000</c:v>
                </c:pt>
                <c:pt idx="237">
                  <c:v>160000</c:v>
                </c:pt>
                <c:pt idx="238">
                  <c:v>165000</c:v>
                </c:pt>
                <c:pt idx="239">
                  <c:v>170000</c:v>
                </c:pt>
                <c:pt idx="240">
                  <c:v>175000</c:v>
                </c:pt>
                <c:pt idx="241">
                  <c:v>180000</c:v>
                </c:pt>
                <c:pt idx="242">
                  <c:v>185000</c:v>
                </c:pt>
                <c:pt idx="243">
                  <c:v>190000</c:v>
                </c:pt>
                <c:pt idx="244">
                  <c:v>195000</c:v>
                </c:pt>
                <c:pt idx="245">
                  <c:v>200000</c:v>
                </c:pt>
                <c:pt idx="246">
                  <c:v>205000</c:v>
                </c:pt>
                <c:pt idx="247">
                  <c:v>210000</c:v>
                </c:pt>
                <c:pt idx="248">
                  <c:v>215000</c:v>
                </c:pt>
                <c:pt idx="249">
                  <c:v>220000</c:v>
                </c:pt>
                <c:pt idx="250">
                  <c:v>225000</c:v>
                </c:pt>
                <c:pt idx="251">
                  <c:v>230000</c:v>
                </c:pt>
                <c:pt idx="252">
                  <c:v>235000</c:v>
                </c:pt>
                <c:pt idx="253">
                  <c:v>240000</c:v>
                </c:pt>
                <c:pt idx="254">
                  <c:v>245000</c:v>
                </c:pt>
                <c:pt idx="255">
                  <c:v>250000</c:v>
                </c:pt>
                <c:pt idx="256">
                  <c:v>255000</c:v>
                </c:pt>
                <c:pt idx="257">
                  <c:v>260000</c:v>
                </c:pt>
                <c:pt idx="258">
                  <c:v>265000</c:v>
                </c:pt>
                <c:pt idx="259">
                  <c:v>270000</c:v>
                </c:pt>
                <c:pt idx="260">
                  <c:v>275000</c:v>
                </c:pt>
                <c:pt idx="261">
                  <c:v>280000</c:v>
                </c:pt>
                <c:pt idx="262">
                  <c:v>285000</c:v>
                </c:pt>
                <c:pt idx="263">
                  <c:v>290000</c:v>
                </c:pt>
                <c:pt idx="264">
                  <c:v>295000</c:v>
                </c:pt>
                <c:pt idx="265">
                  <c:v>300000</c:v>
                </c:pt>
                <c:pt idx="266">
                  <c:v>305000</c:v>
                </c:pt>
                <c:pt idx="267">
                  <c:v>310000</c:v>
                </c:pt>
                <c:pt idx="268">
                  <c:v>315000</c:v>
                </c:pt>
                <c:pt idx="269">
                  <c:v>320000</c:v>
                </c:pt>
                <c:pt idx="270">
                  <c:v>325000</c:v>
                </c:pt>
                <c:pt idx="271">
                  <c:v>330000</c:v>
                </c:pt>
                <c:pt idx="272">
                  <c:v>335000</c:v>
                </c:pt>
                <c:pt idx="273">
                  <c:v>340000</c:v>
                </c:pt>
                <c:pt idx="274">
                  <c:v>345000</c:v>
                </c:pt>
                <c:pt idx="275">
                  <c:v>350000</c:v>
                </c:pt>
                <c:pt idx="276">
                  <c:v>355000</c:v>
                </c:pt>
                <c:pt idx="277">
                  <c:v>360000</c:v>
                </c:pt>
                <c:pt idx="278">
                  <c:v>365000</c:v>
                </c:pt>
                <c:pt idx="279">
                  <c:v>370000</c:v>
                </c:pt>
                <c:pt idx="280">
                  <c:v>375000</c:v>
                </c:pt>
                <c:pt idx="281">
                  <c:v>380000</c:v>
                </c:pt>
                <c:pt idx="282">
                  <c:v>385000</c:v>
                </c:pt>
                <c:pt idx="283">
                  <c:v>390000</c:v>
                </c:pt>
                <c:pt idx="284">
                  <c:v>395000</c:v>
                </c:pt>
                <c:pt idx="285">
                  <c:v>400000</c:v>
                </c:pt>
                <c:pt idx="286">
                  <c:v>405000</c:v>
                </c:pt>
                <c:pt idx="287">
                  <c:v>410000</c:v>
                </c:pt>
                <c:pt idx="288">
                  <c:v>415000</c:v>
                </c:pt>
                <c:pt idx="289">
                  <c:v>420000</c:v>
                </c:pt>
                <c:pt idx="290">
                  <c:v>425000</c:v>
                </c:pt>
                <c:pt idx="291">
                  <c:v>430000</c:v>
                </c:pt>
                <c:pt idx="292">
                  <c:v>435000</c:v>
                </c:pt>
                <c:pt idx="293">
                  <c:v>440000</c:v>
                </c:pt>
                <c:pt idx="294">
                  <c:v>445000</c:v>
                </c:pt>
                <c:pt idx="295">
                  <c:v>450000</c:v>
                </c:pt>
                <c:pt idx="296">
                  <c:v>455000</c:v>
                </c:pt>
                <c:pt idx="297">
                  <c:v>460000</c:v>
                </c:pt>
                <c:pt idx="298">
                  <c:v>465000</c:v>
                </c:pt>
                <c:pt idx="299">
                  <c:v>470000</c:v>
                </c:pt>
                <c:pt idx="300">
                  <c:v>475000</c:v>
                </c:pt>
                <c:pt idx="301">
                  <c:v>480000</c:v>
                </c:pt>
                <c:pt idx="302">
                  <c:v>485000</c:v>
                </c:pt>
                <c:pt idx="303">
                  <c:v>490000</c:v>
                </c:pt>
                <c:pt idx="304">
                  <c:v>495000</c:v>
                </c:pt>
                <c:pt idx="305">
                  <c:v>500000</c:v>
                </c:pt>
                <c:pt idx="306">
                  <c:v>505000</c:v>
                </c:pt>
                <c:pt idx="307">
                  <c:v>510000</c:v>
                </c:pt>
                <c:pt idx="308">
                  <c:v>515000</c:v>
                </c:pt>
                <c:pt idx="309">
                  <c:v>520000</c:v>
                </c:pt>
                <c:pt idx="310">
                  <c:v>525000</c:v>
                </c:pt>
                <c:pt idx="311">
                  <c:v>530000</c:v>
                </c:pt>
                <c:pt idx="312">
                  <c:v>535000</c:v>
                </c:pt>
                <c:pt idx="313">
                  <c:v>540000</c:v>
                </c:pt>
                <c:pt idx="314">
                  <c:v>545000</c:v>
                </c:pt>
                <c:pt idx="315">
                  <c:v>550000</c:v>
                </c:pt>
                <c:pt idx="316">
                  <c:v>555000</c:v>
                </c:pt>
                <c:pt idx="317">
                  <c:v>560000</c:v>
                </c:pt>
                <c:pt idx="318">
                  <c:v>565000</c:v>
                </c:pt>
                <c:pt idx="319">
                  <c:v>570000</c:v>
                </c:pt>
                <c:pt idx="320">
                  <c:v>575000</c:v>
                </c:pt>
                <c:pt idx="321">
                  <c:v>580000</c:v>
                </c:pt>
                <c:pt idx="322">
                  <c:v>585000</c:v>
                </c:pt>
                <c:pt idx="323">
                  <c:v>590000</c:v>
                </c:pt>
                <c:pt idx="324">
                  <c:v>595000</c:v>
                </c:pt>
                <c:pt idx="325">
                  <c:v>600000</c:v>
                </c:pt>
                <c:pt idx="326">
                  <c:v>605000</c:v>
                </c:pt>
                <c:pt idx="327">
                  <c:v>610000</c:v>
                </c:pt>
                <c:pt idx="328">
                  <c:v>615000</c:v>
                </c:pt>
                <c:pt idx="329">
                  <c:v>620000</c:v>
                </c:pt>
                <c:pt idx="330">
                  <c:v>625000</c:v>
                </c:pt>
                <c:pt idx="331">
                  <c:v>630000</c:v>
                </c:pt>
                <c:pt idx="332">
                  <c:v>635000</c:v>
                </c:pt>
                <c:pt idx="333">
                  <c:v>640000</c:v>
                </c:pt>
                <c:pt idx="334">
                  <c:v>645000</c:v>
                </c:pt>
                <c:pt idx="335">
                  <c:v>650000</c:v>
                </c:pt>
                <c:pt idx="336">
                  <c:v>655000</c:v>
                </c:pt>
                <c:pt idx="337">
                  <c:v>660000</c:v>
                </c:pt>
                <c:pt idx="338">
                  <c:v>665000</c:v>
                </c:pt>
                <c:pt idx="339">
                  <c:v>670000</c:v>
                </c:pt>
                <c:pt idx="340">
                  <c:v>675000</c:v>
                </c:pt>
                <c:pt idx="341">
                  <c:v>680000</c:v>
                </c:pt>
                <c:pt idx="342">
                  <c:v>685000</c:v>
                </c:pt>
                <c:pt idx="343">
                  <c:v>690000</c:v>
                </c:pt>
                <c:pt idx="344">
                  <c:v>695000</c:v>
                </c:pt>
                <c:pt idx="345">
                  <c:v>700000</c:v>
                </c:pt>
                <c:pt idx="346">
                  <c:v>705000</c:v>
                </c:pt>
                <c:pt idx="347">
                  <c:v>710000</c:v>
                </c:pt>
                <c:pt idx="348">
                  <c:v>715000</c:v>
                </c:pt>
                <c:pt idx="349">
                  <c:v>720000</c:v>
                </c:pt>
                <c:pt idx="350">
                  <c:v>725000</c:v>
                </c:pt>
                <c:pt idx="351">
                  <c:v>730000</c:v>
                </c:pt>
                <c:pt idx="352">
                  <c:v>735000</c:v>
                </c:pt>
                <c:pt idx="353">
                  <c:v>740000</c:v>
                </c:pt>
                <c:pt idx="354">
                  <c:v>745000</c:v>
                </c:pt>
                <c:pt idx="355">
                  <c:v>750000</c:v>
                </c:pt>
                <c:pt idx="356">
                  <c:v>755000</c:v>
                </c:pt>
                <c:pt idx="357">
                  <c:v>760000</c:v>
                </c:pt>
                <c:pt idx="358">
                  <c:v>765000</c:v>
                </c:pt>
                <c:pt idx="359">
                  <c:v>770000</c:v>
                </c:pt>
                <c:pt idx="360">
                  <c:v>775000</c:v>
                </c:pt>
                <c:pt idx="361">
                  <c:v>780000</c:v>
                </c:pt>
                <c:pt idx="362">
                  <c:v>785000</c:v>
                </c:pt>
                <c:pt idx="363">
                  <c:v>790000</c:v>
                </c:pt>
                <c:pt idx="364">
                  <c:v>795000</c:v>
                </c:pt>
                <c:pt idx="365">
                  <c:v>800000</c:v>
                </c:pt>
                <c:pt idx="366">
                  <c:v>805000</c:v>
                </c:pt>
                <c:pt idx="367">
                  <c:v>810000</c:v>
                </c:pt>
                <c:pt idx="368">
                  <c:v>815000</c:v>
                </c:pt>
                <c:pt idx="369">
                  <c:v>820000</c:v>
                </c:pt>
                <c:pt idx="370">
                  <c:v>825000</c:v>
                </c:pt>
                <c:pt idx="371">
                  <c:v>830000</c:v>
                </c:pt>
                <c:pt idx="372">
                  <c:v>835000</c:v>
                </c:pt>
                <c:pt idx="373">
                  <c:v>840000</c:v>
                </c:pt>
                <c:pt idx="374">
                  <c:v>845000</c:v>
                </c:pt>
                <c:pt idx="375">
                  <c:v>850000</c:v>
                </c:pt>
                <c:pt idx="376">
                  <c:v>855000</c:v>
                </c:pt>
                <c:pt idx="377">
                  <c:v>860000</c:v>
                </c:pt>
                <c:pt idx="378">
                  <c:v>865000</c:v>
                </c:pt>
                <c:pt idx="379">
                  <c:v>870000</c:v>
                </c:pt>
                <c:pt idx="380">
                  <c:v>875000</c:v>
                </c:pt>
                <c:pt idx="381">
                  <c:v>880000</c:v>
                </c:pt>
                <c:pt idx="382">
                  <c:v>885000</c:v>
                </c:pt>
                <c:pt idx="383">
                  <c:v>890000</c:v>
                </c:pt>
                <c:pt idx="384">
                  <c:v>895000</c:v>
                </c:pt>
                <c:pt idx="385">
                  <c:v>900000</c:v>
                </c:pt>
                <c:pt idx="386">
                  <c:v>905000</c:v>
                </c:pt>
                <c:pt idx="387">
                  <c:v>910000</c:v>
                </c:pt>
                <c:pt idx="388">
                  <c:v>915000</c:v>
                </c:pt>
                <c:pt idx="389">
                  <c:v>920000</c:v>
                </c:pt>
                <c:pt idx="390">
                  <c:v>925000</c:v>
                </c:pt>
                <c:pt idx="391">
                  <c:v>930000</c:v>
                </c:pt>
                <c:pt idx="392">
                  <c:v>935000</c:v>
                </c:pt>
                <c:pt idx="393">
                  <c:v>940000</c:v>
                </c:pt>
                <c:pt idx="394">
                  <c:v>945000</c:v>
                </c:pt>
                <c:pt idx="395">
                  <c:v>950000</c:v>
                </c:pt>
                <c:pt idx="396">
                  <c:v>955000</c:v>
                </c:pt>
                <c:pt idx="397">
                  <c:v>960000</c:v>
                </c:pt>
                <c:pt idx="398">
                  <c:v>965000</c:v>
                </c:pt>
                <c:pt idx="399">
                  <c:v>970000</c:v>
                </c:pt>
                <c:pt idx="400">
                  <c:v>975000</c:v>
                </c:pt>
                <c:pt idx="401">
                  <c:v>980000</c:v>
                </c:pt>
                <c:pt idx="402">
                  <c:v>985000</c:v>
                </c:pt>
                <c:pt idx="403">
                  <c:v>990000</c:v>
                </c:pt>
                <c:pt idx="404">
                  <c:v>995000</c:v>
                </c:pt>
                <c:pt idx="405">
                  <c:v>1000000</c:v>
                </c:pt>
                <c:pt idx="406">
                  <c:v>1005000</c:v>
                </c:pt>
                <c:pt idx="407">
                  <c:v>1010000</c:v>
                </c:pt>
                <c:pt idx="408">
                  <c:v>1015000</c:v>
                </c:pt>
                <c:pt idx="409">
                  <c:v>1020000</c:v>
                </c:pt>
                <c:pt idx="410">
                  <c:v>1025000</c:v>
                </c:pt>
                <c:pt idx="411">
                  <c:v>1030000</c:v>
                </c:pt>
                <c:pt idx="412">
                  <c:v>1035000</c:v>
                </c:pt>
                <c:pt idx="413">
                  <c:v>1040000</c:v>
                </c:pt>
                <c:pt idx="414">
                  <c:v>1045000</c:v>
                </c:pt>
                <c:pt idx="415">
                  <c:v>1050000</c:v>
                </c:pt>
                <c:pt idx="416">
                  <c:v>1055000</c:v>
                </c:pt>
                <c:pt idx="417">
                  <c:v>1060000</c:v>
                </c:pt>
                <c:pt idx="418">
                  <c:v>1065000</c:v>
                </c:pt>
                <c:pt idx="419">
                  <c:v>1070000</c:v>
                </c:pt>
                <c:pt idx="420">
                  <c:v>1075000</c:v>
                </c:pt>
                <c:pt idx="421">
                  <c:v>1080000</c:v>
                </c:pt>
                <c:pt idx="422">
                  <c:v>1085000</c:v>
                </c:pt>
                <c:pt idx="423">
                  <c:v>1090000</c:v>
                </c:pt>
                <c:pt idx="424">
                  <c:v>1095000</c:v>
                </c:pt>
                <c:pt idx="425">
                  <c:v>1100000</c:v>
                </c:pt>
                <c:pt idx="426">
                  <c:v>1105000</c:v>
                </c:pt>
                <c:pt idx="427">
                  <c:v>1110000</c:v>
                </c:pt>
                <c:pt idx="428">
                  <c:v>1115000</c:v>
                </c:pt>
                <c:pt idx="429">
                  <c:v>1120000</c:v>
                </c:pt>
                <c:pt idx="430">
                  <c:v>1125000</c:v>
                </c:pt>
                <c:pt idx="431">
                  <c:v>1130000</c:v>
                </c:pt>
                <c:pt idx="432">
                  <c:v>1135000</c:v>
                </c:pt>
                <c:pt idx="433">
                  <c:v>1140000</c:v>
                </c:pt>
                <c:pt idx="434">
                  <c:v>1145000</c:v>
                </c:pt>
                <c:pt idx="435">
                  <c:v>1150000</c:v>
                </c:pt>
                <c:pt idx="436">
                  <c:v>1155000</c:v>
                </c:pt>
                <c:pt idx="437">
                  <c:v>1160000</c:v>
                </c:pt>
                <c:pt idx="438">
                  <c:v>1165000</c:v>
                </c:pt>
                <c:pt idx="439">
                  <c:v>1170000</c:v>
                </c:pt>
                <c:pt idx="440">
                  <c:v>1175000</c:v>
                </c:pt>
                <c:pt idx="441">
                  <c:v>1180000</c:v>
                </c:pt>
                <c:pt idx="442">
                  <c:v>1185000</c:v>
                </c:pt>
                <c:pt idx="443">
                  <c:v>1190000</c:v>
                </c:pt>
                <c:pt idx="444">
                  <c:v>1195000</c:v>
                </c:pt>
                <c:pt idx="445">
                  <c:v>1200000</c:v>
                </c:pt>
                <c:pt idx="446">
                  <c:v>1205000</c:v>
                </c:pt>
                <c:pt idx="447">
                  <c:v>1210000</c:v>
                </c:pt>
                <c:pt idx="448">
                  <c:v>1215000</c:v>
                </c:pt>
                <c:pt idx="449">
                  <c:v>1220000</c:v>
                </c:pt>
                <c:pt idx="450">
                  <c:v>1225000</c:v>
                </c:pt>
                <c:pt idx="451">
                  <c:v>1230000</c:v>
                </c:pt>
                <c:pt idx="452">
                  <c:v>1235000</c:v>
                </c:pt>
                <c:pt idx="453">
                  <c:v>1240000</c:v>
                </c:pt>
                <c:pt idx="454">
                  <c:v>1245000</c:v>
                </c:pt>
                <c:pt idx="455">
                  <c:v>1250000</c:v>
                </c:pt>
                <c:pt idx="456">
                  <c:v>1255000</c:v>
                </c:pt>
                <c:pt idx="457">
                  <c:v>1260000</c:v>
                </c:pt>
                <c:pt idx="458">
                  <c:v>1265000</c:v>
                </c:pt>
                <c:pt idx="459">
                  <c:v>1270000</c:v>
                </c:pt>
                <c:pt idx="460">
                  <c:v>1275000</c:v>
                </c:pt>
                <c:pt idx="461">
                  <c:v>1280000</c:v>
                </c:pt>
                <c:pt idx="462">
                  <c:v>1285000</c:v>
                </c:pt>
                <c:pt idx="463">
                  <c:v>1290000</c:v>
                </c:pt>
                <c:pt idx="464">
                  <c:v>1295000</c:v>
                </c:pt>
                <c:pt idx="465">
                  <c:v>1300000</c:v>
                </c:pt>
                <c:pt idx="466">
                  <c:v>1305000</c:v>
                </c:pt>
                <c:pt idx="467">
                  <c:v>1310000</c:v>
                </c:pt>
                <c:pt idx="468">
                  <c:v>1315000</c:v>
                </c:pt>
                <c:pt idx="469">
                  <c:v>1320000</c:v>
                </c:pt>
                <c:pt idx="470">
                  <c:v>1325000</c:v>
                </c:pt>
                <c:pt idx="471">
                  <c:v>1330000</c:v>
                </c:pt>
                <c:pt idx="472">
                  <c:v>1335000</c:v>
                </c:pt>
                <c:pt idx="473">
                  <c:v>1340000</c:v>
                </c:pt>
                <c:pt idx="474">
                  <c:v>1345000</c:v>
                </c:pt>
                <c:pt idx="475">
                  <c:v>1350000</c:v>
                </c:pt>
                <c:pt idx="476">
                  <c:v>1355000</c:v>
                </c:pt>
                <c:pt idx="477">
                  <c:v>1360000</c:v>
                </c:pt>
                <c:pt idx="478">
                  <c:v>1365000</c:v>
                </c:pt>
                <c:pt idx="479">
                  <c:v>1370000</c:v>
                </c:pt>
                <c:pt idx="480">
                  <c:v>1375000</c:v>
                </c:pt>
                <c:pt idx="481">
                  <c:v>1380000</c:v>
                </c:pt>
                <c:pt idx="482">
                  <c:v>1385000</c:v>
                </c:pt>
                <c:pt idx="483">
                  <c:v>1390000</c:v>
                </c:pt>
                <c:pt idx="484">
                  <c:v>1395000</c:v>
                </c:pt>
                <c:pt idx="485">
                  <c:v>1400000</c:v>
                </c:pt>
                <c:pt idx="486">
                  <c:v>1405000</c:v>
                </c:pt>
                <c:pt idx="487">
                  <c:v>1410000</c:v>
                </c:pt>
                <c:pt idx="488">
                  <c:v>1415000</c:v>
                </c:pt>
                <c:pt idx="489">
                  <c:v>1420000</c:v>
                </c:pt>
                <c:pt idx="490">
                  <c:v>1425000</c:v>
                </c:pt>
                <c:pt idx="491">
                  <c:v>1430000</c:v>
                </c:pt>
                <c:pt idx="492">
                  <c:v>1435000</c:v>
                </c:pt>
                <c:pt idx="493">
                  <c:v>1440000</c:v>
                </c:pt>
                <c:pt idx="494">
                  <c:v>1445000</c:v>
                </c:pt>
                <c:pt idx="495">
                  <c:v>1450000</c:v>
                </c:pt>
                <c:pt idx="496">
                  <c:v>1455000</c:v>
                </c:pt>
                <c:pt idx="497">
                  <c:v>1460000</c:v>
                </c:pt>
                <c:pt idx="498">
                  <c:v>1465000</c:v>
                </c:pt>
                <c:pt idx="499">
                  <c:v>1470000</c:v>
                </c:pt>
                <c:pt idx="500">
                  <c:v>1475000</c:v>
                </c:pt>
                <c:pt idx="501">
                  <c:v>1480000</c:v>
                </c:pt>
                <c:pt idx="502">
                  <c:v>1485000</c:v>
                </c:pt>
                <c:pt idx="503">
                  <c:v>1490000</c:v>
                </c:pt>
                <c:pt idx="504">
                  <c:v>1495000</c:v>
                </c:pt>
                <c:pt idx="505">
                  <c:v>1500000</c:v>
                </c:pt>
                <c:pt idx="506">
                  <c:v>1505000</c:v>
                </c:pt>
                <c:pt idx="507">
                  <c:v>1510000</c:v>
                </c:pt>
                <c:pt idx="508">
                  <c:v>1515000</c:v>
                </c:pt>
                <c:pt idx="509">
                  <c:v>1520000</c:v>
                </c:pt>
                <c:pt idx="510">
                  <c:v>1525000</c:v>
                </c:pt>
                <c:pt idx="511">
                  <c:v>1530000</c:v>
                </c:pt>
                <c:pt idx="512">
                  <c:v>1535000</c:v>
                </c:pt>
                <c:pt idx="513">
                  <c:v>1540000</c:v>
                </c:pt>
                <c:pt idx="514">
                  <c:v>1545000</c:v>
                </c:pt>
                <c:pt idx="515">
                  <c:v>1550000</c:v>
                </c:pt>
                <c:pt idx="516">
                  <c:v>1555000</c:v>
                </c:pt>
                <c:pt idx="517">
                  <c:v>1560000</c:v>
                </c:pt>
                <c:pt idx="518">
                  <c:v>1565000</c:v>
                </c:pt>
                <c:pt idx="519">
                  <c:v>1570000</c:v>
                </c:pt>
                <c:pt idx="520">
                  <c:v>1575000</c:v>
                </c:pt>
                <c:pt idx="521">
                  <c:v>1580000</c:v>
                </c:pt>
                <c:pt idx="522">
                  <c:v>1585000</c:v>
                </c:pt>
                <c:pt idx="523">
                  <c:v>1590000</c:v>
                </c:pt>
                <c:pt idx="524">
                  <c:v>1595000</c:v>
                </c:pt>
                <c:pt idx="525">
                  <c:v>1600000</c:v>
                </c:pt>
                <c:pt idx="526">
                  <c:v>1605000</c:v>
                </c:pt>
                <c:pt idx="527">
                  <c:v>1610000</c:v>
                </c:pt>
                <c:pt idx="528">
                  <c:v>1615000</c:v>
                </c:pt>
                <c:pt idx="529">
                  <c:v>1620000</c:v>
                </c:pt>
                <c:pt idx="530">
                  <c:v>1625000</c:v>
                </c:pt>
                <c:pt idx="531">
                  <c:v>1630000</c:v>
                </c:pt>
                <c:pt idx="532">
                  <c:v>1635000</c:v>
                </c:pt>
                <c:pt idx="533">
                  <c:v>1640000</c:v>
                </c:pt>
                <c:pt idx="534">
                  <c:v>1645000</c:v>
                </c:pt>
                <c:pt idx="535">
                  <c:v>1650000</c:v>
                </c:pt>
                <c:pt idx="536">
                  <c:v>1655000</c:v>
                </c:pt>
                <c:pt idx="537">
                  <c:v>1660000</c:v>
                </c:pt>
                <c:pt idx="538">
                  <c:v>1665000</c:v>
                </c:pt>
                <c:pt idx="539">
                  <c:v>1670000</c:v>
                </c:pt>
                <c:pt idx="540">
                  <c:v>1675000</c:v>
                </c:pt>
                <c:pt idx="541">
                  <c:v>1680000</c:v>
                </c:pt>
                <c:pt idx="542">
                  <c:v>1685000</c:v>
                </c:pt>
                <c:pt idx="543">
                  <c:v>1690000</c:v>
                </c:pt>
                <c:pt idx="544">
                  <c:v>1695000</c:v>
                </c:pt>
                <c:pt idx="545">
                  <c:v>1700000</c:v>
                </c:pt>
                <c:pt idx="546">
                  <c:v>1705000</c:v>
                </c:pt>
                <c:pt idx="547">
                  <c:v>1710000</c:v>
                </c:pt>
                <c:pt idx="548">
                  <c:v>1715000</c:v>
                </c:pt>
                <c:pt idx="549">
                  <c:v>1720000</c:v>
                </c:pt>
                <c:pt idx="550">
                  <c:v>1725000</c:v>
                </c:pt>
                <c:pt idx="551">
                  <c:v>1730000</c:v>
                </c:pt>
                <c:pt idx="552">
                  <c:v>1735000</c:v>
                </c:pt>
                <c:pt idx="553">
                  <c:v>1740000</c:v>
                </c:pt>
                <c:pt idx="554">
                  <c:v>1745000</c:v>
                </c:pt>
                <c:pt idx="555">
                  <c:v>1750000</c:v>
                </c:pt>
                <c:pt idx="556">
                  <c:v>1755000</c:v>
                </c:pt>
                <c:pt idx="557">
                  <c:v>1760000</c:v>
                </c:pt>
                <c:pt idx="558">
                  <c:v>1765000</c:v>
                </c:pt>
                <c:pt idx="559">
                  <c:v>1770000</c:v>
                </c:pt>
                <c:pt idx="560">
                  <c:v>1775000</c:v>
                </c:pt>
                <c:pt idx="561">
                  <c:v>1780000</c:v>
                </c:pt>
                <c:pt idx="562">
                  <c:v>1785000</c:v>
                </c:pt>
                <c:pt idx="563">
                  <c:v>1790000</c:v>
                </c:pt>
                <c:pt idx="564">
                  <c:v>1795000</c:v>
                </c:pt>
                <c:pt idx="565">
                  <c:v>1800000</c:v>
                </c:pt>
                <c:pt idx="566">
                  <c:v>1805000</c:v>
                </c:pt>
                <c:pt idx="567">
                  <c:v>1810000</c:v>
                </c:pt>
                <c:pt idx="568">
                  <c:v>1815000</c:v>
                </c:pt>
                <c:pt idx="569">
                  <c:v>1820000</c:v>
                </c:pt>
                <c:pt idx="570">
                  <c:v>1825000</c:v>
                </c:pt>
                <c:pt idx="571">
                  <c:v>1830000</c:v>
                </c:pt>
                <c:pt idx="572">
                  <c:v>1835000</c:v>
                </c:pt>
                <c:pt idx="573">
                  <c:v>1840000</c:v>
                </c:pt>
                <c:pt idx="574">
                  <c:v>1845000</c:v>
                </c:pt>
                <c:pt idx="575">
                  <c:v>1850000</c:v>
                </c:pt>
                <c:pt idx="576">
                  <c:v>1855000</c:v>
                </c:pt>
                <c:pt idx="577">
                  <c:v>1860000</c:v>
                </c:pt>
                <c:pt idx="578">
                  <c:v>1865000</c:v>
                </c:pt>
                <c:pt idx="579">
                  <c:v>1870000</c:v>
                </c:pt>
                <c:pt idx="580">
                  <c:v>1875000</c:v>
                </c:pt>
                <c:pt idx="581">
                  <c:v>1880000</c:v>
                </c:pt>
                <c:pt idx="582">
                  <c:v>1885000</c:v>
                </c:pt>
                <c:pt idx="583">
                  <c:v>1890000</c:v>
                </c:pt>
                <c:pt idx="584">
                  <c:v>1895000</c:v>
                </c:pt>
                <c:pt idx="585">
                  <c:v>1900000</c:v>
                </c:pt>
                <c:pt idx="586">
                  <c:v>1905000</c:v>
                </c:pt>
                <c:pt idx="587">
                  <c:v>1910000</c:v>
                </c:pt>
                <c:pt idx="588">
                  <c:v>1915000</c:v>
                </c:pt>
                <c:pt idx="589">
                  <c:v>1920000</c:v>
                </c:pt>
                <c:pt idx="590">
                  <c:v>1925000</c:v>
                </c:pt>
                <c:pt idx="591">
                  <c:v>1930000</c:v>
                </c:pt>
                <c:pt idx="592">
                  <c:v>1935000</c:v>
                </c:pt>
                <c:pt idx="593">
                  <c:v>1940000</c:v>
                </c:pt>
                <c:pt idx="594">
                  <c:v>1945000</c:v>
                </c:pt>
                <c:pt idx="595">
                  <c:v>1950000</c:v>
                </c:pt>
                <c:pt idx="596">
                  <c:v>1955000</c:v>
                </c:pt>
                <c:pt idx="597">
                  <c:v>1960000</c:v>
                </c:pt>
                <c:pt idx="598">
                  <c:v>1965000</c:v>
                </c:pt>
                <c:pt idx="599">
                  <c:v>1970000</c:v>
                </c:pt>
                <c:pt idx="600">
                  <c:v>1975000</c:v>
                </c:pt>
                <c:pt idx="601">
                  <c:v>1980000</c:v>
                </c:pt>
                <c:pt idx="602">
                  <c:v>1985000</c:v>
                </c:pt>
                <c:pt idx="603">
                  <c:v>1990000</c:v>
                </c:pt>
                <c:pt idx="604">
                  <c:v>1995000</c:v>
                </c:pt>
                <c:pt idx="605">
                  <c:v>2000000</c:v>
                </c:pt>
                <c:pt idx="606">
                  <c:v>2250000</c:v>
                </c:pt>
                <c:pt idx="607">
                  <c:v>2500000</c:v>
                </c:pt>
                <c:pt idx="608">
                  <c:v>2750000</c:v>
                </c:pt>
                <c:pt idx="609">
                  <c:v>3000000</c:v>
                </c:pt>
                <c:pt idx="610">
                  <c:v>3250000</c:v>
                </c:pt>
                <c:pt idx="611">
                  <c:v>3500000</c:v>
                </c:pt>
                <c:pt idx="612">
                  <c:v>3750000</c:v>
                </c:pt>
                <c:pt idx="613">
                  <c:v>4000000</c:v>
                </c:pt>
                <c:pt idx="614">
                  <c:v>4250000</c:v>
                </c:pt>
                <c:pt idx="615">
                  <c:v>4500000</c:v>
                </c:pt>
                <c:pt idx="616">
                  <c:v>4750000</c:v>
                </c:pt>
                <c:pt idx="617">
                  <c:v>5000000</c:v>
                </c:pt>
                <c:pt idx="618">
                  <c:v>5100000</c:v>
                </c:pt>
                <c:pt idx="619">
                  <c:v>5200000</c:v>
                </c:pt>
                <c:pt idx="620">
                  <c:v>5300000</c:v>
                </c:pt>
                <c:pt idx="621">
                  <c:v>5400000</c:v>
                </c:pt>
                <c:pt idx="622">
                  <c:v>5500000</c:v>
                </c:pt>
                <c:pt idx="623">
                  <c:v>5600000</c:v>
                </c:pt>
                <c:pt idx="624">
                  <c:v>5700000</c:v>
                </c:pt>
                <c:pt idx="625">
                  <c:v>5800000</c:v>
                </c:pt>
                <c:pt idx="626">
                  <c:v>5900000</c:v>
                </c:pt>
                <c:pt idx="627">
                  <c:v>6000000</c:v>
                </c:pt>
                <c:pt idx="628">
                  <c:v>6100000</c:v>
                </c:pt>
                <c:pt idx="629">
                  <c:v>6200000</c:v>
                </c:pt>
                <c:pt idx="630">
                  <c:v>6300000</c:v>
                </c:pt>
                <c:pt idx="631">
                  <c:v>6400000</c:v>
                </c:pt>
                <c:pt idx="632">
                  <c:v>6500000</c:v>
                </c:pt>
                <c:pt idx="633">
                  <c:v>6600000</c:v>
                </c:pt>
                <c:pt idx="634">
                  <c:v>6700000</c:v>
                </c:pt>
                <c:pt idx="635">
                  <c:v>6800000</c:v>
                </c:pt>
                <c:pt idx="636">
                  <c:v>6900000</c:v>
                </c:pt>
                <c:pt idx="637">
                  <c:v>7000000</c:v>
                </c:pt>
                <c:pt idx="638">
                  <c:v>7100000</c:v>
                </c:pt>
                <c:pt idx="639">
                  <c:v>7200000</c:v>
                </c:pt>
                <c:pt idx="640">
                  <c:v>7300000</c:v>
                </c:pt>
                <c:pt idx="641">
                  <c:v>7400000</c:v>
                </c:pt>
                <c:pt idx="642">
                  <c:v>7500000</c:v>
                </c:pt>
                <c:pt idx="643">
                  <c:v>7600000</c:v>
                </c:pt>
                <c:pt idx="644">
                  <c:v>7700000</c:v>
                </c:pt>
                <c:pt idx="645">
                  <c:v>7800000</c:v>
                </c:pt>
                <c:pt idx="646">
                  <c:v>7900000</c:v>
                </c:pt>
                <c:pt idx="647">
                  <c:v>8000000</c:v>
                </c:pt>
                <c:pt idx="648">
                  <c:v>8100000</c:v>
                </c:pt>
                <c:pt idx="649">
                  <c:v>8200000</c:v>
                </c:pt>
                <c:pt idx="650">
                  <c:v>8300000</c:v>
                </c:pt>
                <c:pt idx="651">
                  <c:v>8400000</c:v>
                </c:pt>
                <c:pt idx="652">
                  <c:v>8500000</c:v>
                </c:pt>
                <c:pt idx="653">
                  <c:v>8600000</c:v>
                </c:pt>
                <c:pt idx="654">
                  <c:v>8700000</c:v>
                </c:pt>
                <c:pt idx="655">
                  <c:v>8800000</c:v>
                </c:pt>
                <c:pt idx="656">
                  <c:v>8900000</c:v>
                </c:pt>
                <c:pt idx="657">
                  <c:v>9000000</c:v>
                </c:pt>
                <c:pt idx="658">
                  <c:v>9100000</c:v>
                </c:pt>
                <c:pt idx="659">
                  <c:v>9200000</c:v>
                </c:pt>
                <c:pt idx="660">
                  <c:v>9300000</c:v>
                </c:pt>
                <c:pt idx="661">
                  <c:v>9400000</c:v>
                </c:pt>
                <c:pt idx="662">
                  <c:v>9500000</c:v>
                </c:pt>
                <c:pt idx="663">
                  <c:v>9600000</c:v>
                </c:pt>
                <c:pt idx="664">
                  <c:v>9700000</c:v>
                </c:pt>
                <c:pt idx="665">
                  <c:v>9800000</c:v>
                </c:pt>
                <c:pt idx="666">
                  <c:v>9900000</c:v>
                </c:pt>
                <c:pt idx="667">
                  <c:v>10000000</c:v>
                </c:pt>
              </c:numCache>
            </c:numRef>
          </c:xVal>
          <c:yVal>
            <c:numRef>
              <c:f>'Bode Plots Calculations'!$BB$9:$BB$676</c:f>
              <c:numCache>
                <c:formatCode>General</c:formatCode>
                <c:ptCount val="668"/>
                <c:pt idx="0">
                  <c:v>48.956577708468664</c:v>
                </c:pt>
                <c:pt idx="1">
                  <c:v>48.898275950280592</c:v>
                </c:pt>
                <c:pt idx="2">
                  <c:v>48.802812616317013</c:v>
                </c:pt>
                <c:pt idx="3">
                  <c:v>48.672594049119553</c:v>
                </c:pt>
                <c:pt idx="4">
                  <c:v>48.510710298431164</c:v>
                </c:pt>
                <c:pt idx="5">
                  <c:v>48.320712016741524</c:v>
                </c:pt>
                <c:pt idx="6">
                  <c:v>48.106386195021429</c:v>
                </c:pt>
                <c:pt idx="7">
                  <c:v>47.871555160741053</c:v>
                </c:pt>
                <c:pt idx="8">
                  <c:v>47.619914140659432</c:v>
                </c:pt>
                <c:pt idx="9">
                  <c:v>47.354913389698588</c:v>
                </c:pt>
                <c:pt idx="10">
                  <c:v>44.488908162373477</c:v>
                </c:pt>
                <c:pt idx="11">
                  <c:v>41.92373134883767</c:v>
                </c:pt>
                <c:pt idx="12">
                  <c:v>39.816709165009755</c:v>
                </c:pt>
                <c:pt idx="13">
                  <c:v>38.072578764831391</c:v>
                </c:pt>
                <c:pt idx="14">
                  <c:v>36.598174426512585</c:v>
                </c:pt>
                <c:pt idx="15">
                  <c:v>35.32649873478271</c:v>
                </c:pt>
                <c:pt idx="16">
                  <c:v>34.210931493606878</c:v>
                </c:pt>
                <c:pt idx="17">
                  <c:v>33.218551255516452</c:v>
                </c:pt>
                <c:pt idx="18">
                  <c:v>32.325529386066584</c:v>
                </c:pt>
                <c:pt idx="19">
                  <c:v>26.378440342371242</c:v>
                </c:pt>
                <c:pt idx="20">
                  <c:v>22.874078172693203</c:v>
                </c:pt>
                <c:pt idx="21">
                  <c:v>20.385816401623792</c:v>
                </c:pt>
                <c:pt idx="22">
                  <c:v>18.457294376393946</c:v>
                </c:pt>
                <c:pt idx="23">
                  <c:v>16.884021016886187</c:v>
                </c:pt>
                <c:pt idx="24">
                  <c:v>15.556621766827806</c:v>
                </c:pt>
                <c:pt idx="25">
                  <c:v>14.409712215689465</c:v>
                </c:pt>
                <c:pt idx="26">
                  <c:v>13.401077130755555</c:v>
                </c:pt>
                <c:pt idx="27">
                  <c:v>12.501871359986168</c:v>
                </c:pt>
                <c:pt idx="28">
                  <c:v>9.0829411798906712</c:v>
                </c:pt>
                <c:pt idx="29">
                  <c:v>6.7246900566820713</c:v>
                </c:pt>
                <c:pt idx="30">
                  <c:v>4.96218320536771</c:v>
                </c:pt>
                <c:pt idx="31">
                  <c:v>3.5863368936700857</c:v>
                </c:pt>
                <c:pt idx="32">
                  <c:v>2.4838823470987297</c:v>
                </c:pt>
                <c:pt idx="33">
                  <c:v>1.5857427701024376</c:v>
                </c:pt>
                <c:pt idx="34">
                  <c:v>0.8461720718105582</c:v>
                </c:pt>
                <c:pt idx="35">
                  <c:v>0.23300194167017874</c:v>
                </c:pt>
                <c:pt idx="36">
                  <c:v>-0.27742022775768993</c:v>
                </c:pt>
                <c:pt idx="37">
                  <c:v>-0.70307962676071112</c:v>
                </c:pt>
                <c:pt idx="38">
                  <c:v>-1.0580056930723312</c:v>
                </c:pt>
                <c:pt idx="39">
                  <c:v>-1.3533594009208185</c:v>
                </c:pt>
                <c:pt idx="40">
                  <c:v>-1.5981574411376984</c:v>
                </c:pt>
                <c:pt idx="41">
                  <c:v>-1.7997744090810566</c:v>
                </c:pt>
                <c:pt idx="42">
                  <c:v>-1.9643030627131148</c:v>
                </c:pt>
                <c:pt idx="43">
                  <c:v>-2.0968201201648609</c:v>
                </c:pt>
                <c:pt idx="44">
                  <c:v>-2.2015869107308239</c:v>
                </c:pt>
                <c:pt idx="45">
                  <c:v>-2.2822036838849695</c:v>
                </c:pt>
                <c:pt idx="46">
                  <c:v>-2.3417300738745701</c:v>
                </c:pt>
                <c:pt idx="47">
                  <c:v>-2.3827802986493234</c:v>
                </c:pt>
                <c:pt idx="48">
                  <c:v>-2.4075991539153758</c:v>
                </c:pt>
                <c:pt idx="49">
                  <c:v>-2.4181231925482982</c:v>
                </c:pt>
                <c:pt idx="50">
                  <c:v>-2.4160303376117227</c:v>
                </c:pt>
                <c:pt idx="51">
                  <c:v>-2.4027803750819317</c:v>
                </c:pt>
                <c:pt idx="52">
                  <c:v>-2.379648195283063</c:v>
                </c:pt>
                <c:pt idx="53">
                  <c:v>-2.3477512282138884</c:v>
                </c:pt>
                <c:pt idx="54">
                  <c:v>-2.3080722012424881</c:v>
                </c:pt>
                <c:pt idx="55">
                  <c:v>-2.2614781075536343</c:v>
                </c:pt>
                <c:pt idx="56">
                  <c:v>-2.2087360895495776</c:v>
                </c:pt>
                <c:pt idx="57">
                  <c:v>-2.1505267987217902</c:v>
                </c:pt>
                <c:pt idx="58">
                  <c:v>-2.0874556820802281</c:v>
                </c:pt>
                <c:pt idx="59">
                  <c:v>-2.0200625576096227</c:v>
                </c:pt>
                <c:pt idx="60">
                  <c:v>-1.9488297719310079</c:v>
                </c:pt>
                <c:pt idx="61">
                  <c:v>-1.87418917827219</c:v>
                </c:pt>
                <c:pt idx="62">
                  <c:v>-1.7965281288804564</c:v>
                </c:pt>
                <c:pt idx="63">
                  <c:v>-1.7161946407631581</c:v>
                </c:pt>
                <c:pt idx="64">
                  <c:v>-1.6335018652795541</c:v>
                </c:pt>
                <c:pt idx="65">
                  <c:v>-1.5487319692048871</c:v>
                </c:pt>
                <c:pt idx="66">
                  <c:v>-1.462139516329128</c:v>
                </c:pt>
                <c:pt idx="67">
                  <c:v>-1.3739544235653547</c:v>
                </c:pt>
                <c:pt idx="68">
                  <c:v>-1.2843845532353317</c:v>
                </c:pt>
                <c:pt idx="69">
                  <c:v>-1.1936179931281394</c:v>
                </c:pt>
                <c:pt idx="70">
                  <c:v>-1.1018250676577912</c:v>
                </c:pt>
                <c:pt idx="71">
                  <c:v>-1.0091601166336135</c:v>
                </c:pt>
                <c:pt idx="72">
                  <c:v>-0.91576307252659728</c:v>
                </c:pt>
                <c:pt idx="73">
                  <c:v>-0.82176086244587965</c:v>
                </c:pt>
                <c:pt idx="74">
                  <c:v>-0.72726865715453626</c:v>
                </c:pt>
                <c:pt idx="75">
                  <c:v>-0.63239098621088397</c:v>
                </c:pt>
                <c:pt idx="76">
                  <c:v>-0.53722273560443701</c:v>
                </c:pt>
                <c:pt idx="77">
                  <c:v>-0.44185004197244981</c:v>
                </c:pt>
                <c:pt idx="78">
                  <c:v>-0.34635109555742261</c:v>
                </c:pt>
                <c:pt idx="79">
                  <c:v>-0.25079686243627797</c:v>
                </c:pt>
                <c:pt idx="80">
                  <c:v>-0.15525173516904942</c:v>
                </c:pt>
                <c:pt idx="81">
                  <c:v>-5.977411983630599E-2</c:v>
                </c:pt>
                <c:pt idx="82">
                  <c:v>3.5583033571942098E-2</c:v>
                </c:pt>
                <c:pt idx="83">
                  <c:v>0.13077175131641589</c:v>
                </c:pt>
                <c:pt idx="84">
                  <c:v>0.22574860126033783</c:v>
                </c:pt>
                <c:pt idx="85">
                  <c:v>0.32047429869549626</c:v>
                </c:pt>
                <c:pt idx="86">
                  <c:v>0.41491334847926326</c:v>
                </c:pt>
                <c:pt idx="87">
                  <c:v>0.50903371979916112</c:v>
                </c:pt>
                <c:pt idx="88">
                  <c:v>0.60280655029998553</c:v>
                </c:pt>
                <c:pt idx="89">
                  <c:v>0.69620587667279799</c:v>
                </c:pt>
                <c:pt idx="90">
                  <c:v>0.78920838912401481</c:v>
                </c:pt>
                <c:pt idx="91">
                  <c:v>0.88179320742223555</c:v>
                </c:pt>
                <c:pt idx="92">
                  <c:v>0.97394167646630658</c:v>
                </c:pt>
                <c:pt idx="93">
                  <c:v>1.0656371795342843</c:v>
                </c:pt>
                <c:pt idx="94">
                  <c:v>1.156864967564105</c:v>
                </c:pt>
                <c:pt idx="95">
                  <c:v>1.2476120029855435</c:v>
                </c:pt>
                <c:pt idx="96">
                  <c:v>1.3378668167730354</c:v>
                </c:pt>
                <c:pt idx="97">
                  <c:v>1.4276193775216817</c:v>
                </c:pt>
                <c:pt idx="98">
                  <c:v>1.5168609714671402</c:v>
                </c:pt>
                <c:pt idx="99">
                  <c:v>1.6055840924755409</c:v>
                </c:pt>
                <c:pt idx="100">
                  <c:v>1.6937823411236397</c:v>
                </c:pt>
                <c:pt idx="101">
                  <c:v>1.7814503320735375</c:v>
                </c:pt>
                <c:pt idx="102">
                  <c:v>1.8685836090215424</c:v>
                </c:pt>
                <c:pt idx="103">
                  <c:v>1.9551785665683852</c:v>
                </c:pt>
                <c:pt idx="104">
                  <c:v>2.0412323784185791</c:v>
                </c:pt>
                <c:pt idx="105">
                  <c:v>2.1267429313710746</c:v>
                </c:pt>
                <c:pt idx="106">
                  <c:v>2.2117087646127005</c:v>
                </c:pt>
                <c:pt idx="107">
                  <c:v>2.2961290138696859</c:v>
                </c:pt>
                <c:pt idx="108">
                  <c:v>2.3800033600127781</c:v>
                </c:pt>
                <c:pt idx="109">
                  <c:v>2.4633319817472814</c:v>
                </c:pt>
                <c:pt idx="110">
                  <c:v>2.5461155120518515</c:v>
                </c:pt>
                <c:pt idx="111">
                  <c:v>2.6283549980595495</c:v>
                </c:pt>
                <c:pt idx="112">
                  <c:v>2.7100518641010103</c:v>
                </c:pt>
                <c:pt idx="113">
                  <c:v>2.7912078776540987</c:v>
                </c:pt>
                <c:pt idx="114">
                  <c:v>2.8718251179660363</c:v>
                </c:pt>
                <c:pt idx="115">
                  <c:v>2.951905947134168</c:v>
                </c:pt>
                <c:pt idx="116">
                  <c:v>3.031452983449511</c:v>
                </c:pt>
                <c:pt idx="117">
                  <c:v>3.1104690768236716</c:v>
                </c:pt>
                <c:pt idx="118">
                  <c:v>3.188957286134789</c:v>
                </c:pt>
                <c:pt idx="119">
                  <c:v>3.2669208583417593</c:v>
                </c:pt>
                <c:pt idx="120">
                  <c:v>3.3443632092284341</c:v>
                </c:pt>
                <c:pt idx="121">
                  <c:v>3.4212879056509053</c:v>
                </c:pt>
                <c:pt idx="122">
                  <c:v>3.4976986491711766</c:v>
                </c:pt>
                <c:pt idx="123">
                  <c:v>3.5735992609702167</c:v>
                </c:pt>
                <c:pt idx="124">
                  <c:v>3.6489936679418533</c:v>
                </c:pt>
                <c:pt idx="125">
                  <c:v>3.7238858898769318</c:v>
                </c:pt>
                <c:pt idx="126">
                  <c:v>3.7982800276544033</c:v>
                </c:pt>
                <c:pt idx="127">
                  <c:v>3.8721802523626114</c:v>
                </c:pt>
                <c:pt idx="128">
                  <c:v>3.945590795280153</c:v>
                </c:pt>
                <c:pt idx="129">
                  <c:v>4.0185159386511202</c:v>
                </c:pt>
                <c:pt idx="130">
                  <c:v>4.0909600071948535</c:v>
                </c:pt>
                <c:pt idx="131">
                  <c:v>4.1629273602947539</c:v>
                </c:pt>
                <c:pt idx="132">
                  <c:v>4.2344223848151872</c:v>
                </c:pt>
                <c:pt idx="133">
                  <c:v>4.3054494884993524</c:v>
                </c:pt>
                <c:pt idx="134">
                  <c:v>4.3760130939046569</c:v>
                </c:pt>
                <c:pt idx="135">
                  <c:v>4.4461176328354188</c:v>
                </c:pt>
                <c:pt idx="136">
                  <c:v>4.5157675412358618</c:v>
                </c:pt>
                <c:pt idx="137">
                  <c:v>4.5849672545090758</c:v>
                </c:pt>
                <c:pt idx="138">
                  <c:v>4.6537212032302939</c:v>
                </c:pt>
                <c:pt idx="139">
                  <c:v>4.7220338092251843</c:v>
                </c:pt>
                <c:pt idx="140">
                  <c:v>4.7899094819860704</c:v>
                </c:pt>
                <c:pt idx="141">
                  <c:v>4.8573526154009956</c:v>
                </c:pt>
                <c:pt idx="142">
                  <c:v>4.9243675847724697</c:v>
                </c:pt>
                <c:pt idx="143">
                  <c:v>4.9909587441043142</c:v>
                </c:pt>
                <c:pt idx="144">
                  <c:v>5.0571304236369121</c:v>
                </c:pt>
                <c:pt idx="145">
                  <c:v>5.122886927612238</c:v>
                </c:pt>
                <c:pt idx="146">
                  <c:v>5.1882325322517087</c:v>
                </c:pt>
                <c:pt idx="147">
                  <c:v>5.2531714839310419</c:v>
                </c:pt>
                <c:pt idx="148">
                  <c:v>5.3177079975374504</c:v>
                </c:pt>
                <c:pt idx="149">
                  <c:v>5.3818462549955441</c:v>
                </c:pt>
                <c:pt idx="150">
                  <c:v>5.4455904039494136</c:v>
                </c:pt>
                <c:pt idx="151">
                  <c:v>5.5089445565891557</c:v>
                </c:pt>
                <c:pt idx="152">
                  <c:v>5.5719127886110185</c:v>
                </c:pt>
                <c:pt idx="153">
                  <c:v>5.634499138301071</c:v>
                </c:pt>
                <c:pt idx="154">
                  <c:v>5.696707605733204</c:v>
                </c:pt>
                <c:pt idx="155">
                  <c:v>5.7585421520725442</c:v>
                </c:pt>
                <c:pt idx="156">
                  <c:v>5.8200066989765409</c:v>
                </c:pt>
                <c:pt idx="157">
                  <c:v>5.8811051280860296</c:v>
                </c:pt>
                <c:pt idx="158">
                  <c:v>5.9418412805994443</c:v>
                </c:pt>
                <c:pt idx="159">
                  <c:v>6.002218956923759</c:v>
                </c:pt>
                <c:pt idx="160">
                  <c:v>6.0622419163961236</c:v>
                </c:pt>
                <c:pt idx="161">
                  <c:v>6.1219138770707024</c:v>
                </c:pt>
                <c:pt idx="162">
                  <c:v>6.1812385155655072</c:v>
                </c:pt>
                <c:pt idx="163">
                  <c:v>6.2402194669645006</c:v>
                </c:pt>
                <c:pt idx="164">
                  <c:v>6.298860324770458</c:v>
                </c:pt>
                <c:pt idx="165">
                  <c:v>6.3571646409045224</c:v>
                </c:pt>
                <c:pt idx="166">
                  <c:v>6.4151359257485581</c:v>
                </c:pt>
                <c:pt idx="167">
                  <c:v>6.472777648226784</c:v>
                </c:pt>
                <c:pt idx="168">
                  <c:v>6.5300932359233368</c:v>
                </c:pt>
                <c:pt idx="169">
                  <c:v>6.5870860752327465</c:v>
                </c:pt>
                <c:pt idx="170">
                  <c:v>6.6437595115403925</c:v>
                </c:pt>
                <c:pt idx="171">
                  <c:v>6.7001168494303629</c:v>
                </c:pt>
                <c:pt idx="172">
                  <c:v>6.7561613529182036</c:v>
                </c:pt>
                <c:pt idx="173">
                  <c:v>6.8118962457062961</c:v>
                </c:pt>
                <c:pt idx="174">
                  <c:v>6.8673247114597036</c:v>
                </c:pt>
                <c:pt idx="175">
                  <c:v>6.9224498941006152</c:v>
                </c:pt>
                <c:pt idx="176">
                  <c:v>6.9772748981193944</c:v>
                </c:pt>
                <c:pt idx="177">
                  <c:v>7.0318027889007064</c:v>
                </c:pt>
                <c:pt idx="178">
                  <c:v>7.08603659306302</c:v>
                </c:pt>
                <c:pt idx="179">
                  <c:v>7.1399792988101041</c:v>
                </c:pt>
                <c:pt idx="180">
                  <c:v>7.1936338562931272</c:v>
                </c:pt>
                <c:pt idx="181">
                  <c:v>7.2470031779821102</c:v>
                </c:pt>
                <c:pt idx="182">
                  <c:v>7.3000901390455661</c:v>
                </c:pt>
                <c:pt idx="183">
                  <c:v>7.3528975777372887</c:v>
                </c:pt>
                <c:pt idx="184">
                  <c:v>7.405428295789207</c:v>
                </c:pt>
                <c:pt idx="185">
                  <c:v>7.4576850588094885</c:v>
                </c:pt>
                <c:pt idx="186">
                  <c:v>7.5096705966849706</c:v>
                </c:pt>
                <c:pt idx="187">
                  <c:v>7.56138760398711</c:v>
                </c:pt>
                <c:pt idx="188">
                  <c:v>7.6128387403808055</c:v>
                </c:pt>
                <c:pt idx="189">
                  <c:v>7.6640266310353606</c:v>
                </c:pt>
                <c:pt idx="190">
                  <c:v>7.7149538670369591</c:v>
                </c:pt>
                <c:pt idx="191">
                  <c:v>7.7656230058021016</c:v>
                </c:pt>
                <c:pt idx="192">
                  <c:v>7.8160365714915203</c:v>
                </c:pt>
                <c:pt idx="193">
                  <c:v>7.8661970554239522</c:v>
                </c:pt>
                <c:pt idx="194">
                  <c:v>7.9161069164895217</c:v>
                </c:pt>
                <c:pt idx="195">
                  <c:v>7.9657685815621138</c:v>
                </c:pt>
                <c:pt idx="196">
                  <c:v>8.0151844459105366</c:v>
                </c:pt>
                <c:pt idx="197">
                  <c:v>8.0643568736080287</c:v>
                </c:pt>
                <c:pt idx="198">
                  <c:v>8.1132881979398075</c:v>
                </c:pt>
                <c:pt idx="199">
                  <c:v>8.1619807218084421</c:v>
                </c:pt>
                <c:pt idx="200">
                  <c:v>8.210436718136684</c:v>
                </c:pt>
                <c:pt idx="201">
                  <c:v>8.2586584302675838</c:v>
                </c:pt>
                <c:pt idx="202">
                  <c:v>8.3066480723617211</c:v>
                </c:pt>
                <c:pt idx="203">
                  <c:v>8.3544078297912137</c:v>
                </c:pt>
                <c:pt idx="204">
                  <c:v>8.4019398595304597</c:v>
                </c:pt>
                <c:pt idx="205">
                  <c:v>8.4492462905434333</c:v>
                </c:pt>
                <c:pt idx="206">
                  <c:v>8.4963292241673241</c:v>
                </c:pt>
                <c:pt idx="207">
                  <c:v>8.5431907344924447</c:v>
                </c:pt>
                <c:pt idx="208">
                  <c:v>8.5898328687383536</c:v>
                </c:pt>
                <c:pt idx="209">
                  <c:v>8.636257647625925</c:v>
                </c:pt>
                <c:pt idx="210">
                  <c:v>8.6824670657454917</c:v>
                </c:pt>
                <c:pt idx="211">
                  <c:v>8.7284630919207942</c:v>
                </c:pt>
                <c:pt idx="212">
                  <c:v>8.774247669568835</c:v>
                </c:pt>
                <c:pt idx="213">
                  <c:v>8.8198227170554286</c:v>
                </c:pt>
                <c:pt idx="214">
                  <c:v>8.8651901280465459</c:v>
                </c:pt>
                <c:pt idx="215">
                  <c:v>8.9103517718553213</c:v>
                </c:pt>
                <c:pt idx="216">
                  <c:v>8.9553094937847142</c:v>
                </c:pt>
                <c:pt idx="217">
                  <c:v>9.0000651154658389</c:v>
                </c:pt>
                <c:pt idx="218">
                  <c:v>9.0446204351918684</c:v>
                </c:pt>
                <c:pt idx="219">
                  <c:v>9.0889772282476358</c:v>
                </c:pt>
                <c:pt idx="220">
                  <c:v>9.1331372472347567</c:v>
                </c:pt>
                <c:pt idx="221">
                  <c:v>9.1771022223924472</c:v>
                </c:pt>
                <c:pt idx="222">
                  <c:v>9.2208738619138852</c:v>
                </c:pt>
                <c:pt idx="223">
                  <c:v>9.2644538522582778</c:v>
                </c:pt>
                <c:pt idx="224">
                  <c:v>9.3078438584585061</c:v>
                </c:pt>
                <c:pt idx="225">
                  <c:v>9.3510455244245065</c:v>
                </c:pt>
                <c:pt idx="226">
                  <c:v>9.7730506143434752</c:v>
                </c:pt>
                <c:pt idx="227">
                  <c:v>10.177884115904623</c:v>
                </c:pt>
                <c:pt idx="228">
                  <c:v>10.566884360469119</c:v>
                </c:pt>
                <c:pt idx="229">
                  <c:v>10.94123433212825</c:v>
                </c:pt>
                <c:pt idx="230">
                  <c:v>11.301981661071137</c:v>
                </c:pt>
                <c:pt idx="231">
                  <c:v>11.650055678617724</c:v>
                </c:pt>
                <c:pt idx="232">
                  <c:v>11.986281966461359</c:v>
                </c:pt>
                <c:pt idx="233">
                  <c:v>12.311394784239475</c:v>
                </c:pt>
                <c:pt idx="234">
                  <c:v>12.626047707593306</c:v>
                </c:pt>
                <c:pt idx="235">
                  <c:v>12.930822759636273</c:v>
                </c:pt>
                <c:pt idx="236">
                  <c:v>13.226238274771351</c:v>
                </c:pt>
                <c:pt idx="237">
                  <c:v>13.512755695770808</c:v>
                </c:pt>
                <c:pt idx="238">
                  <c:v>13.790785472764798</c:v>
                </c:pt>
                <c:pt idx="239">
                  <c:v>14.060692205707531</c:v>
                </c:pt>
                <c:pt idx="240">
                  <c:v>14.322799149306721</c:v>
                </c:pt>
                <c:pt idx="241">
                  <c:v>14.577392180623809</c:v>
                </c:pt>
                <c:pt idx="242">
                  <c:v>14.824723313946386</c:v>
                </c:pt>
                <c:pt idx="243">
                  <c:v>15.065013834546752</c:v>
                </c:pt>
                <c:pt idx="244">
                  <c:v>15.298457112100346</c:v>
                </c:pt>
                <c:pt idx="245">
                  <c:v>15.525221145446491</c:v>
                </c:pt>
                <c:pt idx="246">
                  <c:v>15.745450882703116</c:v>
                </c:pt>
                <c:pt idx="247">
                  <c:v>15.959270354222582</c:v>
                </c:pt>
                <c:pt idx="248">
                  <c:v>16.166784650274018</c:v>
                </c:pt>
                <c:pt idx="249">
                  <c:v>16.368081770474724</c:v>
                </c:pt>
                <c:pt idx="250">
                  <c:v>16.563234367720732</c:v>
                </c:pt>
                <c:pt idx="251">
                  <c:v>16.752301405564541</c:v>
                </c:pt>
                <c:pt idx="252">
                  <c:v>16.935329744562143</c:v>
                </c:pt>
                <c:pt idx="253">
                  <c:v>17.112355669988702</c:v>
                </c:pt>
                <c:pt idx="254">
                  <c:v>17.283406370449118</c:v>
                </c:pt>
                <c:pt idx="255">
                  <c:v>17.44850137424859</c:v>
                </c:pt>
                <c:pt idx="256">
                  <c:v>17.607653947917715</c:v>
                </c:pt>
                <c:pt idx="257">
                  <c:v>17.760872458995948</c:v>
                </c:pt>
                <c:pt idx="258">
                  <c:v>17.908161703069496</c:v>
                </c:pt>
                <c:pt idx="259">
                  <c:v>18.049524193144574</c:v>
                </c:pt>
                <c:pt idx="260">
                  <c:v>18.18496140773275</c:v>
                </c:pt>
                <c:pt idx="261">
                  <c:v>18.31447499255535</c:v>
                </c:pt>
                <c:pt idx="262">
                  <c:v>18.438067909562406</c:v>
                </c:pt>
                <c:pt idx="263">
                  <c:v>18.555745526035288</c:v>
                </c:pt>
                <c:pt idx="264">
                  <c:v>18.667516635922116</c:v>
                </c:pt>
                <c:pt idx="265">
                  <c:v>18.773394405259808</c:v>
                </c:pt>
                <c:pt idx="266">
                  <c:v>18.873397233575229</c:v>
                </c:pt>
                <c:pt idx="267">
                  <c:v>18.967549523531666</c:v>
                </c:pt>
                <c:pt idx="268">
                  <c:v>19.055882351785364</c:v>
                </c:pt>
                <c:pt idx="269">
                  <c:v>19.138434035018484</c:v>
                </c:pt>
                <c:pt idx="270">
                  <c:v>19.215250586386702</c:v>
                </c:pt>
                <c:pt idx="271">
                  <c:v>19.2863860591176</c:v>
                </c:pt>
                <c:pt idx="272">
                  <c:v>19.351902775667277</c:v>
                </c:pt>
                <c:pt idx="273">
                  <c:v>19.411871442626737</c:v>
                </c:pt>
                <c:pt idx="274">
                  <c:v>19.466371153402054</c:v>
                </c:pt>
                <c:pt idx="275">
                  <c:v>19.515489282507389</c:v>
                </c:pt>
                <c:pt idx="276">
                  <c:v>19.559321277042866</c:v>
                </c:pt>
                <c:pt idx="277">
                  <c:v>19.597970352521592</c:v>
                </c:pt>
                <c:pt idx="278">
                  <c:v>19.63154710160914</c:v>
                </c:pt>
                <c:pt idx="279">
                  <c:v>19.660169025503279</c:v>
                </c:pt>
                <c:pt idx="280">
                  <c:v>19.683959998581013</c:v>
                </c:pt>
                <c:pt idx="281">
                  <c:v>19.703049677555487</c:v>
                </c:pt>
                <c:pt idx="282">
                  <c:v>19.717572866711656</c:v>
                </c:pt>
                <c:pt idx="283">
                  <c:v>19.727668850832437</c:v>
                </c:pt>
                <c:pt idx="284">
                  <c:v>19.73348070720337</c:v>
                </c:pt>
                <c:pt idx="285">
                  <c:v>19.735154607618391</c:v>
                </c:pt>
                <c:pt idx="286">
                  <c:v>19.732839120635759</c:v>
                </c:pt>
                <c:pt idx="287">
                  <c:v>19.726684523487581</c:v>
                </c:pt>
                <c:pt idx="288">
                  <c:v>19.716842132069608</c:v>
                </c:pt>
                <c:pt idx="289">
                  <c:v>19.703463656369692</c:v>
                </c:pt>
                <c:pt idx="290">
                  <c:v>19.686700587572986</c:v>
                </c:pt>
                <c:pt idx="291">
                  <c:v>19.666703621946031</c:v>
                </c:pt>
                <c:pt idx="292">
                  <c:v>19.643622125482278</c:v>
                </c:pt>
                <c:pt idx="293">
                  <c:v>19.61760364221654</c:v>
                </c:pt>
                <c:pt idx="294">
                  <c:v>19.588793448107527</c:v>
                </c:pt>
                <c:pt idx="295">
                  <c:v>19.557334151462943</c:v>
                </c:pt>
                <c:pt idx="296">
                  <c:v>19.523365340053576</c:v>
                </c:pt>
                <c:pt idx="297">
                  <c:v>19.4870232743374</c:v>
                </c:pt>
                <c:pt idx="298">
                  <c:v>19.448440625596071</c:v>
                </c:pt>
                <c:pt idx="299">
                  <c:v>19.407746257273271</c:v>
                </c:pt>
                <c:pt idx="300">
                  <c:v>19.365065047392804</c:v>
                </c:pt>
                <c:pt idx="301">
                  <c:v>19.320517749619931</c:v>
                </c:pt>
                <c:pt idx="302">
                  <c:v>19.274220890302121</c:v>
                </c:pt>
                <c:pt idx="303">
                  <c:v>19.226286698678521</c:v>
                </c:pt>
                <c:pt idx="304">
                  <c:v>19.176823067370048</c:v>
                </c:pt>
                <c:pt idx="305">
                  <c:v>19.125933540245093</c:v>
                </c:pt>
                <c:pt idx="306">
                  <c:v>19.073717324789627</c:v>
                </c:pt>
                <c:pt idx="307">
                  <c:v>19.02026932618611</c:v>
                </c:pt>
                <c:pt idx="308">
                  <c:v>18.965680200414226</c:v>
                </c:pt>
                <c:pt idx="309">
                  <c:v>18.91003642382055</c:v>
                </c:pt>
                <c:pt idx="310">
                  <c:v>18.853420376756866</c:v>
                </c:pt>
                <c:pt idx="311">
                  <c:v>18.795910439051756</c:v>
                </c:pt>
                <c:pt idx="312">
                  <c:v>18.737581095252484</c:v>
                </c:pt>
                <c:pt idx="313">
                  <c:v>18.678503047748784</c:v>
                </c:pt>
                <c:pt idx="314">
                  <c:v>18.618743336064789</c:v>
                </c:pt>
                <c:pt idx="315">
                  <c:v>18.558365460775349</c:v>
                </c:pt>
                <c:pt idx="316">
                  <c:v>18.497429510667764</c:v>
                </c:pt>
                <c:pt idx="317">
                  <c:v>18.435992291926496</c:v>
                </c:pt>
                <c:pt idx="318">
                  <c:v>18.374107458266231</c:v>
                </c:pt>
                <c:pt idx="319">
                  <c:v>18.311825641076883</c:v>
                </c:pt>
                <c:pt idx="320">
                  <c:v>18.249194578771743</c:v>
                </c:pt>
                <c:pt idx="321">
                  <c:v>18.186259244647694</c:v>
                </c:pt>
                <c:pt idx="322">
                  <c:v>18.123061972673447</c:v>
                </c:pt>
                <c:pt idx="323">
                  <c:v>18.059642580718741</c:v>
                </c:pt>
                <c:pt idx="324">
                  <c:v>17.996038490825029</c:v>
                </c:pt>
                <c:pt idx="325">
                  <c:v>17.932284846195984</c:v>
                </c:pt>
                <c:pt idx="326">
                  <c:v>17.868414624655731</c:v>
                </c:pt>
                <c:pt idx="327">
                  <c:v>17.804458748383773</c:v>
                </c:pt>
                <c:pt idx="328">
                  <c:v>17.740446189789438</c:v>
                </c:pt>
                <c:pt idx="329">
                  <c:v>17.676404073435368</c:v>
                </c:pt>
                <c:pt idx="330">
                  <c:v>17.612357773959971</c:v>
                </c:pt>
                <c:pt idx="331">
                  <c:v>17.548331009983706</c:v>
                </c:pt>
                <c:pt idx="332">
                  <c:v>17.484345934013405</c:v>
                </c:pt>
                <c:pt idx="333">
                  <c:v>17.420423218383903</c:v>
                </c:pt>
                <c:pt idx="334">
                  <c:v>17.356582137297046</c:v>
                </c:pt>
                <c:pt idx="335">
                  <c:v>17.292840645035255</c:v>
                </c:pt>
                <c:pt idx="336">
                  <c:v>17.229215450440702</c:v>
                </c:pt>
                <c:pt idx="337">
                  <c:v>17.165722087762287</c:v>
                </c:pt>
                <c:pt idx="338">
                  <c:v>17.102374983981083</c:v>
                </c:pt>
                <c:pt idx="339">
                  <c:v>17.039187522731343</c:v>
                </c:pt>
                <c:pt idx="340">
                  <c:v>16.976172104938772</c:v>
                </c:pt>
                <c:pt idx="341">
                  <c:v>16.913340206300589</c:v>
                </c:pt>
                <c:pt idx="342">
                  <c:v>16.850702431733524</c:v>
                </c:pt>
                <c:pt idx="343">
                  <c:v>16.788268566916351</c:v>
                </c:pt>
                <c:pt idx="344">
                  <c:v>16.726047627052843</c:v>
                </c:pt>
                <c:pt idx="345">
                  <c:v>16.664047902979831</c:v>
                </c:pt>
                <c:pt idx="346">
                  <c:v>16.602277004742767</c:v>
                </c:pt>
                <c:pt idx="347">
                  <c:v>16.540741902758917</c:v>
                </c:pt>
                <c:pt idx="348">
                  <c:v>16.479448966684874</c:v>
                </c:pt>
                <c:pt idx="349">
                  <c:v>16.418404002102108</c:v>
                </c:pt>
                <c:pt idx="350">
                  <c:v>16.357612285130326</c:v>
                </c:pt>
                <c:pt idx="351">
                  <c:v>16.297078595074844</c:v>
                </c:pt>
                <c:pt idx="352">
                  <c:v>16.236807245210002</c:v>
                </c:pt>
                <c:pt idx="353">
                  <c:v>16.176802111796853</c:v>
                </c:pt>
                <c:pt idx="354">
                  <c:v>16.117066661429135</c:v>
                </c:pt>
                <c:pt idx="355">
                  <c:v>16.057603976797584</c:v>
                </c:pt>
                <c:pt idx="356">
                  <c:v>15.998416780958589</c:v>
                </c:pt>
                <c:pt idx="357">
                  <c:v>15.939507460189208</c:v>
                </c:pt>
                <c:pt idx="358">
                  <c:v>15.880878085506771</c:v>
                </c:pt>
                <c:pt idx="359">
                  <c:v>15.822530432927351</c:v>
                </c:pt>
                <c:pt idx="360">
                  <c:v>15.764466002533897</c:v>
                </c:pt>
                <c:pt idx="361">
                  <c:v>15.706686036421022</c:v>
                </c:pt>
                <c:pt idx="362">
                  <c:v>15.649191535580268</c:v>
                </c:pt>
                <c:pt idx="363">
                  <c:v>15.591983275786024</c:v>
                </c:pt>
                <c:pt idx="364">
                  <c:v>15.535061822539365</c:v>
                </c:pt>
                <c:pt idx="365">
                  <c:v>15.478427545123925</c:v>
                </c:pt>
                <c:pt idx="366">
                  <c:v>15.422080629824864</c:v>
                </c:pt>
                <c:pt idx="367">
                  <c:v>15.366021092359404</c:v>
                </c:pt>
                <c:pt idx="368">
                  <c:v>15.310248789564563</c:v>
                </c:pt>
                <c:pt idx="369">
                  <c:v>15.254763430385323</c:v>
                </c:pt>
                <c:pt idx="370">
                  <c:v>15.199564586203904</c:v>
                </c:pt>
                <c:pt idx="371">
                  <c:v>15.144651700548625</c:v>
                </c:pt>
                <c:pt idx="372">
                  <c:v>15.090024098218667</c:v>
                </c:pt>
                <c:pt idx="373">
                  <c:v>15.035680993858788</c:v>
                </c:pt>
                <c:pt idx="374">
                  <c:v>14.981621500016463</c:v>
                </c:pt>
                <c:pt idx="375">
                  <c:v>14.927844634711583</c:v>
                </c:pt>
                <c:pt idx="376">
                  <c:v>14.87434932854759</c:v>
                </c:pt>
                <c:pt idx="377">
                  <c:v>14.821134431390796</c:v>
                </c:pt>
                <c:pt idx="378">
                  <c:v>14.7681987186435</c:v>
                </c:pt>
                <c:pt idx="379">
                  <c:v>14.715540897134643</c:v>
                </c:pt>
                <c:pt idx="380">
                  <c:v>14.663159610650712</c:v>
                </c:pt>
                <c:pt idx="381">
                  <c:v>14.611053445127954</c:v>
                </c:pt>
                <c:pt idx="382">
                  <c:v>14.559220933525944</c:v>
                </c:pt>
                <c:pt idx="383">
                  <c:v>14.507660560401344</c:v>
                </c:pt>
                <c:pt idx="384">
                  <c:v>14.456370766199409</c:v>
                </c:pt>
                <c:pt idx="385">
                  <c:v>14.405349951280096</c:v>
                </c:pt>
                <c:pt idx="386">
                  <c:v>14.354596479694194</c:v>
                </c:pt>
                <c:pt idx="387">
                  <c:v>14.304108682724513</c:v>
                </c:pt>
                <c:pt idx="388">
                  <c:v>14.253884862205728</c:v>
                </c:pt>
                <c:pt idx="389">
                  <c:v>14.203923293636173</c:v>
                </c:pt>
                <c:pt idx="390">
                  <c:v>14.154222229093701</c:v>
                </c:pt>
                <c:pt idx="391">
                  <c:v>14.104779899967317</c:v>
                </c:pt>
                <c:pt idx="392">
                  <c:v>14.05559451951534</c:v>
                </c:pt>
                <c:pt idx="393">
                  <c:v>14.006664285260435</c:v>
                </c:pt>
                <c:pt idx="394">
                  <c:v>13.957987381231092</c:v>
                </c:pt>
                <c:pt idx="395">
                  <c:v>13.909561980058678</c:v>
                </c:pt>
                <c:pt idx="396">
                  <c:v>13.861386244938496</c:v>
                </c:pt>
                <c:pt idx="397">
                  <c:v>13.813458331463043</c:v>
                </c:pt>
                <c:pt idx="398">
                  <c:v>13.765776389334821</c:v>
                </c:pt>
                <c:pt idx="399">
                  <c:v>13.718338563966036</c:v>
                </c:pt>
                <c:pt idx="400">
                  <c:v>13.671142997971693</c:v>
                </c:pt>
                <c:pt idx="401">
                  <c:v>13.624187832562537</c:v>
                </c:pt>
                <c:pt idx="402">
                  <c:v>13.577471208843633</c:v>
                </c:pt>
                <c:pt idx="403">
                  <c:v>13.530991269024311</c:v>
                </c:pt>
                <c:pt idx="404">
                  <c:v>13.484746157544619</c:v>
                </c:pt>
                <c:pt idx="405">
                  <c:v>13.43873402212331</c:v>
                </c:pt>
                <c:pt idx="406">
                  <c:v>13.392953014731965</c:v>
                </c:pt>
                <c:pt idx="407">
                  <c:v>13.347401292499697</c:v>
                </c:pt>
                <c:pt idx="408">
                  <c:v>13.302077018552529</c:v>
                </c:pt>
                <c:pt idx="409">
                  <c:v>13.256978362791298</c:v>
                </c:pt>
                <c:pt idx="410">
                  <c:v>13.21210350261188</c:v>
                </c:pt>
                <c:pt idx="411">
                  <c:v>13.167450623571028</c:v>
                </c:pt>
                <c:pt idx="412">
                  <c:v>13.123017920001161</c:v>
                </c:pt>
                <c:pt idx="413">
                  <c:v>13.07880359557717</c:v>
                </c:pt>
                <c:pt idx="414">
                  <c:v>13.034805863838063</c:v>
                </c:pt>
                <c:pt idx="415">
                  <c:v>12.991022948666206</c:v>
                </c:pt>
                <c:pt idx="416">
                  <c:v>12.947453084726735</c:v>
                </c:pt>
                <c:pt idx="417">
                  <c:v>12.904094517869481</c:v>
                </c:pt>
                <c:pt idx="418">
                  <c:v>12.860945505495767</c:v>
                </c:pt>
                <c:pt idx="419">
                  <c:v>12.818004316892079</c:v>
                </c:pt>
                <c:pt idx="420">
                  <c:v>12.775269233532827</c:v>
                </c:pt>
                <c:pt idx="421">
                  <c:v>12.732738549353877</c:v>
                </c:pt>
                <c:pt idx="422">
                  <c:v>12.690410570998765</c:v>
                </c:pt>
                <c:pt idx="423">
                  <c:v>12.648283618039295</c:v>
                </c:pt>
                <c:pt idx="424">
                  <c:v>12.606356023172015</c:v>
                </c:pt>
                <c:pt idx="425">
                  <c:v>12.564626132392132</c:v>
                </c:pt>
                <c:pt idx="426">
                  <c:v>12.523092305146257</c:v>
                </c:pt>
                <c:pt idx="427">
                  <c:v>12.481752914465327</c:v>
                </c:pt>
                <c:pt idx="428">
                  <c:v>12.440606347078916</c:v>
                </c:pt>
                <c:pt idx="429">
                  <c:v>12.399651003512131</c:v>
                </c:pt>
                <c:pt idx="430">
                  <c:v>12.358885298166239</c:v>
                </c:pt>
                <c:pt idx="431">
                  <c:v>12.318307659383997</c:v>
                </c:pt>
                <c:pt idx="432">
                  <c:v>12.277916529500752</c:v>
                </c:pt>
                <c:pt idx="433">
                  <c:v>12.23771036488219</c:v>
                </c:pt>
                <c:pt idx="434">
                  <c:v>12.197687635949608</c:v>
                </c:pt>
                <c:pt idx="435">
                  <c:v>12.157846827193563</c:v>
                </c:pt>
                <c:pt idx="436">
                  <c:v>12.11818643717667</c:v>
                </c:pt>
                <c:pt idx="437">
                  <c:v>12.07870497852624</c:v>
                </c:pt>
                <c:pt idx="438">
                  <c:v>12.039400977917527</c:v>
                </c:pt>
                <c:pt idx="439">
                  <c:v>12.000272976048139</c:v>
                </c:pt>
                <c:pt idx="440">
                  <c:v>11.961319527604289</c:v>
                </c:pt>
                <c:pt idx="441">
                  <c:v>11.922539201219482</c:v>
                </c:pt>
                <c:pt idx="442">
                  <c:v>11.883930579426085</c:v>
                </c:pt>
                <c:pt idx="443">
                  <c:v>11.845492258600407</c:v>
                </c:pt>
                <c:pt idx="444">
                  <c:v>11.807222848901686</c:v>
                </c:pt>
                <c:pt idx="445">
                  <c:v>11.769120974205475</c:v>
                </c:pt>
                <c:pt idx="446">
                  <c:v>11.731185272031855</c:v>
                </c:pt>
                <c:pt idx="447">
                  <c:v>11.693414393468851</c:v>
                </c:pt>
                <c:pt idx="448">
                  <c:v>11.655807003091471</c:v>
                </c:pt>
                <c:pt idx="449">
                  <c:v>11.618361778876675</c:v>
                </c:pt>
                <c:pt idx="450">
                  <c:v>11.581077412114652</c:v>
                </c:pt>
                <c:pt idx="451">
                  <c:v>11.543952607316699</c:v>
                </c:pt>
                <c:pt idx="452">
                  <c:v>11.506986082119992</c:v>
                </c:pt>
                <c:pt idx="453">
                  <c:v>11.470176567189554</c:v>
                </c:pt>
                <c:pt idx="454">
                  <c:v>11.433522806117653</c:v>
                </c:pt>
                <c:pt idx="455">
                  <c:v>11.397023555320906</c:v>
                </c:pt>
                <c:pt idx="456">
                  <c:v>11.360677583935278</c:v>
                </c:pt>
                <c:pt idx="457">
                  <c:v>11.324483673709242</c:v>
                </c:pt>
                <c:pt idx="458">
                  <c:v>11.288440618895279</c:v>
                </c:pt>
                <c:pt idx="459">
                  <c:v>11.252547226139914</c:v>
                </c:pt>
                <c:pt idx="460">
                  <c:v>11.216802314372444</c:v>
                </c:pt>
                <c:pt idx="461">
                  <c:v>11.181204714692601</c:v>
                </c:pt>
                <c:pt idx="462">
                  <c:v>11.145753270257179</c:v>
                </c:pt>
                <c:pt idx="463">
                  <c:v>11.110446836165957</c:v>
                </c:pt>
                <c:pt idx="464">
                  <c:v>11.075284279346851</c:v>
                </c:pt>
                <c:pt idx="465">
                  <c:v>11.040264478440578</c:v>
                </c:pt>
                <c:pt idx="466">
                  <c:v>11.005386323684913</c:v>
                </c:pt>
                <c:pt idx="467">
                  <c:v>10.970648716798621</c:v>
                </c:pt>
                <c:pt idx="468">
                  <c:v>10.936050570865174</c:v>
                </c:pt>
                <c:pt idx="469">
                  <c:v>10.901590810216426</c:v>
                </c:pt>
                <c:pt idx="470">
                  <c:v>10.867268370316228</c:v>
                </c:pt>
                <c:pt idx="471">
                  <c:v>10.833082197644181</c:v>
                </c:pt>
                <c:pt idx="472">
                  <c:v>10.799031249579507</c:v>
                </c:pt>
                <c:pt idx="473">
                  <c:v>10.765114494285172</c:v>
                </c:pt>
                <c:pt idx="474">
                  <c:v>10.731330910592348</c:v>
                </c:pt>
                <c:pt idx="475">
                  <c:v>10.697679487885221</c:v>
                </c:pt>
                <c:pt idx="476">
                  <c:v>10.664159225986243</c:v>
                </c:pt>
                <c:pt idx="477">
                  <c:v>10.630769135041884</c:v>
                </c:pt>
                <c:pt idx="478">
                  <c:v>10.597508235408924</c:v>
                </c:pt>
                <c:pt idx="479">
                  <c:v>10.564375557541329</c:v>
                </c:pt>
                <c:pt idx="480">
                  <c:v>10.531370141877797</c:v>
                </c:pt>
                <c:pt idx="481">
                  <c:v>10.498491038729949</c:v>
                </c:pt>
                <c:pt idx="482">
                  <c:v>10.465737308171253</c:v>
                </c:pt>
                <c:pt idx="483">
                  <c:v>10.433108019926697</c:v>
                </c:pt>
                <c:pt idx="484">
                  <c:v>10.400602253263253</c:v>
                </c:pt>
                <c:pt idx="485">
                  <c:v>10.36821909688115</c:v>
                </c:pt>
                <c:pt idx="486">
                  <c:v>10.335957648805994</c:v>
                </c:pt>
                <c:pt idx="487">
                  <c:v>10.3038170162817</c:v>
                </c:pt>
                <c:pt idx="488">
                  <c:v>10.271796315664423</c:v>
                </c:pt>
                <c:pt idx="489">
                  <c:v>10.239894672317289</c:v>
                </c:pt>
                <c:pt idx="490">
                  <c:v>10.208111220506071</c:v>
                </c:pt>
                <c:pt idx="491">
                  <c:v>10.176445103295856</c:v>
                </c:pt>
                <c:pt idx="492">
                  <c:v>10.14489547244863</c:v>
                </c:pt>
                <c:pt idx="493">
                  <c:v>10.113461488321793</c:v>
                </c:pt>
                <c:pt idx="494">
                  <c:v>10.082142319767737</c:v>
                </c:pt>
                <c:pt idx="495">
                  <c:v>10.05093714403432</c:v>
                </c:pt>
                <c:pt idx="496">
                  <c:v>10.019845146666409</c:v>
                </c:pt>
                <c:pt idx="497">
                  <c:v>9.9888655214083801</c:v>
                </c:pt>
                <c:pt idx="498">
                  <c:v>9.9579974701076281</c:v>
                </c:pt>
                <c:pt idx="499">
                  <c:v>9.9272402026191013</c:v>
                </c:pt>
                <c:pt idx="500">
                  <c:v>9.8965929367108636</c:v>
                </c:pt>
                <c:pt idx="501">
                  <c:v>9.8660548979706224</c:v>
                </c:pt>
                <c:pt idx="502">
                  <c:v>9.8356253197133388</c:v>
                </c:pt>
                <c:pt idx="503">
                  <c:v>9.8053034428897927</c:v>
                </c:pt>
                <c:pt idx="504">
                  <c:v>9.7750885159962326</c:v>
                </c:pt>
                <c:pt idx="505">
                  <c:v>9.7449797949849888</c:v>
                </c:pt>
                <c:pt idx="506">
                  <c:v>9.7149765431760962</c:v>
                </c:pt>
                <c:pt idx="507">
                  <c:v>9.6850780311700131</c:v>
                </c:pt>
                <c:pt idx="508">
                  <c:v>9.65528353676123</c:v>
                </c:pt>
                <c:pt idx="509">
                  <c:v>9.6255923448529899</c:v>
                </c:pt>
                <c:pt idx="510">
                  <c:v>9.5960037473729258</c:v>
                </c:pt>
                <c:pt idx="511">
                  <c:v>9.5665170431897728</c:v>
                </c:pt>
                <c:pt idx="512">
                  <c:v>9.5371315380309927</c:v>
                </c:pt>
                <c:pt idx="513">
                  <c:v>9.5078465444014597</c:v>
                </c:pt>
                <c:pt idx="514">
                  <c:v>9.4786613815030734</c:v>
                </c:pt>
                <c:pt idx="515">
                  <c:v>9.4495753751553622</c:v>
                </c:pt>
                <c:pt idx="516">
                  <c:v>9.420587857717063</c:v>
                </c:pt>
                <c:pt idx="517">
                  <c:v>9.3916981680086504</c:v>
                </c:pt>
                <c:pt idx="518">
                  <c:v>9.3629056512358151</c:v>
                </c:pt>
                <c:pt idx="519">
                  <c:v>9.3342096589139061</c:v>
                </c:pt>
                <c:pt idx="520">
                  <c:v>9.3056095487932815</c:v>
                </c:pt>
                <c:pt idx="521">
                  <c:v>9.2771046847856269</c:v>
                </c:pt>
                <c:pt idx="522">
                  <c:v>9.2486944368911441</c:v>
                </c:pt>
                <c:pt idx="523">
                  <c:v>9.2203781811267067</c:v>
                </c:pt>
                <c:pt idx="524">
                  <c:v>9.1921552994548943</c:v>
                </c:pt>
                <c:pt idx="525">
                  <c:v>9.1640251797139101</c:v>
                </c:pt>
                <c:pt idx="526">
                  <c:v>9.135987215548413</c:v>
                </c:pt>
                <c:pt idx="527">
                  <c:v>9.1080408063411884</c:v>
                </c:pt>
                <c:pt idx="528">
                  <c:v>9.0801853571457585</c:v>
                </c:pt>
                <c:pt idx="529">
                  <c:v>9.0524202786197812</c:v>
                </c:pt>
                <c:pt idx="530">
                  <c:v>9.0247449869593197</c:v>
                </c:pt>
                <c:pt idx="531">
                  <c:v>8.9971589038339932</c:v>
                </c:pt>
                <c:pt idx="532">
                  <c:v>8.9696614563228891</c:v>
                </c:pt>
                <c:pt idx="533">
                  <c:v>8.942252076851382</c:v>
                </c:pt>
                <c:pt idx="534">
                  <c:v>8.9149302031286943</c:v>
                </c:pt>
                <c:pt idx="535">
                  <c:v>8.8876952780863103</c:v>
                </c:pt>
                <c:pt idx="536">
                  <c:v>8.8605467498171606</c:v>
                </c:pt>
                <c:pt idx="537">
                  <c:v>8.8334840715155902</c:v>
                </c:pt>
                <c:pt idx="538">
                  <c:v>8.8065067014181491</c:v>
                </c:pt>
                <c:pt idx="539">
                  <c:v>8.7796141027450787</c:v>
                </c:pt>
                <c:pt idx="540">
                  <c:v>8.7528057436426092</c:v>
                </c:pt>
                <c:pt idx="541">
                  <c:v>8.7260810971260021</c:v>
                </c:pt>
                <c:pt idx="542">
                  <c:v>8.6994396410233215</c:v>
                </c:pt>
                <c:pt idx="543">
                  <c:v>8.672880857919921</c:v>
                </c:pt>
                <c:pt idx="544">
                  <c:v>8.6464042351036916</c:v>
                </c:pt>
                <c:pt idx="545">
                  <c:v>8.6200092645109958</c:v>
                </c:pt>
                <c:pt idx="546">
                  <c:v>8.5936954426733099</c:v>
                </c:pt>
                <c:pt idx="547">
                  <c:v>8.5674622706645671</c:v>
                </c:pt>
                <c:pt idx="548">
                  <c:v>8.5413092540491817</c:v>
                </c:pt>
                <c:pt idx="549">
                  <c:v>8.51523590283076</c:v>
                </c:pt>
                <c:pt idx="550">
                  <c:v>8.489241731401469</c:v>
                </c:pt>
                <c:pt idx="551">
                  <c:v>8.4633262584920761</c:v>
                </c:pt>
                <c:pt idx="552">
                  <c:v>8.4374890071226183</c:v>
                </c:pt>
                <c:pt idx="553">
                  <c:v>8.411729504553751</c:v>
                </c:pt>
                <c:pt idx="554">
                  <c:v>8.3860472822386924</c:v>
                </c:pt>
                <c:pt idx="555">
                  <c:v>8.3604418757758445</c:v>
                </c:pt>
                <c:pt idx="556">
                  <c:v>8.3349128248619557</c:v>
                </c:pt>
                <c:pt idx="557">
                  <c:v>8.3094596732459785</c:v>
                </c:pt>
                <c:pt idx="558">
                  <c:v>8.2840819686834557</c:v>
                </c:pt>
                <c:pt idx="559">
                  <c:v>8.2587792628915651</c:v>
                </c:pt>
                <c:pt idx="560">
                  <c:v>8.2335511115046902</c:v>
                </c:pt>
                <c:pt idx="561">
                  <c:v>8.2083970740306036</c:v>
                </c:pt>
                <c:pt idx="562">
                  <c:v>8.1833167138072209</c:v>
                </c:pt>
                <c:pt idx="563">
                  <c:v>8.1583095979599012</c:v>
                </c:pt>
                <c:pt idx="564">
                  <c:v>8.1333752973593008</c:v>
                </c:pt>
                <c:pt idx="565">
                  <c:v>8.1085133865797978</c:v>
                </c:pt>
                <c:pt idx="566">
                  <c:v>8.0837234438584264</c:v>
                </c:pt>
                <c:pt idx="567">
                  <c:v>8.0590050510543616</c:v>
                </c:pt>
                <c:pt idx="568">
                  <c:v>8.0343577936089243</c:v>
                </c:pt>
                <c:pt idx="569">
                  <c:v>8.0097812605060987</c:v>
                </c:pt>
                <c:pt idx="570">
                  <c:v>7.9852750442335738</c:v>
                </c:pt>
                <c:pt idx="571">
                  <c:v>7.9608387407442631</c:v>
                </c:pt>
                <c:pt idx="572">
                  <c:v>7.936471949418352</c:v>
                </c:pt>
                <c:pt idx="573">
                  <c:v>7.9121742730258129</c:v>
                </c:pt>
                <c:pt idx="574">
                  <c:v>7.8879453176893923</c:v>
                </c:pt>
                <c:pt idx="575">
                  <c:v>7.8637846928481325</c:v>
                </c:pt>
                <c:pt idx="576">
                  <c:v>7.8396920112212722</c:v>
                </c:pt>
                <c:pt idx="577">
                  <c:v>7.8156668887726868</c:v>
                </c:pt>
                <c:pt idx="578">
                  <c:v>7.7917089446757508</c:v>
                </c:pt>
                <c:pt idx="579">
                  <c:v>7.7678178012786496</c:v>
                </c:pt>
                <c:pt idx="580">
                  <c:v>7.7439930840701487</c:v>
                </c:pt>
                <c:pt idx="581">
                  <c:v>7.7202344216457908</c:v>
                </c:pt>
                <c:pt idx="582">
                  <c:v>7.6965414456745176</c:v>
                </c:pt>
                <c:pt idx="583">
                  <c:v>7.6729137908657528</c:v>
                </c:pt>
                <c:pt idx="584">
                  <c:v>7.6493510949368373</c:v>
                </c:pt>
                <c:pt idx="585">
                  <c:v>7.6258529985809531</c:v>
                </c:pt>
                <c:pt idx="586">
                  <c:v>7.6024191454353964</c:v>
                </c:pt>
                <c:pt idx="587">
                  <c:v>7.5790491820503005</c:v>
                </c:pt>
                <c:pt idx="588">
                  <c:v>7.5557427578577059</c:v>
                </c:pt>
                <c:pt idx="589">
                  <c:v>7.5324995251410645</c:v>
                </c:pt>
                <c:pt idx="590">
                  <c:v>7.5093191390051084</c:v>
                </c:pt>
                <c:pt idx="591">
                  <c:v>7.4862012573460817</c:v>
                </c:pt>
                <c:pt idx="592">
                  <c:v>7.4631455408224046</c:v>
                </c:pt>
                <c:pt idx="593">
                  <c:v>7.4401516528256408</c:v>
                </c:pt>
                <c:pt idx="594">
                  <c:v>7.417219259451862</c:v>
                </c:pt>
                <c:pt idx="595">
                  <c:v>7.3943480294733765</c:v>
                </c:pt>
                <c:pt idx="596">
                  <c:v>7.3715376343107994</c:v>
                </c:pt>
                <c:pt idx="597">
                  <c:v>7.3487877480054724</c:v>
                </c:pt>
                <c:pt idx="598">
                  <c:v>7.326098047192227</c:v>
                </c:pt>
                <c:pt idx="599">
                  <c:v>7.3034682110725022</c:v>
                </c:pt>
                <c:pt idx="600">
                  <c:v>7.2808979213877887</c:v>
                </c:pt>
                <c:pt idx="601">
                  <c:v>7.2583868623933876</c:v>
                </c:pt>
                <c:pt idx="602">
                  <c:v>7.2359347208325033</c:v>
                </c:pt>
                <c:pt idx="603">
                  <c:v>7.2135411859106879</c:v>
                </c:pt>
                <c:pt idx="604">
                  <c:v>7.1912059492705547</c:v>
                </c:pt>
                <c:pt idx="605">
                  <c:v>7.1689287049668309</c:v>
                </c:pt>
                <c:pt idx="606">
                  <c:v>6.1228808639342338</c:v>
                </c:pt>
                <c:pt idx="607">
                  <c:v>5.1903175155840922</c:v>
                </c:pt>
                <c:pt idx="608">
                  <c:v>4.3487559933190756</c:v>
                </c:pt>
                <c:pt idx="609">
                  <c:v>3.5818008305444438</c:v>
                </c:pt>
                <c:pt idx="610">
                  <c:v>2.8771291906561238</c:v>
                </c:pt>
                <c:pt idx="611">
                  <c:v>2.2252438356869537</c:v>
                </c:pt>
                <c:pt idx="612">
                  <c:v>1.6186690516494984</c:v>
                </c:pt>
                <c:pt idx="613">
                  <c:v>1.0514136651696537</c:v>
                </c:pt>
                <c:pt idx="614">
                  <c:v>0.51860142246764196</c:v>
                </c:pt>
                <c:pt idx="615">
                  <c:v>1.6209817976707116E-2</c:v>
                </c:pt>
                <c:pt idx="616">
                  <c:v>-0.45911871039493046</c:v>
                </c:pt>
                <c:pt idx="617">
                  <c:v>-0.91021603659210881</c:v>
                </c:pt>
                <c:pt idx="618">
                  <c:v>-1.0841478496749668</c:v>
                </c:pt>
                <c:pt idx="619">
                  <c:v>-1.2545242531627732</c:v>
                </c:pt>
                <c:pt idx="620">
                  <c:v>-1.4214942561604693</c:v>
                </c:pt>
                <c:pt idx="621">
                  <c:v>-1.5851975492797945</c:v>
                </c:pt>
                <c:pt idx="622">
                  <c:v>-1.7457652769441723</c:v>
                </c:pt>
                <c:pt idx="623">
                  <c:v>-1.9033207307359443</c:v>
                </c:pt>
                <c:pt idx="624">
                  <c:v>-2.0579799732959554</c:v>
                </c:pt>
                <c:pt idx="625">
                  <c:v>-2.2098524009778542</c:v>
                </c:pt>
                <c:pt idx="626">
                  <c:v>-2.3590412523525082</c:v>
                </c:pt>
                <c:pt idx="627">
                  <c:v>-2.5056440687177557</c:v>
                </c:pt>
                <c:pt idx="628">
                  <c:v>-2.6497531119680904</c:v>
                </c:pt>
                <c:pt idx="629">
                  <c:v>-2.7914557444944617</c:v>
                </c:pt>
                <c:pt idx="630">
                  <c:v>-2.9308347751981403</c:v>
                </c:pt>
                <c:pt idx="631">
                  <c:v>-3.0679687751987483</c:v>
                </c:pt>
                <c:pt idx="632">
                  <c:v>-3.2029323663823623</c:v>
                </c:pt>
                <c:pt idx="633">
                  <c:v>-3.33579648556054</c:v>
                </c:pt>
                <c:pt idx="634">
                  <c:v>-3.4666286266862523</c:v>
                </c:pt>
                <c:pt idx="635">
                  <c:v>-3.595493063290585</c:v>
                </c:pt>
                <c:pt idx="636">
                  <c:v>-3.7224510530586379</c:v>
                </c:pt>
                <c:pt idx="637">
                  <c:v>-3.8475610262486986</c:v>
                </c:pt>
                <c:pt idx="638">
                  <c:v>-3.9708787594717103</c:v>
                </c:pt>
                <c:pt idx="639">
                  <c:v>-4.0924575361836926</c:v>
                </c:pt>
                <c:pt idx="640">
                  <c:v>-4.2123482950998978</c:v>
                </c:pt>
                <c:pt idx="641">
                  <c:v>-4.3305997676124761</c:v>
                </c:pt>
                <c:pt idx="642">
                  <c:v>-4.44725860518178</c:v>
                </c:pt>
                <c:pt idx="643">
                  <c:v>-4.562369497572468</c:v>
                </c:pt>
                <c:pt idx="644">
                  <c:v>-4.675975282718384</c:v>
                </c:pt>
                <c:pt idx="645">
                  <c:v>-4.7881170489223956</c:v>
                </c:pt>
                <c:pt idx="646">
                  <c:v>-4.8988342300287524</c:v>
                </c:pt>
                <c:pt idx="647">
                  <c:v>-5.0081646941440621</c:v>
                </c:pt>
                <c:pt idx="648">
                  <c:v>-5.1161448264284477</c:v>
                </c:pt>
                <c:pt idx="649">
                  <c:v>-5.222809606429669</c:v>
                </c:pt>
                <c:pt idx="650">
                  <c:v>-5.3281926803893906</c:v>
                </c:pt>
                <c:pt idx="651">
                  <c:v>-5.4323264289116437</c:v>
                </c:pt>
                <c:pt idx="652">
                  <c:v>-5.5352420303485905</c:v>
                </c:pt>
                <c:pt idx="653">
                  <c:v>-5.6369695202272272</c:v>
                </c:pt>
                <c:pt idx="654">
                  <c:v>-5.737537847012149</c:v>
                </c:pt>
                <c:pt idx="655">
                  <c:v>-5.8369749244743012</c:v>
                </c:pt>
                <c:pt idx="656">
                  <c:v>-5.9353076809123637</c:v>
                </c:pt>
                <c:pt idx="657">
                  <c:v>-6.0325621054527954</c:v>
                </c:pt>
                <c:pt idx="658">
                  <c:v>-6.1287632916356003</c:v>
                </c:pt>
                <c:pt idx="659">
                  <c:v>-6.2239354784760694</c:v>
                </c:pt>
                <c:pt idx="660">
                  <c:v>-6.3181020891770423</c:v>
                </c:pt>
                <c:pt idx="661">
                  <c:v>-6.4112857676524557</c:v>
                </c:pt>
                <c:pt idx="662">
                  <c:v>-6.5035084130100653</c:v>
                </c:pt>
                <c:pt idx="663">
                  <c:v>-6.5947912121296213</c:v>
                </c:pt>
                <c:pt idx="664">
                  <c:v>-6.6851546704623317</c:v>
                </c:pt>
                <c:pt idx="665">
                  <c:v>-6.7746186411676508</c:v>
                </c:pt>
                <c:pt idx="666">
                  <c:v>-6.8632023526947794</c:v>
                </c:pt>
                <c:pt idx="667">
                  <c:v>-6.9509244349081403</c:v>
                </c:pt>
              </c:numCache>
            </c:numRef>
          </c:yVal>
          <c:smooth val="1"/>
          <c:extLst>
            <c:ext xmlns:c16="http://schemas.microsoft.com/office/drawing/2014/chart" uri="{C3380CC4-5D6E-409C-BE32-E72D297353CC}">
              <c16:uniqueId val="{00000000-5440-0E45-B379-736EB615DA4F}"/>
            </c:ext>
          </c:extLst>
        </c:ser>
        <c:ser>
          <c:idx val="0"/>
          <c:order val="2"/>
          <c:tx>
            <c:v>Measured Gain</c:v>
          </c:tx>
          <c:spPr>
            <a:ln w="12700">
              <a:solidFill>
                <a:srgbClr val="000080"/>
              </a:solidFill>
              <a:prstDash val="solid"/>
            </a:ln>
          </c:spPr>
          <c:marker>
            <c:symbol val="diamond"/>
            <c:size val="5"/>
            <c:spPr>
              <a:solidFill>
                <a:srgbClr val="000080"/>
              </a:solidFill>
              <a:ln>
                <a:solidFill>
                  <a:srgbClr val="000080"/>
                </a:solidFill>
                <a:prstDash val="solid"/>
              </a:ln>
            </c:spPr>
          </c:marker>
          <c:xVal>
            <c:numRef>
              <c:f>'Bode Plots Calculations'!$BT$10:$BT$409</c:f>
              <c:numCache>
                <c:formatCode>#0.0#</c:formatCode>
                <c:ptCount val="400"/>
                <c:pt idx="0">
                  <c:v>100</c:v>
                </c:pt>
                <c:pt idx="1">
                  <c:v>102.32899999999999</c:v>
                </c:pt>
                <c:pt idx="2">
                  <c:v>104.71299999999999</c:v>
                </c:pt>
                <c:pt idx="3">
                  <c:v>107.152</c:v>
                </c:pt>
                <c:pt idx="4">
                  <c:v>109.648</c:v>
                </c:pt>
                <c:pt idx="5">
                  <c:v>112.202</c:v>
                </c:pt>
                <c:pt idx="6">
                  <c:v>114.815</c:v>
                </c:pt>
                <c:pt idx="7">
                  <c:v>117.49</c:v>
                </c:pt>
                <c:pt idx="8">
                  <c:v>120.226</c:v>
                </c:pt>
                <c:pt idx="9">
                  <c:v>123.027</c:v>
                </c:pt>
                <c:pt idx="10">
                  <c:v>125.893</c:v>
                </c:pt>
                <c:pt idx="11">
                  <c:v>128.82499999999999</c:v>
                </c:pt>
                <c:pt idx="12">
                  <c:v>131.82599999999999</c:v>
                </c:pt>
                <c:pt idx="13">
                  <c:v>134.89599999999999</c:v>
                </c:pt>
                <c:pt idx="14">
                  <c:v>138.03800000000001</c:v>
                </c:pt>
                <c:pt idx="15">
                  <c:v>141.25399999999999</c:v>
                </c:pt>
                <c:pt idx="16">
                  <c:v>144.54400000000001</c:v>
                </c:pt>
                <c:pt idx="17">
                  <c:v>147.911</c:v>
                </c:pt>
                <c:pt idx="18">
                  <c:v>151.35599999999999</c:v>
                </c:pt>
                <c:pt idx="19">
                  <c:v>154.88200000000001</c:v>
                </c:pt>
                <c:pt idx="20">
                  <c:v>158.489</c:v>
                </c:pt>
                <c:pt idx="21">
                  <c:v>162.18100000000001</c:v>
                </c:pt>
                <c:pt idx="22">
                  <c:v>165.959</c:v>
                </c:pt>
                <c:pt idx="23">
                  <c:v>169.82400000000001</c:v>
                </c:pt>
                <c:pt idx="24">
                  <c:v>173.78</c:v>
                </c:pt>
                <c:pt idx="25">
                  <c:v>177.828</c:v>
                </c:pt>
                <c:pt idx="26">
                  <c:v>181.97</c:v>
                </c:pt>
                <c:pt idx="27">
                  <c:v>186.209</c:v>
                </c:pt>
                <c:pt idx="28">
                  <c:v>190.54599999999999</c:v>
                </c:pt>
                <c:pt idx="29">
                  <c:v>194.98400000000001</c:v>
                </c:pt>
                <c:pt idx="30">
                  <c:v>199.52600000000001</c:v>
                </c:pt>
                <c:pt idx="31">
                  <c:v>204.17400000000001</c:v>
                </c:pt>
                <c:pt idx="32">
                  <c:v>208.93</c:v>
                </c:pt>
                <c:pt idx="33">
                  <c:v>213.79599999999999</c:v>
                </c:pt>
                <c:pt idx="34">
                  <c:v>218.77600000000001</c:v>
                </c:pt>
                <c:pt idx="35">
                  <c:v>223.87200000000001</c:v>
                </c:pt>
                <c:pt idx="36">
                  <c:v>229.08699999999999</c:v>
                </c:pt>
                <c:pt idx="37">
                  <c:v>234.423</c:v>
                </c:pt>
                <c:pt idx="38">
                  <c:v>239.88300000000001</c:v>
                </c:pt>
                <c:pt idx="39">
                  <c:v>245.471</c:v>
                </c:pt>
                <c:pt idx="40">
                  <c:v>251.18899999999999</c:v>
                </c:pt>
                <c:pt idx="41">
                  <c:v>257.04000000000002</c:v>
                </c:pt>
                <c:pt idx="42">
                  <c:v>263.02699999999999</c:v>
                </c:pt>
                <c:pt idx="43">
                  <c:v>269.15300000000002</c:v>
                </c:pt>
                <c:pt idx="44">
                  <c:v>275.423</c:v>
                </c:pt>
                <c:pt idx="45">
                  <c:v>281.83800000000002</c:v>
                </c:pt>
                <c:pt idx="46">
                  <c:v>288.40300000000002</c:v>
                </c:pt>
                <c:pt idx="47">
                  <c:v>295.12099999999998</c:v>
                </c:pt>
                <c:pt idx="48">
                  <c:v>301.995</c:v>
                </c:pt>
                <c:pt idx="49">
                  <c:v>309.02999999999997</c:v>
                </c:pt>
                <c:pt idx="50">
                  <c:v>316.22800000000001</c:v>
                </c:pt>
                <c:pt idx="51">
                  <c:v>323.59399999999999</c:v>
                </c:pt>
                <c:pt idx="52">
                  <c:v>331.13099999999997</c:v>
                </c:pt>
                <c:pt idx="53">
                  <c:v>338.84399999999999</c:v>
                </c:pt>
                <c:pt idx="54">
                  <c:v>346.73700000000002</c:v>
                </c:pt>
                <c:pt idx="55">
                  <c:v>354.81299999999999</c:v>
                </c:pt>
                <c:pt idx="56">
                  <c:v>363.07799999999997</c:v>
                </c:pt>
                <c:pt idx="57">
                  <c:v>371.53500000000003</c:v>
                </c:pt>
                <c:pt idx="58">
                  <c:v>380.18900000000002</c:v>
                </c:pt>
                <c:pt idx="59">
                  <c:v>389.04500000000002</c:v>
                </c:pt>
                <c:pt idx="60">
                  <c:v>398.10700000000003</c:v>
                </c:pt>
                <c:pt idx="61">
                  <c:v>407.38</c:v>
                </c:pt>
                <c:pt idx="62">
                  <c:v>416.86900000000003</c:v>
                </c:pt>
                <c:pt idx="63">
                  <c:v>426.58</c:v>
                </c:pt>
                <c:pt idx="64">
                  <c:v>436.51600000000002</c:v>
                </c:pt>
                <c:pt idx="65">
                  <c:v>446.68400000000003</c:v>
                </c:pt>
                <c:pt idx="66">
                  <c:v>457.08800000000002</c:v>
                </c:pt>
                <c:pt idx="67">
                  <c:v>467.73500000000001</c:v>
                </c:pt>
                <c:pt idx="68">
                  <c:v>478.63</c:v>
                </c:pt>
                <c:pt idx="69">
                  <c:v>489.779</c:v>
                </c:pt>
                <c:pt idx="70">
                  <c:v>501.18700000000001</c:v>
                </c:pt>
                <c:pt idx="71">
                  <c:v>512.86099999999999</c:v>
                </c:pt>
                <c:pt idx="72">
                  <c:v>524.80700000000002</c:v>
                </c:pt>
                <c:pt idx="73">
                  <c:v>537.03200000000004</c:v>
                </c:pt>
                <c:pt idx="74">
                  <c:v>549.54100000000005</c:v>
                </c:pt>
                <c:pt idx="75">
                  <c:v>562.34100000000001</c:v>
                </c:pt>
                <c:pt idx="76">
                  <c:v>575.44000000000005</c:v>
                </c:pt>
                <c:pt idx="77">
                  <c:v>588.84400000000005</c:v>
                </c:pt>
                <c:pt idx="78">
                  <c:v>602.55999999999995</c:v>
                </c:pt>
                <c:pt idx="79">
                  <c:v>616.59500000000003</c:v>
                </c:pt>
                <c:pt idx="80">
                  <c:v>630.95699999999999</c:v>
                </c:pt>
                <c:pt idx="81">
                  <c:v>645.654</c:v>
                </c:pt>
                <c:pt idx="82">
                  <c:v>660.69299999999998</c:v>
                </c:pt>
                <c:pt idx="83">
                  <c:v>676.08299999999997</c:v>
                </c:pt>
                <c:pt idx="84">
                  <c:v>691.83100000000002</c:v>
                </c:pt>
                <c:pt idx="85">
                  <c:v>707.94600000000003</c:v>
                </c:pt>
                <c:pt idx="86">
                  <c:v>724.43600000000004</c:v>
                </c:pt>
                <c:pt idx="87">
                  <c:v>741.31</c:v>
                </c:pt>
                <c:pt idx="88">
                  <c:v>758.57799999999997</c:v>
                </c:pt>
                <c:pt idx="89">
                  <c:v>776.24699999999996</c:v>
                </c:pt>
                <c:pt idx="90">
                  <c:v>794.32799999999997</c:v>
                </c:pt>
                <c:pt idx="91">
                  <c:v>812.83100000000002</c:v>
                </c:pt>
                <c:pt idx="92">
                  <c:v>831.76400000000001</c:v>
                </c:pt>
                <c:pt idx="93">
                  <c:v>851.13800000000003</c:v>
                </c:pt>
                <c:pt idx="94">
                  <c:v>870.96400000000006</c:v>
                </c:pt>
                <c:pt idx="95">
                  <c:v>891.25099999999998</c:v>
                </c:pt>
                <c:pt idx="96">
                  <c:v>912.01099999999997</c:v>
                </c:pt>
                <c:pt idx="97">
                  <c:v>933.25400000000002</c:v>
                </c:pt>
                <c:pt idx="98">
                  <c:v>954.99300000000005</c:v>
                </c:pt>
                <c:pt idx="99">
                  <c:v>977.23699999999997</c:v>
                </c:pt>
                <c:pt idx="100">
                  <c:v>1000</c:v>
                </c:pt>
                <c:pt idx="101">
                  <c:v>1023.293</c:v>
                </c:pt>
                <c:pt idx="102">
                  <c:v>1047.1289999999999</c:v>
                </c:pt>
                <c:pt idx="103">
                  <c:v>1071.519</c:v>
                </c:pt>
                <c:pt idx="104">
                  <c:v>1096.4780000000001</c:v>
                </c:pt>
                <c:pt idx="105">
                  <c:v>1122.018</c:v>
                </c:pt>
                <c:pt idx="106">
                  <c:v>1148.154</c:v>
                </c:pt>
                <c:pt idx="107">
                  <c:v>1174.8979999999999</c:v>
                </c:pt>
                <c:pt idx="108">
                  <c:v>1202.2639999999999</c:v>
                </c:pt>
                <c:pt idx="109">
                  <c:v>1230.269</c:v>
                </c:pt>
                <c:pt idx="110">
                  <c:v>1258.925</c:v>
                </c:pt>
                <c:pt idx="111">
                  <c:v>1288.25</c:v>
                </c:pt>
                <c:pt idx="112">
                  <c:v>1318.2570000000001</c:v>
                </c:pt>
                <c:pt idx="113">
                  <c:v>1348.963</c:v>
                </c:pt>
                <c:pt idx="114">
                  <c:v>1380.384</c:v>
                </c:pt>
                <c:pt idx="115">
                  <c:v>1412.538</c:v>
                </c:pt>
                <c:pt idx="116">
                  <c:v>1445.44</c:v>
                </c:pt>
                <c:pt idx="117">
                  <c:v>1479.1079999999999</c:v>
                </c:pt>
                <c:pt idx="118">
                  <c:v>1513.5609999999999</c:v>
                </c:pt>
                <c:pt idx="119">
                  <c:v>1548.817</c:v>
                </c:pt>
                <c:pt idx="120">
                  <c:v>1584.893</c:v>
                </c:pt>
                <c:pt idx="121">
                  <c:v>1621.81</c:v>
                </c:pt>
                <c:pt idx="122">
                  <c:v>1659.587</c:v>
                </c:pt>
                <c:pt idx="123">
                  <c:v>1698.2439999999999</c:v>
                </c:pt>
                <c:pt idx="124">
                  <c:v>1737.8009999999999</c:v>
                </c:pt>
                <c:pt idx="125">
                  <c:v>1778.279</c:v>
                </c:pt>
                <c:pt idx="126">
                  <c:v>1819.701</c:v>
                </c:pt>
                <c:pt idx="127">
                  <c:v>1862.087</c:v>
                </c:pt>
                <c:pt idx="128">
                  <c:v>1905.461</c:v>
                </c:pt>
                <c:pt idx="129">
                  <c:v>1949.845</c:v>
                </c:pt>
                <c:pt idx="130">
                  <c:v>1995.2619999999999</c:v>
                </c:pt>
                <c:pt idx="131">
                  <c:v>2041.7380000000001</c:v>
                </c:pt>
                <c:pt idx="132">
                  <c:v>2089.2959999999998</c:v>
                </c:pt>
                <c:pt idx="133">
                  <c:v>2137.962</c:v>
                </c:pt>
                <c:pt idx="134">
                  <c:v>2187.7620000000002</c:v>
                </c:pt>
                <c:pt idx="135">
                  <c:v>2238.721</c:v>
                </c:pt>
                <c:pt idx="136">
                  <c:v>2290.8679999999999</c:v>
                </c:pt>
                <c:pt idx="137">
                  <c:v>2344.2289999999998</c:v>
                </c:pt>
                <c:pt idx="138">
                  <c:v>2398.8330000000001</c:v>
                </c:pt>
                <c:pt idx="139">
                  <c:v>2454.7089999999998</c:v>
                </c:pt>
                <c:pt idx="140">
                  <c:v>2511.886</c:v>
                </c:pt>
                <c:pt idx="141">
                  <c:v>2570.3960000000002</c:v>
                </c:pt>
                <c:pt idx="142">
                  <c:v>2630.268</c:v>
                </c:pt>
                <c:pt idx="143">
                  <c:v>2691.5349999999999</c:v>
                </c:pt>
                <c:pt idx="144">
                  <c:v>2754.2289999999998</c:v>
                </c:pt>
                <c:pt idx="145">
                  <c:v>2818.3829999999998</c:v>
                </c:pt>
                <c:pt idx="146">
                  <c:v>2884.0320000000002</c:v>
                </c:pt>
                <c:pt idx="147">
                  <c:v>2951.2089999999998</c:v>
                </c:pt>
                <c:pt idx="148">
                  <c:v>3019.9520000000002</c:v>
                </c:pt>
                <c:pt idx="149">
                  <c:v>3090.2950000000001</c:v>
                </c:pt>
                <c:pt idx="150">
                  <c:v>3162.2779999999998</c:v>
                </c:pt>
                <c:pt idx="151">
                  <c:v>3235.9369999999999</c:v>
                </c:pt>
                <c:pt idx="152">
                  <c:v>3311.3110000000001</c:v>
                </c:pt>
                <c:pt idx="153">
                  <c:v>3388.442</c:v>
                </c:pt>
                <c:pt idx="154">
                  <c:v>3467.3690000000001</c:v>
                </c:pt>
                <c:pt idx="155">
                  <c:v>3548.134</c:v>
                </c:pt>
                <c:pt idx="156">
                  <c:v>3630.7809999999999</c:v>
                </c:pt>
                <c:pt idx="157">
                  <c:v>3715.3519999999999</c:v>
                </c:pt>
                <c:pt idx="158">
                  <c:v>3801.8939999999998</c:v>
                </c:pt>
                <c:pt idx="159">
                  <c:v>3890.451</c:v>
                </c:pt>
                <c:pt idx="160">
                  <c:v>3981.0720000000001</c:v>
                </c:pt>
                <c:pt idx="161">
                  <c:v>4073.8029999999999</c:v>
                </c:pt>
                <c:pt idx="162">
                  <c:v>4168.6940000000004</c:v>
                </c:pt>
                <c:pt idx="163">
                  <c:v>4265.7950000000001</c:v>
                </c:pt>
                <c:pt idx="164">
                  <c:v>4365.1580000000004</c:v>
                </c:pt>
                <c:pt idx="165">
                  <c:v>4466.8360000000002</c:v>
                </c:pt>
                <c:pt idx="166">
                  <c:v>4570.8819999999996</c:v>
                </c:pt>
                <c:pt idx="167">
                  <c:v>4677.3509999999997</c:v>
                </c:pt>
                <c:pt idx="168">
                  <c:v>4786.3010000000004</c:v>
                </c:pt>
                <c:pt idx="169">
                  <c:v>4897.7879999999996</c:v>
                </c:pt>
                <c:pt idx="170">
                  <c:v>5011.8720000000003</c:v>
                </c:pt>
                <c:pt idx="171">
                  <c:v>5128.6139999999996</c:v>
                </c:pt>
                <c:pt idx="172">
                  <c:v>5248.0749999999998</c:v>
                </c:pt>
                <c:pt idx="173">
                  <c:v>5370.3180000000002</c:v>
                </c:pt>
                <c:pt idx="174">
                  <c:v>5495.4089999999997</c:v>
                </c:pt>
                <c:pt idx="175">
                  <c:v>5623.4129999999996</c:v>
                </c:pt>
                <c:pt idx="176">
                  <c:v>5754.3990000000003</c:v>
                </c:pt>
                <c:pt idx="177">
                  <c:v>5888.4369999999999</c:v>
                </c:pt>
                <c:pt idx="178">
                  <c:v>6025.5959999999995</c:v>
                </c:pt>
                <c:pt idx="179">
                  <c:v>6165.95</c:v>
                </c:pt>
                <c:pt idx="180">
                  <c:v>6309.5730000000003</c:v>
                </c:pt>
                <c:pt idx="181">
                  <c:v>6456.5420000000004</c:v>
                </c:pt>
                <c:pt idx="182">
                  <c:v>6606.9340000000002</c:v>
                </c:pt>
                <c:pt idx="183">
                  <c:v>6760.83</c:v>
                </c:pt>
                <c:pt idx="184">
                  <c:v>6918.31</c:v>
                </c:pt>
                <c:pt idx="185">
                  <c:v>7079.4579999999996</c:v>
                </c:pt>
                <c:pt idx="186">
                  <c:v>7244.36</c:v>
                </c:pt>
                <c:pt idx="187">
                  <c:v>7413.1019999999999</c:v>
                </c:pt>
                <c:pt idx="188">
                  <c:v>7585.7759999999998</c:v>
                </c:pt>
                <c:pt idx="189">
                  <c:v>7762.4709999999995</c:v>
                </c:pt>
                <c:pt idx="190">
                  <c:v>7943.2820000000002</c:v>
                </c:pt>
                <c:pt idx="191">
                  <c:v>8128.3050000000003</c:v>
                </c:pt>
                <c:pt idx="192">
                  <c:v>8317.6380000000008</c:v>
                </c:pt>
                <c:pt idx="193">
                  <c:v>8511.3799999999992</c:v>
                </c:pt>
                <c:pt idx="194">
                  <c:v>8709.6360000000004</c:v>
                </c:pt>
                <c:pt idx="195">
                  <c:v>8912.509</c:v>
                </c:pt>
                <c:pt idx="196">
                  <c:v>9120.1080000000002</c:v>
                </c:pt>
                <c:pt idx="197">
                  <c:v>9332.5429999999997</c:v>
                </c:pt>
                <c:pt idx="198">
                  <c:v>9549.9259999999995</c:v>
                </c:pt>
                <c:pt idx="199">
                  <c:v>9772.3719999999994</c:v>
                </c:pt>
                <c:pt idx="200">
                  <c:v>10000</c:v>
                </c:pt>
                <c:pt idx="201">
                  <c:v>10232.93</c:v>
                </c:pt>
                <c:pt idx="202">
                  <c:v>10471.285</c:v>
                </c:pt>
                <c:pt idx="203">
                  <c:v>10715.192999999999</c:v>
                </c:pt>
                <c:pt idx="204">
                  <c:v>10964.781999999999</c:v>
                </c:pt>
                <c:pt idx="205">
                  <c:v>11220.184999999999</c:v>
                </c:pt>
                <c:pt idx="206">
                  <c:v>11481.536</c:v>
                </c:pt>
                <c:pt idx="207">
                  <c:v>11748.976000000001</c:v>
                </c:pt>
                <c:pt idx="208">
                  <c:v>12022.644</c:v>
                </c:pt>
                <c:pt idx="209">
                  <c:v>12302.688</c:v>
                </c:pt>
                <c:pt idx="210">
                  <c:v>12589.254000000001</c:v>
                </c:pt>
                <c:pt idx="211">
                  <c:v>12882.495999999999</c:v>
                </c:pt>
                <c:pt idx="212">
                  <c:v>13182.566999999999</c:v>
                </c:pt>
                <c:pt idx="213">
                  <c:v>13489.629000000001</c:v>
                </c:pt>
                <c:pt idx="214">
                  <c:v>13803.843000000001</c:v>
                </c:pt>
                <c:pt idx="215">
                  <c:v>14125.375</c:v>
                </c:pt>
                <c:pt idx="216">
                  <c:v>14454.397999999999</c:v>
                </c:pt>
                <c:pt idx="217">
                  <c:v>14791.084000000001</c:v>
                </c:pt>
                <c:pt idx="218">
                  <c:v>15135.611999999999</c:v>
                </c:pt>
                <c:pt idx="219">
                  <c:v>15488.165999999999</c:v>
                </c:pt>
                <c:pt idx="220">
                  <c:v>15848.932000000001</c:v>
                </c:pt>
                <c:pt idx="221">
                  <c:v>16218.101000000001</c:v>
                </c:pt>
                <c:pt idx="222">
                  <c:v>16595.868999999999</c:v>
                </c:pt>
                <c:pt idx="223">
                  <c:v>16982.437000000002</c:v>
                </c:pt>
                <c:pt idx="224">
                  <c:v>17378.008000000002</c:v>
                </c:pt>
                <c:pt idx="225">
                  <c:v>17782.794000000002</c:v>
                </c:pt>
                <c:pt idx="226">
                  <c:v>18197.008999999998</c:v>
                </c:pt>
                <c:pt idx="227">
                  <c:v>18620.870999999999</c:v>
                </c:pt>
                <c:pt idx="228">
                  <c:v>19054.607</c:v>
                </c:pt>
                <c:pt idx="229">
                  <c:v>19498.446</c:v>
                </c:pt>
                <c:pt idx="230">
                  <c:v>19952.623</c:v>
                </c:pt>
                <c:pt idx="231">
                  <c:v>20417.379000000001</c:v>
                </c:pt>
                <c:pt idx="232">
                  <c:v>20892.960999999999</c:v>
                </c:pt>
                <c:pt idx="233">
                  <c:v>21379.620999999999</c:v>
                </c:pt>
                <c:pt idx="234">
                  <c:v>21877.616000000002</c:v>
                </c:pt>
                <c:pt idx="235">
                  <c:v>22387.210999999999</c:v>
                </c:pt>
                <c:pt idx="236">
                  <c:v>22908.677</c:v>
                </c:pt>
                <c:pt idx="237">
                  <c:v>23442.288</c:v>
                </c:pt>
                <c:pt idx="238">
                  <c:v>23988.329000000002</c:v>
                </c:pt>
                <c:pt idx="239">
                  <c:v>24547.089</c:v>
                </c:pt>
                <c:pt idx="240">
                  <c:v>25118.864000000001</c:v>
                </c:pt>
                <c:pt idx="241">
                  <c:v>25703.957999999999</c:v>
                </c:pt>
                <c:pt idx="242">
                  <c:v>26302.68</c:v>
                </c:pt>
                <c:pt idx="243">
                  <c:v>26915.348000000002</c:v>
                </c:pt>
                <c:pt idx="244">
                  <c:v>27542.287</c:v>
                </c:pt>
                <c:pt idx="245">
                  <c:v>28183.829000000002</c:v>
                </c:pt>
                <c:pt idx="246">
                  <c:v>28840.314999999999</c:v>
                </c:pt>
                <c:pt idx="247">
                  <c:v>29512.092000000001</c:v>
                </c:pt>
                <c:pt idx="248">
                  <c:v>30199.517</c:v>
                </c:pt>
                <c:pt idx="249">
                  <c:v>30902.954000000002</c:v>
                </c:pt>
                <c:pt idx="250">
                  <c:v>31622.776999999998</c:v>
                </c:pt>
                <c:pt idx="251">
                  <c:v>32359.366000000002</c:v>
                </c:pt>
                <c:pt idx="252">
                  <c:v>33113.112000000001</c:v>
                </c:pt>
                <c:pt idx="253">
                  <c:v>33884.415999999997</c:v>
                </c:pt>
                <c:pt idx="254">
                  <c:v>34673.684999999998</c:v>
                </c:pt>
                <c:pt idx="255">
                  <c:v>35481.339</c:v>
                </c:pt>
                <c:pt idx="256">
                  <c:v>36307.805</c:v>
                </c:pt>
                <c:pt idx="257">
                  <c:v>37153.523000000001</c:v>
                </c:pt>
                <c:pt idx="258">
                  <c:v>38018.94</c:v>
                </c:pt>
                <c:pt idx="259">
                  <c:v>38904.514000000003</c:v>
                </c:pt>
                <c:pt idx="260">
                  <c:v>39810.716999999997</c:v>
                </c:pt>
                <c:pt idx="261">
                  <c:v>40738.027999999998</c:v>
                </c:pt>
                <c:pt idx="262">
                  <c:v>41686.938000000002</c:v>
                </c:pt>
                <c:pt idx="263">
                  <c:v>42657.951999999997</c:v>
                </c:pt>
                <c:pt idx="264">
                  <c:v>43651.582999999999</c:v>
                </c:pt>
                <c:pt idx="265">
                  <c:v>44668.358999999997</c:v>
                </c:pt>
                <c:pt idx="266">
                  <c:v>45708.819000000003</c:v>
                </c:pt>
                <c:pt idx="267">
                  <c:v>46773.514000000003</c:v>
                </c:pt>
                <c:pt idx="268">
                  <c:v>47863.008999999998</c:v>
                </c:pt>
                <c:pt idx="269">
                  <c:v>48977.881999999998</c:v>
                </c:pt>
                <c:pt idx="270">
                  <c:v>50118.722999999998</c:v>
                </c:pt>
                <c:pt idx="271">
                  <c:v>51286.137999999999</c:v>
                </c:pt>
                <c:pt idx="272">
                  <c:v>52480.745999999999</c:v>
                </c:pt>
                <c:pt idx="273">
                  <c:v>53703.18</c:v>
                </c:pt>
                <c:pt idx="274">
                  <c:v>54954.087</c:v>
                </c:pt>
                <c:pt idx="275">
                  <c:v>56234.133000000002</c:v>
                </c:pt>
                <c:pt idx="276">
                  <c:v>57543.993999999999</c:v>
                </c:pt>
                <c:pt idx="277">
                  <c:v>58884.366000000002</c:v>
                </c:pt>
                <c:pt idx="278">
                  <c:v>60255.959000000003</c:v>
                </c:pt>
                <c:pt idx="279">
                  <c:v>61659.5</c:v>
                </c:pt>
                <c:pt idx="280">
                  <c:v>63095.733999999997</c:v>
                </c:pt>
                <c:pt idx="281">
                  <c:v>64565.423000000003</c:v>
                </c:pt>
                <c:pt idx="282">
                  <c:v>66069.345000000001</c:v>
                </c:pt>
                <c:pt idx="283">
                  <c:v>67608.297999999995</c:v>
                </c:pt>
                <c:pt idx="284">
                  <c:v>69183.096999999994</c:v>
                </c:pt>
                <c:pt idx="285">
                  <c:v>70794.577999999994</c:v>
                </c:pt>
                <c:pt idx="286">
                  <c:v>72443.596000000005</c:v>
                </c:pt>
                <c:pt idx="287">
                  <c:v>74131.024000000005</c:v>
                </c:pt>
                <c:pt idx="288">
                  <c:v>75857.758000000002</c:v>
                </c:pt>
                <c:pt idx="289">
                  <c:v>77624.712</c:v>
                </c:pt>
                <c:pt idx="290">
                  <c:v>79432.823000000004</c:v>
                </c:pt>
                <c:pt idx="291">
                  <c:v>81283.051999999996</c:v>
                </c:pt>
                <c:pt idx="292">
                  <c:v>83176.376999999993</c:v>
                </c:pt>
                <c:pt idx="293">
                  <c:v>85113.804000000004</c:v>
                </c:pt>
                <c:pt idx="294">
                  <c:v>87096.358999999997</c:v>
                </c:pt>
                <c:pt idx="295">
                  <c:v>89125.093999999997</c:v>
                </c:pt>
                <c:pt idx="296">
                  <c:v>91201.084000000003</c:v>
                </c:pt>
                <c:pt idx="297">
                  <c:v>93325.43</c:v>
                </c:pt>
                <c:pt idx="298">
                  <c:v>95499.259000000005</c:v>
                </c:pt>
                <c:pt idx="299">
                  <c:v>97723.721999999994</c:v>
                </c:pt>
                <c:pt idx="300">
                  <c:v>100000</c:v>
                </c:pt>
                <c:pt idx="301">
                  <c:v>102329.299</c:v>
                </c:pt>
                <c:pt idx="302">
                  <c:v>104712.855</c:v>
                </c:pt>
                <c:pt idx="303">
                  <c:v>107151.931</c:v>
                </c:pt>
                <c:pt idx="304">
                  <c:v>109647.82</c:v>
                </c:pt>
                <c:pt idx="305">
                  <c:v>112201.845</c:v>
                </c:pt>
                <c:pt idx="306">
                  <c:v>114815.36199999999</c:v>
                </c:pt>
                <c:pt idx="307">
                  <c:v>117489.755</c:v>
                </c:pt>
                <c:pt idx="308">
                  <c:v>120226.443</c:v>
                </c:pt>
                <c:pt idx="309">
                  <c:v>123026.87699999999</c:v>
                </c:pt>
                <c:pt idx="310">
                  <c:v>125892.541</c:v>
                </c:pt>
                <c:pt idx="311">
                  <c:v>128824.955</c:v>
                </c:pt>
                <c:pt idx="312">
                  <c:v>131825.674</c:v>
                </c:pt>
                <c:pt idx="313">
                  <c:v>134896.288</c:v>
                </c:pt>
                <c:pt idx="314">
                  <c:v>138038.42600000001</c:v>
                </c:pt>
                <c:pt idx="315">
                  <c:v>141253.75399999999</c:v>
                </c:pt>
                <c:pt idx="316">
                  <c:v>144543.97700000001</c:v>
                </c:pt>
                <c:pt idx="317">
                  <c:v>147910.83900000001</c:v>
                </c:pt>
                <c:pt idx="318">
                  <c:v>151356.125</c:v>
                </c:pt>
                <c:pt idx="319">
                  <c:v>154881.66200000001</c:v>
                </c:pt>
                <c:pt idx="320">
                  <c:v>158489.31899999999</c:v>
                </c:pt>
                <c:pt idx="321">
                  <c:v>162181.01</c:v>
                </c:pt>
                <c:pt idx="322">
                  <c:v>165958.69099999999</c:v>
                </c:pt>
                <c:pt idx="323">
                  <c:v>169824.36499999999</c:v>
                </c:pt>
                <c:pt idx="324">
                  <c:v>173780.08300000001</c:v>
                </c:pt>
                <c:pt idx="325">
                  <c:v>177827.94099999999</c:v>
                </c:pt>
                <c:pt idx="326">
                  <c:v>181970.08600000001</c:v>
                </c:pt>
                <c:pt idx="327">
                  <c:v>186208.71400000001</c:v>
                </c:pt>
                <c:pt idx="328">
                  <c:v>190546.07199999999</c:v>
                </c:pt>
                <c:pt idx="329">
                  <c:v>194984.46</c:v>
                </c:pt>
                <c:pt idx="330">
                  <c:v>199526.231</c:v>
                </c:pt>
                <c:pt idx="331">
                  <c:v>204173.79399999999</c:v>
                </c:pt>
                <c:pt idx="332">
                  <c:v>208929.61300000001</c:v>
                </c:pt>
                <c:pt idx="333">
                  <c:v>213796.209</c:v>
                </c:pt>
                <c:pt idx="334">
                  <c:v>218776.16200000001</c:v>
                </c:pt>
                <c:pt idx="335">
                  <c:v>223872.114</c:v>
                </c:pt>
                <c:pt idx="336">
                  <c:v>229086.76500000001</c:v>
                </c:pt>
                <c:pt idx="337">
                  <c:v>234422.88200000001</c:v>
                </c:pt>
                <c:pt idx="338">
                  <c:v>239883.29199999999</c:v>
                </c:pt>
                <c:pt idx="339">
                  <c:v>245470.89199999999</c:v>
                </c:pt>
                <c:pt idx="340">
                  <c:v>251188.64300000001</c:v>
                </c:pt>
                <c:pt idx="341">
                  <c:v>257039.57800000001</c:v>
                </c:pt>
                <c:pt idx="342">
                  <c:v>263026.799</c:v>
                </c:pt>
                <c:pt idx="343">
                  <c:v>269153.48</c:v>
                </c:pt>
                <c:pt idx="344">
                  <c:v>275422.87</c:v>
                </c:pt>
                <c:pt idx="345">
                  <c:v>281838.29300000001</c:v>
                </c:pt>
                <c:pt idx="346">
                  <c:v>288403.15000000002</c:v>
                </c:pt>
                <c:pt idx="347">
                  <c:v>295120.92300000001</c:v>
                </c:pt>
                <c:pt idx="348">
                  <c:v>301995.17200000002</c:v>
                </c:pt>
                <c:pt idx="349">
                  <c:v>309029.54300000001</c:v>
                </c:pt>
                <c:pt idx="350">
                  <c:v>316227.766</c:v>
                </c:pt>
                <c:pt idx="351">
                  <c:v>323593.65700000001</c:v>
                </c:pt>
                <c:pt idx="352">
                  <c:v>331131.12099999998</c:v>
                </c:pt>
                <c:pt idx="353">
                  <c:v>338844.15600000002</c:v>
                </c:pt>
                <c:pt idx="354">
                  <c:v>346736.85</c:v>
                </c:pt>
                <c:pt idx="355">
                  <c:v>354813.38900000002</c:v>
                </c:pt>
                <c:pt idx="356">
                  <c:v>363078.05499999999</c:v>
                </c:pt>
                <c:pt idx="357">
                  <c:v>371535.22899999999</c:v>
                </c:pt>
                <c:pt idx="358">
                  <c:v>380189.39600000001</c:v>
                </c:pt>
                <c:pt idx="359">
                  <c:v>389045.14500000002</c:v>
                </c:pt>
                <c:pt idx="360">
                  <c:v>398107.17099999997</c:v>
                </c:pt>
                <c:pt idx="361">
                  <c:v>407380.27799999999</c:v>
                </c:pt>
                <c:pt idx="362">
                  <c:v>416869.38299999997</c:v>
                </c:pt>
                <c:pt idx="363">
                  <c:v>426579.51899999997</c:v>
                </c:pt>
                <c:pt idx="364">
                  <c:v>436515.83199999999</c:v>
                </c:pt>
                <c:pt idx="365">
                  <c:v>446683.592</c:v>
                </c:pt>
                <c:pt idx="366">
                  <c:v>457088.19</c:v>
                </c:pt>
                <c:pt idx="367">
                  <c:v>467735.141</c:v>
                </c:pt>
                <c:pt idx="368">
                  <c:v>478630.092</c:v>
                </c:pt>
                <c:pt idx="369">
                  <c:v>489778.81900000002</c:v>
                </c:pt>
                <c:pt idx="370">
                  <c:v>501187.234</c:v>
                </c:pt>
                <c:pt idx="371">
                  <c:v>512861.38400000002</c:v>
                </c:pt>
                <c:pt idx="372">
                  <c:v>524807.46</c:v>
                </c:pt>
                <c:pt idx="373">
                  <c:v>537031.79599999997</c:v>
                </c:pt>
                <c:pt idx="374">
                  <c:v>549540.87399999995</c:v>
                </c:pt>
                <c:pt idx="375">
                  <c:v>562341.32499999995</c:v>
                </c:pt>
                <c:pt idx="376">
                  <c:v>575439.93700000003</c:v>
                </c:pt>
                <c:pt idx="377">
                  <c:v>588843.65500000003</c:v>
                </c:pt>
                <c:pt idx="378">
                  <c:v>602559.58600000001</c:v>
                </c:pt>
                <c:pt idx="379">
                  <c:v>616595.00199999998</c:v>
                </c:pt>
                <c:pt idx="380">
                  <c:v>630957.34400000004</c:v>
                </c:pt>
                <c:pt idx="381">
                  <c:v>645654.22900000005</c:v>
                </c:pt>
                <c:pt idx="382">
                  <c:v>660693.44799999997</c:v>
                </c:pt>
                <c:pt idx="383">
                  <c:v>676082.97499999998</c:v>
                </c:pt>
                <c:pt idx="384">
                  <c:v>691830.97100000002</c:v>
                </c:pt>
                <c:pt idx="385">
                  <c:v>707945.78399999999</c:v>
                </c:pt>
                <c:pt idx="386">
                  <c:v>724435.96</c:v>
                </c:pt>
                <c:pt idx="387">
                  <c:v>741310.24100000004</c:v>
                </c:pt>
                <c:pt idx="388">
                  <c:v>758577.57499999995</c:v>
                </c:pt>
                <c:pt idx="389">
                  <c:v>776247.11699999997</c:v>
                </c:pt>
                <c:pt idx="390">
                  <c:v>794328.23499999999</c:v>
                </c:pt>
                <c:pt idx="391">
                  <c:v>812830.51599999995</c:v>
                </c:pt>
                <c:pt idx="392">
                  <c:v>831763.77099999995</c:v>
                </c:pt>
                <c:pt idx="393">
                  <c:v>851138.03799999994</c:v>
                </c:pt>
                <c:pt idx="394">
                  <c:v>870963.59</c:v>
                </c:pt>
                <c:pt idx="395">
                  <c:v>891250.93799999997</c:v>
                </c:pt>
                <c:pt idx="396">
                  <c:v>912010.83900000004</c:v>
                </c:pt>
                <c:pt idx="397">
                  <c:v>933254.30099999998</c:v>
                </c:pt>
                <c:pt idx="398">
                  <c:v>954992.58600000001</c:v>
                </c:pt>
                <c:pt idx="399">
                  <c:v>977237.22100000002</c:v>
                </c:pt>
              </c:numCache>
            </c:numRef>
          </c:xVal>
          <c:yVal>
            <c:numRef>
              <c:f>'Bode Plots Calculations'!$BU$10:$BU$409</c:f>
              <c:numCache>
                <c:formatCode>#0.0#</c:formatCode>
                <c:ptCount val="400"/>
                <c:pt idx="0">
                  <c:v>35.359299999999998</c:v>
                </c:pt>
                <c:pt idx="1">
                  <c:v>34.936799999999998</c:v>
                </c:pt>
                <c:pt idx="2">
                  <c:v>34.190800000000003</c:v>
                </c:pt>
                <c:pt idx="3">
                  <c:v>34.477699999999999</c:v>
                </c:pt>
                <c:pt idx="4">
                  <c:v>34.114400000000003</c:v>
                </c:pt>
                <c:pt idx="5">
                  <c:v>34.297699999999999</c:v>
                </c:pt>
                <c:pt idx="6">
                  <c:v>33.346499999999999</c:v>
                </c:pt>
                <c:pt idx="7">
                  <c:v>33.0246</c:v>
                </c:pt>
                <c:pt idx="8">
                  <c:v>33.735999999999997</c:v>
                </c:pt>
                <c:pt idx="9">
                  <c:v>32.764899999999997</c:v>
                </c:pt>
                <c:pt idx="10">
                  <c:v>32.247199999999999</c:v>
                </c:pt>
                <c:pt idx="11">
                  <c:v>32.3142</c:v>
                </c:pt>
                <c:pt idx="12">
                  <c:v>32.155799999999999</c:v>
                </c:pt>
                <c:pt idx="13">
                  <c:v>32.875300000000003</c:v>
                </c:pt>
                <c:pt idx="14">
                  <c:v>32.538699999999999</c:v>
                </c:pt>
                <c:pt idx="15">
                  <c:v>32.377000000000002</c:v>
                </c:pt>
                <c:pt idx="16">
                  <c:v>31.499099999999999</c:v>
                </c:pt>
                <c:pt idx="17">
                  <c:v>31.4819</c:v>
                </c:pt>
                <c:pt idx="18">
                  <c:v>31.0519</c:v>
                </c:pt>
                <c:pt idx="19">
                  <c:v>31.248699999999999</c:v>
                </c:pt>
                <c:pt idx="20">
                  <c:v>31.003699999999998</c:v>
                </c:pt>
                <c:pt idx="21">
                  <c:v>30.429300000000001</c:v>
                </c:pt>
                <c:pt idx="22">
                  <c:v>29.9194</c:v>
                </c:pt>
                <c:pt idx="23">
                  <c:v>29.808900000000001</c:v>
                </c:pt>
                <c:pt idx="24">
                  <c:v>30.070900000000002</c:v>
                </c:pt>
                <c:pt idx="25">
                  <c:v>29.720099999999999</c:v>
                </c:pt>
                <c:pt idx="26">
                  <c:v>30.042100000000001</c:v>
                </c:pt>
                <c:pt idx="27">
                  <c:v>29.901800000000001</c:v>
                </c:pt>
                <c:pt idx="28">
                  <c:v>29.566700000000001</c:v>
                </c:pt>
                <c:pt idx="29">
                  <c:v>29.685600000000001</c:v>
                </c:pt>
                <c:pt idx="30">
                  <c:v>29.050999999999998</c:v>
                </c:pt>
                <c:pt idx="31">
                  <c:v>28.424299999999999</c:v>
                </c:pt>
                <c:pt idx="32">
                  <c:v>28.510899999999999</c:v>
                </c:pt>
                <c:pt idx="33">
                  <c:v>28.178999999999998</c:v>
                </c:pt>
                <c:pt idx="34">
                  <c:v>27.706399999999999</c:v>
                </c:pt>
                <c:pt idx="35">
                  <c:v>27.937100000000001</c:v>
                </c:pt>
                <c:pt idx="36">
                  <c:v>27.676300000000001</c:v>
                </c:pt>
                <c:pt idx="37">
                  <c:v>27.670300000000001</c:v>
                </c:pt>
                <c:pt idx="38">
                  <c:v>27.2761</c:v>
                </c:pt>
                <c:pt idx="39">
                  <c:v>27.075500000000002</c:v>
                </c:pt>
                <c:pt idx="40">
                  <c:v>27.043399999999998</c:v>
                </c:pt>
                <c:pt idx="41">
                  <c:v>26.677600000000002</c:v>
                </c:pt>
                <c:pt idx="42">
                  <c:v>26.270299999999999</c:v>
                </c:pt>
                <c:pt idx="43">
                  <c:v>26.235900000000001</c:v>
                </c:pt>
                <c:pt idx="44">
                  <c:v>25.845600000000001</c:v>
                </c:pt>
                <c:pt idx="45">
                  <c:v>26.1068</c:v>
                </c:pt>
                <c:pt idx="46">
                  <c:v>25.784400000000002</c:v>
                </c:pt>
                <c:pt idx="47">
                  <c:v>25.581099999999999</c:v>
                </c:pt>
                <c:pt idx="48">
                  <c:v>24.917000000000002</c:v>
                </c:pt>
                <c:pt idx="49">
                  <c:v>24.825199999999999</c:v>
                </c:pt>
                <c:pt idx="50">
                  <c:v>24.722000000000001</c:v>
                </c:pt>
                <c:pt idx="51">
                  <c:v>24.5962</c:v>
                </c:pt>
                <c:pt idx="52">
                  <c:v>24.386800000000001</c:v>
                </c:pt>
                <c:pt idx="53">
                  <c:v>24.136900000000001</c:v>
                </c:pt>
                <c:pt idx="54">
                  <c:v>24.040400000000002</c:v>
                </c:pt>
                <c:pt idx="55">
                  <c:v>23.629000000000001</c:v>
                </c:pt>
                <c:pt idx="56">
                  <c:v>23.6126</c:v>
                </c:pt>
                <c:pt idx="57">
                  <c:v>23.315999999999999</c:v>
                </c:pt>
                <c:pt idx="58">
                  <c:v>23.2133</c:v>
                </c:pt>
                <c:pt idx="59">
                  <c:v>22.955200000000001</c:v>
                </c:pt>
                <c:pt idx="60">
                  <c:v>22.738499999999998</c:v>
                </c:pt>
                <c:pt idx="61">
                  <c:v>22.7593</c:v>
                </c:pt>
                <c:pt idx="62">
                  <c:v>22.4206</c:v>
                </c:pt>
                <c:pt idx="63">
                  <c:v>22.373699999999999</c:v>
                </c:pt>
                <c:pt idx="64">
                  <c:v>22.074100000000001</c:v>
                </c:pt>
                <c:pt idx="65">
                  <c:v>21.761099999999999</c:v>
                </c:pt>
                <c:pt idx="66">
                  <c:v>21.6126</c:v>
                </c:pt>
                <c:pt idx="67">
                  <c:v>21.3672</c:v>
                </c:pt>
                <c:pt idx="68">
                  <c:v>21.195799999999998</c:v>
                </c:pt>
                <c:pt idx="69">
                  <c:v>20.944800000000001</c:v>
                </c:pt>
                <c:pt idx="70">
                  <c:v>20.7819</c:v>
                </c:pt>
                <c:pt idx="71">
                  <c:v>20.634799999999998</c:v>
                </c:pt>
                <c:pt idx="72">
                  <c:v>20.243600000000001</c:v>
                </c:pt>
                <c:pt idx="73">
                  <c:v>20.2926</c:v>
                </c:pt>
                <c:pt idx="74">
                  <c:v>19.992000000000001</c:v>
                </c:pt>
                <c:pt idx="75">
                  <c:v>19.682300000000001</c:v>
                </c:pt>
                <c:pt idx="76">
                  <c:v>19.596</c:v>
                </c:pt>
                <c:pt idx="77">
                  <c:v>19.373200000000001</c:v>
                </c:pt>
                <c:pt idx="78">
                  <c:v>19.198</c:v>
                </c:pt>
                <c:pt idx="79">
                  <c:v>18.983699999999999</c:v>
                </c:pt>
                <c:pt idx="80">
                  <c:v>18.802900000000001</c:v>
                </c:pt>
                <c:pt idx="81">
                  <c:v>18.598600000000001</c:v>
                </c:pt>
                <c:pt idx="82">
                  <c:v>18.468</c:v>
                </c:pt>
                <c:pt idx="83">
                  <c:v>18.2744</c:v>
                </c:pt>
                <c:pt idx="84">
                  <c:v>18.092600000000001</c:v>
                </c:pt>
                <c:pt idx="85">
                  <c:v>17.887</c:v>
                </c:pt>
                <c:pt idx="86">
                  <c:v>17.753599999999999</c:v>
                </c:pt>
                <c:pt idx="87">
                  <c:v>17.416399999999999</c:v>
                </c:pt>
                <c:pt idx="88">
                  <c:v>17.283200000000001</c:v>
                </c:pt>
                <c:pt idx="89">
                  <c:v>17.007100000000001</c:v>
                </c:pt>
                <c:pt idx="90">
                  <c:v>16.8354</c:v>
                </c:pt>
                <c:pt idx="91">
                  <c:v>16.6614</c:v>
                </c:pt>
                <c:pt idx="92">
                  <c:v>16.509799999999998</c:v>
                </c:pt>
                <c:pt idx="93">
                  <c:v>16.276800000000001</c:v>
                </c:pt>
                <c:pt idx="94">
                  <c:v>16.106100000000001</c:v>
                </c:pt>
                <c:pt idx="95">
                  <c:v>15.882400000000001</c:v>
                </c:pt>
                <c:pt idx="96">
                  <c:v>15.6715</c:v>
                </c:pt>
                <c:pt idx="97">
                  <c:v>15.471399999999999</c:v>
                </c:pt>
                <c:pt idx="98">
                  <c:v>15.352499999999999</c:v>
                </c:pt>
                <c:pt idx="99">
                  <c:v>15.0807</c:v>
                </c:pt>
                <c:pt idx="100">
                  <c:v>14.883800000000001</c:v>
                </c:pt>
                <c:pt idx="101">
                  <c:v>14.7437</c:v>
                </c:pt>
                <c:pt idx="102">
                  <c:v>14.586600000000001</c:v>
                </c:pt>
                <c:pt idx="103">
                  <c:v>14.3581</c:v>
                </c:pt>
                <c:pt idx="104">
                  <c:v>14.1501</c:v>
                </c:pt>
                <c:pt idx="105">
                  <c:v>13.9679</c:v>
                </c:pt>
                <c:pt idx="106">
                  <c:v>13.7508</c:v>
                </c:pt>
                <c:pt idx="107">
                  <c:v>13.6038</c:v>
                </c:pt>
                <c:pt idx="108">
                  <c:v>13.412800000000001</c:v>
                </c:pt>
                <c:pt idx="109">
                  <c:v>13.1837</c:v>
                </c:pt>
                <c:pt idx="110">
                  <c:v>13.0792</c:v>
                </c:pt>
                <c:pt idx="111">
                  <c:v>12.807</c:v>
                </c:pt>
                <c:pt idx="112">
                  <c:v>12.682600000000001</c:v>
                </c:pt>
                <c:pt idx="113">
                  <c:v>12.475899999999999</c:v>
                </c:pt>
                <c:pt idx="114">
                  <c:v>12.2584</c:v>
                </c:pt>
                <c:pt idx="115">
                  <c:v>12.0929</c:v>
                </c:pt>
                <c:pt idx="116">
                  <c:v>11.918900000000001</c:v>
                </c:pt>
                <c:pt idx="117">
                  <c:v>11.714700000000001</c:v>
                </c:pt>
                <c:pt idx="118">
                  <c:v>11.5252</c:v>
                </c:pt>
                <c:pt idx="119">
                  <c:v>11.3354</c:v>
                </c:pt>
                <c:pt idx="120">
                  <c:v>11.160399999999999</c:v>
                </c:pt>
                <c:pt idx="121">
                  <c:v>10.9787</c:v>
                </c:pt>
                <c:pt idx="122">
                  <c:v>10.7578</c:v>
                </c:pt>
                <c:pt idx="123">
                  <c:v>10.580500000000001</c:v>
                </c:pt>
                <c:pt idx="124">
                  <c:v>10.4643</c:v>
                </c:pt>
                <c:pt idx="125">
                  <c:v>10.213699999999999</c:v>
                </c:pt>
                <c:pt idx="126">
                  <c:v>10.045199999999999</c:v>
                </c:pt>
                <c:pt idx="127">
                  <c:v>9.8767200000000006</c:v>
                </c:pt>
                <c:pt idx="128">
                  <c:v>9.7134199999999993</c:v>
                </c:pt>
                <c:pt idx="129">
                  <c:v>9.5268499999999996</c:v>
                </c:pt>
                <c:pt idx="130">
                  <c:v>9.3349399999999996</c:v>
                </c:pt>
                <c:pt idx="131">
                  <c:v>9.0884699999999992</c:v>
                </c:pt>
                <c:pt idx="132">
                  <c:v>8.9698600000000006</c:v>
                </c:pt>
                <c:pt idx="133">
                  <c:v>8.68736</c:v>
                </c:pt>
                <c:pt idx="134">
                  <c:v>8.5308799999999998</c:v>
                </c:pt>
                <c:pt idx="135">
                  <c:v>8.3496900000000007</c:v>
                </c:pt>
                <c:pt idx="136">
                  <c:v>8.2818299999999994</c:v>
                </c:pt>
                <c:pt idx="137">
                  <c:v>8.0662299999999991</c:v>
                </c:pt>
                <c:pt idx="138">
                  <c:v>7.8140200000000002</c:v>
                </c:pt>
                <c:pt idx="139">
                  <c:v>7.6423899999999998</c:v>
                </c:pt>
                <c:pt idx="140">
                  <c:v>7.45716</c:v>
                </c:pt>
                <c:pt idx="141">
                  <c:v>7.31271</c:v>
                </c:pt>
                <c:pt idx="142">
                  <c:v>7.13504</c:v>
                </c:pt>
                <c:pt idx="143">
                  <c:v>6.8809300000000002</c:v>
                </c:pt>
                <c:pt idx="144">
                  <c:v>6.7009400000000001</c:v>
                </c:pt>
                <c:pt idx="145">
                  <c:v>6.5356199999999998</c:v>
                </c:pt>
                <c:pt idx="146">
                  <c:v>6.3265200000000004</c:v>
                </c:pt>
                <c:pt idx="147">
                  <c:v>6.1830800000000004</c:v>
                </c:pt>
                <c:pt idx="148">
                  <c:v>6.0130600000000003</c:v>
                </c:pt>
                <c:pt idx="149">
                  <c:v>5.8544900000000002</c:v>
                </c:pt>
                <c:pt idx="150">
                  <c:v>5.6099300000000003</c:v>
                </c:pt>
                <c:pt idx="151">
                  <c:v>5.4320899999999996</c:v>
                </c:pt>
                <c:pt idx="152">
                  <c:v>5.2356100000000003</c:v>
                </c:pt>
                <c:pt idx="153">
                  <c:v>5.0528199999999996</c:v>
                </c:pt>
                <c:pt idx="154">
                  <c:v>4.9028999999999998</c:v>
                </c:pt>
                <c:pt idx="155">
                  <c:v>4.6522600000000001</c:v>
                </c:pt>
                <c:pt idx="156">
                  <c:v>4.4950999999999999</c:v>
                </c:pt>
                <c:pt idx="157">
                  <c:v>4.3437000000000001</c:v>
                </c:pt>
                <c:pt idx="158">
                  <c:v>4.1437400000000002</c:v>
                </c:pt>
                <c:pt idx="159">
                  <c:v>3.9573</c:v>
                </c:pt>
                <c:pt idx="160">
                  <c:v>3.8980899999999998</c:v>
                </c:pt>
                <c:pt idx="161">
                  <c:v>3.5600999999999998</c:v>
                </c:pt>
                <c:pt idx="162">
                  <c:v>3.4098799999999998</c:v>
                </c:pt>
                <c:pt idx="163">
                  <c:v>3.2244999999999999</c:v>
                </c:pt>
                <c:pt idx="164">
                  <c:v>3.07782</c:v>
                </c:pt>
                <c:pt idx="165">
                  <c:v>2.9233199999999999</c:v>
                </c:pt>
                <c:pt idx="166">
                  <c:v>2.7266900000000001</c:v>
                </c:pt>
                <c:pt idx="167">
                  <c:v>2.54392</c:v>
                </c:pt>
                <c:pt idx="168">
                  <c:v>2.5307499999999998</c:v>
                </c:pt>
                <c:pt idx="169">
                  <c:v>2.1795599999999999</c:v>
                </c:pt>
                <c:pt idx="170">
                  <c:v>2.08934</c:v>
                </c:pt>
                <c:pt idx="171">
                  <c:v>1.7954699999999999</c:v>
                </c:pt>
                <c:pt idx="172">
                  <c:v>1.6024099999999999</c:v>
                </c:pt>
                <c:pt idx="173">
                  <c:v>1.48515</c:v>
                </c:pt>
                <c:pt idx="174">
                  <c:v>1.35836</c:v>
                </c:pt>
                <c:pt idx="175">
                  <c:v>1.07298</c:v>
                </c:pt>
                <c:pt idx="176">
                  <c:v>0.86915299999999995</c:v>
                </c:pt>
                <c:pt idx="177">
                  <c:v>0.80323599999999995</c:v>
                </c:pt>
                <c:pt idx="178">
                  <c:v>0.76992799999999995</c:v>
                </c:pt>
                <c:pt idx="179">
                  <c:v>0.46947800000000001</c:v>
                </c:pt>
                <c:pt idx="180">
                  <c:v>0.36985299999999999</c:v>
                </c:pt>
                <c:pt idx="181">
                  <c:v>0.12767600000000001</c:v>
                </c:pt>
                <c:pt idx="182">
                  <c:v>3.6938100000000001E-2</c:v>
                </c:pt>
                <c:pt idx="183">
                  <c:v>-4.9019100000000003E-2</c:v>
                </c:pt>
                <c:pt idx="184">
                  <c:v>-0.21798300000000001</c:v>
                </c:pt>
                <c:pt idx="185">
                  <c:v>-0.38401400000000002</c:v>
                </c:pt>
                <c:pt idx="186">
                  <c:v>-0.57486000000000004</c:v>
                </c:pt>
                <c:pt idx="187">
                  <c:v>-0.73329999999999995</c:v>
                </c:pt>
                <c:pt idx="188">
                  <c:v>-0.87090199999999995</c:v>
                </c:pt>
                <c:pt idx="189">
                  <c:v>-1.0348599999999999</c:v>
                </c:pt>
                <c:pt idx="190">
                  <c:v>-1.2307999999999999</c:v>
                </c:pt>
                <c:pt idx="191">
                  <c:v>-1.3526100000000001</c:v>
                </c:pt>
                <c:pt idx="192">
                  <c:v>-1.29555</c:v>
                </c:pt>
                <c:pt idx="193">
                  <c:v>-1.5137499999999999</c:v>
                </c:pt>
                <c:pt idx="194">
                  <c:v>-1.62094</c:v>
                </c:pt>
                <c:pt idx="195">
                  <c:v>-1.6954</c:v>
                </c:pt>
                <c:pt idx="196">
                  <c:v>-1.76502</c:v>
                </c:pt>
                <c:pt idx="197">
                  <c:v>-1.99203</c:v>
                </c:pt>
                <c:pt idx="198">
                  <c:v>-2.1278299999999999</c:v>
                </c:pt>
                <c:pt idx="199">
                  <c:v>-1.9944299999999999</c:v>
                </c:pt>
                <c:pt idx="200">
                  <c:v>-2.2209699999999999</c:v>
                </c:pt>
                <c:pt idx="201">
                  <c:v>-2.4867400000000002</c:v>
                </c:pt>
                <c:pt idx="202">
                  <c:v>-2.3517399999999999</c:v>
                </c:pt>
                <c:pt idx="203">
                  <c:v>-2.5136799999999999</c:v>
                </c:pt>
                <c:pt idx="204">
                  <c:v>-2.5043700000000002</c:v>
                </c:pt>
                <c:pt idx="205">
                  <c:v>-2.7486899999999999</c:v>
                </c:pt>
                <c:pt idx="206">
                  <c:v>-2.86917</c:v>
                </c:pt>
                <c:pt idx="207">
                  <c:v>-3.0396299999999998</c:v>
                </c:pt>
                <c:pt idx="208">
                  <c:v>-3.2097500000000001</c:v>
                </c:pt>
                <c:pt idx="209">
                  <c:v>-3.2360000000000002</c:v>
                </c:pt>
                <c:pt idx="210">
                  <c:v>-3.6465100000000001</c:v>
                </c:pt>
                <c:pt idx="211">
                  <c:v>-3.6234700000000002</c:v>
                </c:pt>
                <c:pt idx="212">
                  <c:v>-4.1132799999999996</c:v>
                </c:pt>
                <c:pt idx="213">
                  <c:v>-3.8779599999999999</c:v>
                </c:pt>
                <c:pt idx="214">
                  <c:v>-4.0306600000000001</c:v>
                </c:pt>
                <c:pt idx="215">
                  <c:v>-4.0179099999999996</c:v>
                </c:pt>
                <c:pt idx="216">
                  <c:v>-3.9652699999999999</c:v>
                </c:pt>
                <c:pt idx="217">
                  <c:v>-3.9583900000000001</c:v>
                </c:pt>
                <c:pt idx="218">
                  <c:v>-3.8792200000000001</c:v>
                </c:pt>
                <c:pt idx="219">
                  <c:v>-3.9822899999999999</c:v>
                </c:pt>
                <c:pt idx="220">
                  <c:v>-3.9450400000000001</c:v>
                </c:pt>
                <c:pt idx="221">
                  <c:v>-3.9639700000000002</c:v>
                </c:pt>
                <c:pt idx="222">
                  <c:v>-3.91065</c:v>
                </c:pt>
                <c:pt idx="223">
                  <c:v>-3.9488799999999999</c:v>
                </c:pt>
                <c:pt idx="224">
                  <c:v>-3.8028900000000001</c:v>
                </c:pt>
                <c:pt idx="225">
                  <c:v>-3.8474200000000001</c:v>
                </c:pt>
                <c:pt idx="226">
                  <c:v>-3.8303199999999999</c:v>
                </c:pt>
                <c:pt idx="227">
                  <c:v>-3.77474</c:v>
                </c:pt>
                <c:pt idx="228">
                  <c:v>-3.7312500000000002</c:v>
                </c:pt>
                <c:pt idx="229">
                  <c:v>-3.7243200000000001</c:v>
                </c:pt>
                <c:pt idx="230">
                  <c:v>-3.67421</c:v>
                </c:pt>
                <c:pt idx="231">
                  <c:v>-3.6440899999999998</c:v>
                </c:pt>
                <c:pt idx="232">
                  <c:v>-3.5620099999999999</c:v>
                </c:pt>
                <c:pt idx="233">
                  <c:v>-3.5589</c:v>
                </c:pt>
                <c:pt idx="234">
                  <c:v>-3.49654</c:v>
                </c:pt>
                <c:pt idx="235">
                  <c:v>-3.4356</c:v>
                </c:pt>
                <c:pt idx="236">
                  <c:v>-3.37297</c:v>
                </c:pt>
                <c:pt idx="237">
                  <c:v>-3.29522</c:v>
                </c:pt>
                <c:pt idx="238">
                  <c:v>-3.2437399999999998</c:v>
                </c:pt>
                <c:pt idx="239">
                  <c:v>-3.1709299999999998</c:v>
                </c:pt>
                <c:pt idx="240">
                  <c:v>-3.1069800000000001</c:v>
                </c:pt>
                <c:pt idx="241">
                  <c:v>-3.0172699999999999</c:v>
                </c:pt>
                <c:pt idx="242">
                  <c:v>-2.9494799999999999</c:v>
                </c:pt>
                <c:pt idx="243">
                  <c:v>-2.8411300000000002</c:v>
                </c:pt>
                <c:pt idx="244">
                  <c:v>-2.7366600000000001</c:v>
                </c:pt>
                <c:pt idx="245">
                  <c:v>-2.6523400000000001</c:v>
                </c:pt>
                <c:pt idx="246">
                  <c:v>-2.5506799999999998</c:v>
                </c:pt>
                <c:pt idx="247">
                  <c:v>-2.44991</c:v>
                </c:pt>
                <c:pt idx="248">
                  <c:v>-2.3553299999999999</c:v>
                </c:pt>
                <c:pt idx="249">
                  <c:v>-2.2543500000000001</c:v>
                </c:pt>
                <c:pt idx="250">
                  <c:v>-2.1282199999999998</c:v>
                </c:pt>
                <c:pt idx="251">
                  <c:v>-2.03586</c:v>
                </c:pt>
                <c:pt idx="252">
                  <c:v>-1.91717</c:v>
                </c:pt>
                <c:pt idx="253">
                  <c:v>-1.81593</c:v>
                </c:pt>
                <c:pt idx="254">
                  <c:v>-1.6807799999999999</c:v>
                </c:pt>
                <c:pt idx="255">
                  <c:v>-1.5620799999999999</c:v>
                </c:pt>
                <c:pt idx="256">
                  <c:v>-1.4274800000000001</c:v>
                </c:pt>
                <c:pt idx="257">
                  <c:v>-1.30297</c:v>
                </c:pt>
                <c:pt idx="258">
                  <c:v>-1.18652</c:v>
                </c:pt>
                <c:pt idx="259">
                  <c:v>-1.0515600000000001</c:v>
                </c:pt>
                <c:pt idx="260">
                  <c:v>-0.92721699999999996</c:v>
                </c:pt>
                <c:pt idx="261">
                  <c:v>-0.80365399999999998</c:v>
                </c:pt>
                <c:pt idx="262">
                  <c:v>-0.666377</c:v>
                </c:pt>
                <c:pt idx="263">
                  <c:v>-0.55182299999999995</c:v>
                </c:pt>
                <c:pt idx="264">
                  <c:v>-0.43071199999999998</c:v>
                </c:pt>
                <c:pt idx="265">
                  <c:v>-0.21105299999999999</c:v>
                </c:pt>
                <c:pt idx="266">
                  <c:v>0.52166999999999997</c:v>
                </c:pt>
                <c:pt idx="267">
                  <c:v>0.78233600000000003</c:v>
                </c:pt>
                <c:pt idx="268">
                  <c:v>0.81724300000000005</c:v>
                </c:pt>
                <c:pt idx="269">
                  <c:v>0.86195100000000002</c:v>
                </c:pt>
                <c:pt idx="270">
                  <c:v>0.950021</c:v>
                </c:pt>
                <c:pt idx="271">
                  <c:v>1.0492999999999999</c:v>
                </c:pt>
                <c:pt idx="272">
                  <c:v>1.1752400000000001</c:v>
                </c:pt>
                <c:pt idx="273">
                  <c:v>1.3152900000000001</c:v>
                </c:pt>
                <c:pt idx="274">
                  <c:v>1.4637500000000001</c:v>
                </c:pt>
                <c:pt idx="275">
                  <c:v>1.62296</c:v>
                </c:pt>
                <c:pt idx="276">
                  <c:v>1.78169</c:v>
                </c:pt>
                <c:pt idx="277">
                  <c:v>1.9421999999999999</c:v>
                </c:pt>
                <c:pt idx="278">
                  <c:v>2.1075200000000001</c:v>
                </c:pt>
                <c:pt idx="279">
                  <c:v>2.2781099999999999</c:v>
                </c:pt>
                <c:pt idx="280">
                  <c:v>2.4499300000000002</c:v>
                </c:pt>
                <c:pt idx="281">
                  <c:v>2.6258699999999999</c:v>
                </c:pt>
                <c:pt idx="282">
                  <c:v>2.7940900000000002</c:v>
                </c:pt>
                <c:pt idx="283">
                  <c:v>2.9581400000000002</c:v>
                </c:pt>
                <c:pt idx="284">
                  <c:v>3.15646</c:v>
                </c:pt>
                <c:pt idx="285">
                  <c:v>3.32565</c:v>
                </c:pt>
                <c:pt idx="286">
                  <c:v>3.4992100000000002</c:v>
                </c:pt>
                <c:pt idx="287">
                  <c:v>3.6540400000000002</c:v>
                </c:pt>
                <c:pt idx="288">
                  <c:v>3.8307899999999999</c:v>
                </c:pt>
                <c:pt idx="289">
                  <c:v>4.0309799999999996</c:v>
                </c:pt>
                <c:pt idx="290">
                  <c:v>4.23407</c:v>
                </c:pt>
                <c:pt idx="291">
                  <c:v>4.4202000000000004</c:v>
                </c:pt>
                <c:pt idx="292">
                  <c:v>4.5639399999999997</c:v>
                </c:pt>
                <c:pt idx="293">
                  <c:v>4.7605300000000002</c:v>
                </c:pt>
                <c:pt idx="294">
                  <c:v>4.9475499999999997</c:v>
                </c:pt>
                <c:pt idx="295">
                  <c:v>5.2143100000000002</c:v>
                </c:pt>
                <c:pt idx="296">
                  <c:v>5.4050900000000004</c:v>
                </c:pt>
                <c:pt idx="297">
                  <c:v>5.6014999999999997</c:v>
                </c:pt>
                <c:pt idx="298">
                  <c:v>5.7946099999999996</c:v>
                </c:pt>
                <c:pt idx="299">
                  <c:v>5.9855799999999997</c:v>
                </c:pt>
                <c:pt idx="300">
                  <c:v>6.1811499999999997</c:v>
                </c:pt>
                <c:pt idx="301">
                  <c:v>6.3762999999999996</c:v>
                </c:pt>
                <c:pt idx="302">
                  <c:v>6.5692300000000001</c:v>
                </c:pt>
                <c:pt idx="303">
                  <c:v>6.77081</c:v>
                </c:pt>
                <c:pt idx="304">
                  <c:v>6.9849899999999998</c:v>
                </c:pt>
                <c:pt idx="305">
                  <c:v>7.2120699999999998</c:v>
                </c:pt>
                <c:pt idx="306">
                  <c:v>7.47248</c:v>
                </c:pt>
                <c:pt idx="307">
                  <c:v>7.6753600000000004</c:v>
                </c:pt>
                <c:pt idx="308">
                  <c:v>7.9446199999999996</c:v>
                </c:pt>
                <c:pt idx="309">
                  <c:v>8.1865900000000007</c:v>
                </c:pt>
                <c:pt idx="310">
                  <c:v>8.4445800000000002</c:v>
                </c:pt>
                <c:pt idx="311">
                  <c:v>8.6780500000000007</c:v>
                </c:pt>
                <c:pt idx="312">
                  <c:v>8.8889499999999995</c:v>
                </c:pt>
                <c:pt idx="313">
                  <c:v>9.0986999999999991</c:v>
                </c:pt>
                <c:pt idx="314">
                  <c:v>9.3196600000000007</c:v>
                </c:pt>
                <c:pt idx="315">
                  <c:v>9.5290400000000002</c:v>
                </c:pt>
                <c:pt idx="316">
                  <c:v>9.7312899999999996</c:v>
                </c:pt>
                <c:pt idx="317">
                  <c:v>9.9010099999999994</c:v>
                </c:pt>
                <c:pt idx="318">
                  <c:v>10.0764</c:v>
                </c:pt>
                <c:pt idx="319">
                  <c:v>10.266</c:v>
                </c:pt>
                <c:pt idx="320">
                  <c:v>10.4788</c:v>
                </c:pt>
                <c:pt idx="321">
                  <c:v>10.741899999999999</c:v>
                </c:pt>
                <c:pt idx="322">
                  <c:v>11.0235</c:v>
                </c:pt>
                <c:pt idx="323">
                  <c:v>11.234299999999999</c:v>
                </c:pt>
                <c:pt idx="324">
                  <c:v>11.3918</c:v>
                </c:pt>
                <c:pt idx="325">
                  <c:v>11.612500000000001</c:v>
                </c:pt>
                <c:pt idx="326">
                  <c:v>11.8933</c:v>
                </c:pt>
                <c:pt idx="327">
                  <c:v>12.027799999999999</c:v>
                </c:pt>
                <c:pt idx="328">
                  <c:v>12.182600000000001</c:v>
                </c:pt>
                <c:pt idx="329">
                  <c:v>12.458399999999999</c:v>
                </c:pt>
                <c:pt idx="330">
                  <c:v>12.6511</c:v>
                </c:pt>
                <c:pt idx="331">
                  <c:v>12.903600000000001</c:v>
                </c:pt>
                <c:pt idx="332">
                  <c:v>13.1541</c:v>
                </c:pt>
                <c:pt idx="333">
                  <c:v>13.368399999999999</c:v>
                </c:pt>
                <c:pt idx="334">
                  <c:v>13.6015</c:v>
                </c:pt>
                <c:pt idx="335">
                  <c:v>13.8704</c:v>
                </c:pt>
                <c:pt idx="336">
                  <c:v>14.1297</c:v>
                </c:pt>
                <c:pt idx="337">
                  <c:v>14.451599999999999</c:v>
                </c:pt>
                <c:pt idx="338">
                  <c:v>14.4628</c:v>
                </c:pt>
                <c:pt idx="339">
                  <c:v>14.575900000000001</c:v>
                </c:pt>
                <c:pt idx="340">
                  <c:v>14.7446</c:v>
                </c:pt>
                <c:pt idx="341">
                  <c:v>14.891</c:v>
                </c:pt>
                <c:pt idx="342">
                  <c:v>14.9779</c:v>
                </c:pt>
                <c:pt idx="343">
                  <c:v>15.0854</c:v>
                </c:pt>
                <c:pt idx="344">
                  <c:v>15.1145</c:v>
                </c:pt>
                <c:pt idx="345">
                  <c:v>15.1486</c:v>
                </c:pt>
                <c:pt idx="346">
                  <c:v>14.961</c:v>
                </c:pt>
                <c:pt idx="347">
                  <c:v>14.946199999999999</c:v>
                </c:pt>
                <c:pt idx="348">
                  <c:v>15.1762</c:v>
                </c:pt>
                <c:pt idx="349">
                  <c:v>15.284700000000001</c:v>
                </c:pt>
                <c:pt idx="350">
                  <c:v>15.331799999999999</c:v>
                </c:pt>
                <c:pt idx="351">
                  <c:v>15.3347</c:v>
                </c:pt>
                <c:pt idx="352">
                  <c:v>15.331</c:v>
                </c:pt>
                <c:pt idx="353">
                  <c:v>15.2844</c:v>
                </c:pt>
                <c:pt idx="354">
                  <c:v>15.295400000000001</c:v>
                </c:pt>
                <c:pt idx="355">
                  <c:v>15.3028</c:v>
                </c:pt>
                <c:pt idx="356">
                  <c:v>15.049200000000001</c:v>
                </c:pt>
                <c:pt idx="357">
                  <c:v>14.9002</c:v>
                </c:pt>
                <c:pt idx="358">
                  <c:v>14.938000000000001</c:v>
                </c:pt>
                <c:pt idx="359">
                  <c:v>14.7561</c:v>
                </c:pt>
                <c:pt idx="360">
                  <c:v>14.525499999999999</c:v>
                </c:pt>
                <c:pt idx="361">
                  <c:v>14.4298</c:v>
                </c:pt>
                <c:pt idx="362">
                  <c:v>14.126799999999999</c:v>
                </c:pt>
                <c:pt idx="363">
                  <c:v>14.106299999999999</c:v>
                </c:pt>
                <c:pt idx="364">
                  <c:v>13.8226</c:v>
                </c:pt>
                <c:pt idx="365">
                  <c:v>13.599500000000001</c:v>
                </c:pt>
                <c:pt idx="366">
                  <c:v>13.3674</c:v>
                </c:pt>
                <c:pt idx="367">
                  <c:v>13.1959</c:v>
                </c:pt>
                <c:pt idx="368">
                  <c:v>13.0069</c:v>
                </c:pt>
                <c:pt idx="369">
                  <c:v>12.7394</c:v>
                </c:pt>
                <c:pt idx="370">
                  <c:v>12.4757</c:v>
                </c:pt>
                <c:pt idx="371">
                  <c:v>12.1639</c:v>
                </c:pt>
                <c:pt idx="372">
                  <c:v>11.9579</c:v>
                </c:pt>
                <c:pt idx="373">
                  <c:v>11.690200000000001</c:v>
                </c:pt>
                <c:pt idx="374">
                  <c:v>11.575799999999999</c:v>
                </c:pt>
                <c:pt idx="375">
                  <c:v>11.314</c:v>
                </c:pt>
                <c:pt idx="376">
                  <c:v>11.0791</c:v>
                </c:pt>
                <c:pt idx="377">
                  <c:v>10.8666</c:v>
                </c:pt>
                <c:pt idx="378">
                  <c:v>10.6013</c:v>
                </c:pt>
                <c:pt idx="379">
                  <c:v>10.4749</c:v>
                </c:pt>
                <c:pt idx="380">
                  <c:v>10.283799999999999</c:v>
                </c:pt>
                <c:pt idx="381">
                  <c:v>9.9821899999999992</c:v>
                </c:pt>
                <c:pt idx="382">
                  <c:v>9.7520900000000008</c:v>
                </c:pt>
                <c:pt idx="383">
                  <c:v>9.5117999999999991</c:v>
                </c:pt>
                <c:pt idx="384">
                  <c:v>9.28308</c:v>
                </c:pt>
                <c:pt idx="385">
                  <c:v>9.1002899999999993</c:v>
                </c:pt>
                <c:pt idx="386">
                  <c:v>8.7908299999999997</c:v>
                </c:pt>
                <c:pt idx="387">
                  <c:v>8.6150300000000009</c:v>
                </c:pt>
                <c:pt idx="388">
                  <c:v>8.3056699999999992</c:v>
                </c:pt>
                <c:pt idx="389">
                  <c:v>7.9999099999999999</c:v>
                </c:pt>
                <c:pt idx="390">
                  <c:v>7.7399399999999998</c:v>
                </c:pt>
                <c:pt idx="391">
                  <c:v>7.5259600000000004</c:v>
                </c:pt>
                <c:pt idx="392">
                  <c:v>7.3913599999999997</c:v>
                </c:pt>
                <c:pt idx="393">
                  <c:v>7.3125499999999999</c:v>
                </c:pt>
                <c:pt idx="394">
                  <c:v>7.1463099999999997</c:v>
                </c:pt>
                <c:pt idx="395">
                  <c:v>6.8612700000000002</c:v>
                </c:pt>
                <c:pt idx="396">
                  <c:v>6.4708399999999999</c:v>
                </c:pt>
                <c:pt idx="397">
                  <c:v>6.2453099999999999</c:v>
                </c:pt>
                <c:pt idx="398">
                  <c:v>6.1328699999999996</c:v>
                </c:pt>
                <c:pt idx="399">
                  <c:v>5.7547600000000001</c:v>
                </c:pt>
              </c:numCache>
            </c:numRef>
          </c:yVal>
          <c:smooth val="1"/>
          <c:extLst>
            <c:ext xmlns:c16="http://schemas.microsoft.com/office/drawing/2014/chart" uri="{C3380CC4-5D6E-409C-BE32-E72D297353CC}">
              <c16:uniqueId val="{00000001-5440-0E45-B379-736EB615DA4F}"/>
            </c:ext>
          </c:extLst>
        </c:ser>
        <c:dLbls>
          <c:showLegendKey val="0"/>
          <c:showVal val="0"/>
          <c:showCatName val="0"/>
          <c:showSerName val="0"/>
          <c:showPercent val="0"/>
          <c:showBubbleSize val="0"/>
        </c:dLbls>
        <c:axId val="183805056"/>
        <c:axId val="183807360"/>
      </c:scatterChart>
      <c:scatterChart>
        <c:scatterStyle val="lineMarker"/>
        <c:varyColors val="0"/>
        <c:ser>
          <c:idx val="3"/>
          <c:order val="1"/>
          <c:tx>
            <c:v>Theoretical Phase</c:v>
          </c:tx>
          <c:spPr>
            <a:ln w="38100">
              <a:solidFill>
                <a:srgbClr val="660066"/>
              </a:solidFill>
              <a:prstDash val="solid"/>
            </a:ln>
          </c:spPr>
          <c:marker>
            <c:symbol val="none"/>
          </c:marker>
          <c:xVal>
            <c:numRef>
              <c:f>'Bode Plots Calculations'!$A$9:$A$676</c:f>
              <c:numCache>
                <c:formatCode>General</c:formatCode>
                <c:ptCount val="668"/>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1500</c:v>
                </c:pt>
                <c:pt idx="29">
                  <c:v>2000</c:v>
                </c:pt>
                <c:pt idx="30">
                  <c:v>2500</c:v>
                </c:pt>
                <c:pt idx="31">
                  <c:v>3000</c:v>
                </c:pt>
                <c:pt idx="32">
                  <c:v>3500</c:v>
                </c:pt>
                <c:pt idx="33">
                  <c:v>4000</c:v>
                </c:pt>
                <c:pt idx="34">
                  <c:v>4500</c:v>
                </c:pt>
                <c:pt idx="35">
                  <c:v>5000</c:v>
                </c:pt>
                <c:pt idx="36">
                  <c:v>5500</c:v>
                </c:pt>
                <c:pt idx="37">
                  <c:v>6000</c:v>
                </c:pt>
                <c:pt idx="38">
                  <c:v>6500</c:v>
                </c:pt>
                <c:pt idx="39">
                  <c:v>7000</c:v>
                </c:pt>
                <c:pt idx="40">
                  <c:v>7500</c:v>
                </c:pt>
                <c:pt idx="41">
                  <c:v>8000</c:v>
                </c:pt>
                <c:pt idx="42">
                  <c:v>8500</c:v>
                </c:pt>
                <c:pt idx="43">
                  <c:v>9000</c:v>
                </c:pt>
                <c:pt idx="44">
                  <c:v>9500</c:v>
                </c:pt>
                <c:pt idx="45">
                  <c:v>10000</c:v>
                </c:pt>
                <c:pt idx="46">
                  <c:v>10500</c:v>
                </c:pt>
                <c:pt idx="47">
                  <c:v>11000</c:v>
                </c:pt>
                <c:pt idx="48">
                  <c:v>11500</c:v>
                </c:pt>
                <c:pt idx="49">
                  <c:v>12000</c:v>
                </c:pt>
                <c:pt idx="50">
                  <c:v>12500</c:v>
                </c:pt>
                <c:pt idx="51">
                  <c:v>13000</c:v>
                </c:pt>
                <c:pt idx="52">
                  <c:v>13500</c:v>
                </c:pt>
                <c:pt idx="53">
                  <c:v>14000</c:v>
                </c:pt>
                <c:pt idx="54">
                  <c:v>14500</c:v>
                </c:pt>
                <c:pt idx="55">
                  <c:v>15000</c:v>
                </c:pt>
                <c:pt idx="56">
                  <c:v>15500</c:v>
                </c:pt>
                <c:pt idx="57">
                  <c:v>16000</c:v>
                </c:pt>
                <c:pt idx="58">
                  <c:v>16500</c:v>
                </c:pt>
                <c:pt idx="59">
                  <c:v>17000</c:v>
                </c:pt>
                <c:pt idx="60">
                  <c:v>17500</c:v>
                </c:pt>
                <c:pt idx="61">
                  <c:v>18000</c:v>
                </c:pt>
                <c:pt idx="62">
                  <c:v>18500</c:v>
                </c:pt>
                <c:pt idx="63">
                  <c:v>19000</c:v>
                </c:pt>
                <c:pt idx="64">
                  <c:v>19500</c:v>
                </c:pt>
                <c:pt idx="65">
                  <c:v>20000</c:v>
                </c:pt>
                <c:pt idx="66">
                  <c:v>20500</c:v>
                </c:pt>
                <c:pt idx="67">
                  <c:v>21000</c:v>
                </c:pt>
                <c:pt idx="68">
                  <c:v>21500</c:v>
                </c:pt>
                <c:pt idx="69">
                  <c:v>22000</c:v>
                </c:pt>
                <c:pt idx="70">
                  <c:v>22500</c:v>
                </c:pt>
                <c:pt idx="71">
                  <c:v>23000</c:v>
                </c:pt>
                <c:pt idx="72">
                  <c:v>23500</c:v>
                </c:pt>
                <c:pt idx="73">
                  <c:v>24000</c:v>
                </c:pt>
                <c:pt idx="74">
                  <c:v>24500</c:v>
                </c:pt>
                <c:pt idx="75">
                  <c:v>25000</c:v>
                </c:pt>
                <c:pt idx="76">
                  <c:v>25500</c:v>
                </c:pt>
                <c:pt idx="77">
                  <c:v>26000</c:v>
                </c:pt>
                <c:pt idx="78">
                  <c:v>26500</c:v>
                </c:pt>
                <c:pt idx="79">
                  <c:v>27000</c:v>
                </c:pt>
                <c:pt idx="80">
                  <c:v>27500</c:v>
                </c:pt>
                <c:pt idx="81">
                  <c:v>28000</c:v>
                </c:pt>
                <c:pt idx="82">
                  <c:v>28500</c:v>
                </c:pt>
                <c:pt idx="83">
                  <c:v>29000</c:v>
                </c:pt>
                <c:pt idx="84">
                  <c:v>29500</c:v>
                </c:pt>
                <c:pt idx="85">
                  <c:v>30000</c:v>
                </c:pt>
                <c:pt idx="86">
                  <c:v>30500</c:v>
                </c:pt>
                <c:pt idx="87">
                  <c:v>31000</c:v>
                </c:pt>
                <c:pt idx="88">
                  <c:v>31500</c:v>
                </c:pt>
                <c:pt idx="89">
                  <c:v>32000</c:v>
                </c:pt>
                <c:pt idx="90">
                  <c:v>32500</c:v>
                </c:pt>
                <c:pt idx="91">
                  <c:v>33000</c:v>
                </c:pt>
                <c:pt idx="92">
                  <c:v>33500</c:v>
                </c:pt>
                <c:pt idx="93">
                  <c:v>34000</c:v>
                </c:pt>
                <c:pt idx="94">
                  <c:v>34500</c:v>
                </c:pt>
                <c:pt idx="95">
                  <c:v>35000</c:v>
                </c:pt>
                <c:pt idx="96">
                  <c:v>35500</c:v>
                </c:pt>
                <c:pt idx="97">
                  <c:v>36000</c:v>
                </c:pt>
                <c:pt idx="98">
                  <c:v>36500</c:v>
                </c:pt>
                <c:pt idx="99">
                  <c:v>37000</c:v>
                </c:pt>
                <c:pt idx="100">
                  <c:v>37500</c:v>
                </c:pt>
                <c:pt idx="101">
                  <c:v>38000</c:v>
                </c:pt>
                <c:pt idx="102">
                  <c:v>38500</c:v>
                </c:pt>
                <c:pt idx="103">
                  <c:v>39000</c:v>
                </c:pt>
                <c:pt idx="104">
                  <c:v>39500</c:v>
                </c:pt>
                <c:pt idx="105">
                  <c:v>40000</c:v>
                </c:pt>
                <c:pt idx="106">
                  <c:v>40500</c:v>
                </c:pt>
                <c:pt idx="107">
                  <c:v>41000</c:v>
                </c:pt>
                <c:pt idx="108">
                  <c:v>41500</c:v>
                </c:pt>
                <c:pt idx="109">
                  <c:v>42000</c:v>
                </c:pt>
                <c:pt idx="110">
                  <c:v>42500</c:v>
                </c:pt>
                <c:pt idx="111">
                  <c:v>43000</c:v>
                </c:pt>
                <c:pt idx="112">
                  <c:v>43500</c:v>
                </c:pt>
                <c:pt idx="113">
                  <c:v>44000</c:v>
                </c:pt>
                <c:pt idx="114">
                  <c:v>44500</c:v>
                </c:pt>
                <c:pt idx="115">
                  <c:v>45000</c:v>
                </c:pt>
                <c:pt idx="116">
                  <c:v>45500</c:v>
                </c:pt>
                <c:pt idx="117">
                  <c:v>46000</c:v>
                </c:pt>
                <c:pt idx="118">
                  <c:v>46500</c:v>
                </c:pt>
                <c:pt idx="119">
                  <c:v>47000</c:v>
                </c:pt>
                <c:pt idx="120">
                  <c:v>47500</c:v>
                </c:pt>
                <c:pt idx="121">
                  <c:v>48000</c:v>
                </c:pt>
                <c:pt idx="122">
                  <c:v>48500</c:v>
                </c:pt>
                <c:pt idx="123">
                  <c:v>49000</c:v>
                </c:pt>
                <c:pt idx="124">
                  <c:v>49500</c:v>
                </c:pt>
                <c:pt idx="125">
                  <c:v>50000</c:v>
                </c:pt>
                <c:pt idx="126">
                  <c:v>50500</c:v>
                </c:pt>
                <c:pt idx="127">
                  <c:v>51000</c:v>
                </c:pt>
                <c:pt idx="128">
                  <c:v>51500</c:v>
                </c:pt>
                <c:pt idx="129">
                  <c:v>52000</c:v>
                </c:pt>
                <c:pt idx="130">
                  <c:v>52500</c:v>
                </c:pt>
                <c:pt idx="131">
                  <c:v>53000</c:v>
                </c:pt>
                <c:pt idx="132">
                  <c:v>53500</c:v>
                </c:pt>
                <c:pt idx="133">
                  <c:v>54000</c:v>
                </c:pt>
                <c:pt idx="134">
                  <c:v>54500</c:v>
                </c:pt>
                <c:pt idx="135">
                  <c:v>55000</c:v>
                </c:pt>
                <c:pt idx="136">
                  <c:v>55500</c:v>
                </c:pt>
                <c:pt idx="137">
                  <c:v>56000</c:v>
                </c:pt>
                <c:pt idx="138">
                  <c:v>56500</c:v>
                </c:pt>
                <c:pt idx="139">
                  <c:v>57000</c:v>
                </c:pt>
                <c:pt idx="140">
                  <c:v>57500</c:v>
                </c:pt>
                <c:pt idx="141">
                  <c:v>58000</c:v>
                </c:pt>
                <c:pt idx="142">
                  <c:v>58500</c:v>
                </c:pt>
                <c:pt idx="143">
                  <c:v>59000</c:v>
                </c:pt>
                <c:pt idx="144">
                  <c:v>59500</c:v>
                </c:pt>
                <c:pt idx="145">
                  <c:v>60000</c:v>
                </c:pt>
                <c:pt idx="146">
                  <c:v>60500</c:v>
                </c:pt>
                <c:pt idx="147">
                  <c:v>61000</c:v>
                </c:pt>
                <c:pt idx="148">
                  <c:v>61500</c:v>
                </c:pt>
                <c:pt idx="149">
                  <c:v>62000</c:v>
                </c:pt>
                <c:pt idx="150">
                  <c:v>62500</c:v>
                </c:pt>
                <c:pt idx="151">
                  <c:v>63000</c:v>
                </c:pt>
                <c:pt idx="152">
                  <c:v>63500</c:v>
                </c:pt>
                <c:pt idx="153">
                  <c:v>64000</c:v>
                </c:pt>
                <c:pt idx="154">
                  <c:v>64500</c:v>
                </c:pt>
                <c:pt idx="155">
                  <c:v>65000</c:v>
                </c:pt>
                <c:pt idx="156">
                  <c:v>65500</c:v>
                </c:pt>
                <c:pt idx="157">
                  <c:v>66000</c:v>
                </c:pt>
                <c:pt idx="158">
                  <c:v>66500</c:v>
                </c:pt>
                <c:pt idx="159">
                  <c:v>67000</c:v>
                </c:pt>
                <c:pt idx="160">
                  <c:v>67500</c:v>
                </c:pt>
                <c:pt idx="161">
                  <c:v>68000</c:v>
                </c:pt>
                <c:pt idx="162">
                  <c:v>68500</c:v>
                </c:pt>
                <c:pt idx="163">
                  <c:v>69000</c:v>
                </c:pt>
                <c:pt idx="164">
                  <c:v>69500</c:v>
                </c:pt>
                <c:pt idx="165">
                  <c:v>70000</c:v>
                </c:pt>
                <c:pt idx="166">
                  <c:v>70500</c:v>
                </c:pt>
                <c:pt idx="167">
                  <c:v>71000</c:v>
                </c:pt>
                <c:pt idx="168">
                  <c:v>71500</c:v>
                </c:pt>
                <c:pt idx="169">
                  <c:v>72000</c:v>
                </c:pt>
                <c:pt idx="170">
                  <c:v>72500</c:v>
                </c:pt>
                <c:pt idx="171">
                  <c:v>73000</c:v>
                </c:pt>
                <c:pt idx="172">
                  <c:v>73500</c:v>
                </c:pt>
                <c:pt idx="173">
                  <c:v>74000</c:v>
                </c:pt>
                <c:pt idx="174">
                  <c:v>74500</c:v>
                </c:pt>
                <c:pt idx="175">
                  <c:v>75000</c:v>
                </c:pt>
                <c:pt idx="176">
                  <c:v>75500</c:v>
                </c:pt>
                <c:pt idx="177">
                  <c:v>76000</c:v>
                </c:pt>
                <c:pt idx="178">
                  <c:v>76500</c:v>
                </c:pt>
                <c:pt idx="179">
                  <c:v>77000</c:v>
                </c:pt>
                <c:pt idx="180">
                  <c:v>77500</c:v>
                </c:pt>
                <c:pt idx="181">
                  <c:v>78000</c:v>
                </c:pt>
                <c:pt idx="182">
                  <c:v>78500</c:v>
                </c:pt>
                <c:pt idx="183">
                  <c:v>79000</c:v>
                </c:pt>
                <c:pt idx="184">
                  <c:v>79500</c:v>
                </c:pt>
                <c:pt idx="185">
                  <c:v>80000</c:v>
                </c:pt>
                <c:pt idx="186">
                  <c:v>80500</c:v>
                </c:pt>
                <c:pt idx="187">
                  <c:v>81000</c:v>
                </c:pt>
                <c:pt idx="188">
                  <c:v>81500</c:v>
                </c:pt>
                <c:pt idx="189">
                  <c:v>82000</c:v>
                </c:pt>
                <c:pt idx="190">
                  <c:v>82500</c:v>
                </c:pt>
                <c:pt idx="191">
                  <c:v>83000</c:v>
                </c:pt>
                <c:pt idx="192">
                  <c:v>83500</c:v>
                </c:pt>
                <c:pt idx="193">
                  <c:v>84000</c:v>
                </c:pt>
                <c:pt idx="194">
                  <c:v>84500</c:v>
                </c:pt>
                <c:pt idx="195">
                  <c:v>85000</c:v>
                </c:pt>
                <c:pt idx="196">
                  <c:v>85500</c:v>
                </c:pt>
                <c:pt idx="197">
                  <c:v>86000</c:v>
                </c:pt>
                <c:pt idx="198">
                  <c:v>86500</c:v>
                </c:pt>
                <c:pt idx="199">
                  <c:v>87000</c:v>
                </c:pt>
                <c:pt idx="200">
                  <c:v>87500</c:v>
                </c:pt>
                <c:pt idx="201">
                  <c:v>88000</c:v>
                </c:pt>
                <c:pt idx="202">
                  <c:v>88500</c:v>
                </c:pt>
                <c:pt idx="203">
                  <c:v>89000</c:v>
                </c:pt>
                <c:pt idx="204">
                  <c:v>89500</c:v>
                </c:pt>
                <c:pt idx="205">
                  <c:v>90000</c:v>
                </c:pt>
                <c:pt idx="206">
                  <c:v>90500</c:v>
                </c:pt>
                <c:pt idx="207">
                  <c:v>91000</c:v>
                </c:pt>
                <c:pt idx="208">
                  <c:v>91500</c:v>
                </c:pt>
                <c:pt idx="209">
                  <c:v>92000</c:v>
                </c:pt>
                <c:pt idx="210">
                  <c:v>92500</c:v>
                </c:pt>
                <c:pt idx="211">
                  <c:v>93000</c:v>
                </c:pt>
                <c:pt idx="212">
                  <c:v>93500</c:v>
                </c:pt>
                <c:pt idx="213">
                  <c:v>94000</c:v>
                </c:pt>
                <c:pt idx="214">
                  <c:v>94500</c:v>
                </c:pt>
                <c:pt idx="215">
                  <c:v>95000</c:v>
                </c:pt>
                <c:pt idx="216">
                  <c:v>95500</c:v>
                </c:pt>
                <c:pt idx="217">
                  <c:v>96000</c:v>
                </c:pt>
                <c:pt idx="218">
                  <c:v>96500</c:v>
                </c:pt>
                <c:pt idx="219">
                  <c:v>97000</c:v>
                </c:pt>
                <c:pt idx="220">
                  <c:v>97500</c:v>
                </c:pt>
                <c:pt idx="221">
                  <c:v>98000</c:v>
                </c:pt>
                <c:pt idx="222">
                  <c:v>98500</c:v>
                </c:pt>
                <c:pt idx="223">
                  <c:v>99000</c:v>
                </c:pt>
                <c:pt idx="224">
                  <c:v>99500</c:v>
                </c:pt>
                <c:pt idx="225">
                  <c:v>100000</c:v>
                </c:pt>
                <c:pt idx="226">
                  <c:v>105000</c:v>
                </c:pt>
                <c:pt idx="227">
                  <c:v>110000</c:v>
                </c:pt>
                <c:pt idx="228">
                  <c:v>115000</c:v>
                </c:pt>
                <c:pt idx="229">
                  <c:v>120000</c:v>
                </c:pt>
                <c:pt idx="230">
                  <c:v>125000</c:v>
                </c:pt>
                <c:pt idx="231">
                  <c:v>130000</c:v>
                </c:pt>
                <c:pt idx="232">
                  <c:v>135000</c:v>
                </c:pt>
                <c:pt idx="233">
                  <c:v>140000</c:v>
                </c:pt>
                <c:pt idx="234">
                  <c:v>145000</c:v>
                </c:pt>
                <c:pt idx="235">
                  <c:v>150000</c:v>
                </c:pt>
                <c:pt idx="236">
                  <c:v>155000</c:v>
                </c:pt>
                <c:pt idx="237">
                  <c:v>160000</c:v>
                </c:pt>
                <c:pt idx="238">
                  <c:v>165000</c:v>
                </c:pt>
                <c:pt idx="239">
                  <c:v>170000</c:v>
                </c:pt>
                <c:pt idx="240">
                  <c:v>175000</c:v>
                </c:pt>
                <c:pt idx="241">
                  <c:v>180000</c:v>
                </c:pt>
                <c:pt idx="242">
                  <c:v>185000</c:v>
                </c:pt>
                <c:pt idx="243">
                  <c:v>190000</c:v>
                </c:pt>
                <c:pt idx="244">
                  <c:v>195000</c:v>
                </c:pt>
                <c:pt idx="245">
                  <c:v>200000</c:v>
                </c:pt>
                <c:pt idx="246">
                  <c:v>205000</c:v>
                </c:pt>
                <c:pt idx="247">
                  <c:v>210000</c:v>
                </c:pt>
                <c:pt idx="248">
                  <c:v>215000</c:v>
                </c:pt>
                <c:pt idx="249">
                  <c:v>220000</c:v>
                </c:pt>
                <c:pt idx="250">
                  <c:v>225000</c:v>
                </c:pt>
                <c:pt idx="251">
                  <c:v>230000</c:v>
                </c:pt>
                <c:pt idx="252">
                  <c:v>235000</c:v>
                </c:pt>
                <c:pt idx="253">
                  <c:v>240000</c:v>
                </c:pt>
                <c:pt idx="254">
                  <c:v>245000</c:v>
                </c:pt>
                <c:pt idx="255">
                  <c:v>250000</c:v>
                </c:pt>
                <c:pt idx="256">
                  <c:v>255000</c:v>
                </c:pt>
                <c:pt idx="257">
                  <c:v>260000</c:v>
                </c:pt>
                <c:pt idx="258">
                  <c:v>265000</c:v>
                </c:pt>
                <c:pt idx="259">
                  <c:v>270000</c:v>
                </c:pt>
                <c:pt idx="260">
                  <c:v>275000</c:v>
                </c:pt>
                <c:pt idx="261">
                  <c:v>280000</c:v>
                </c:pt>
                <c:pt idx="262">
                  <c:v>285000</c:v>
                </c:pt>
                <c:pt idx="263">
                  <c:v>290000</c:v>
                </c:pt>
                <c:pt idx="264">
                  <c:v>295000</c:v>
                </c:pt>
                <c:pt idx="265">
                  <c:v>300000</c:v>
                </c:pt>
                <c:pt idx="266">
                  <c:v>305000</c:v>
                </c:pt>
                <c:pt idx="267">
                  <c:v>310000</c:v>
                </c:pt>
                <c:pt idx="268">
                  <c:v>315000</c:v>
                </c:pt>
                <c:pt idx="269">
                  <c:v>320000</c:v>
                </c:pt>
                <c:pt idx="270">
                  <c:v>325000</c:v>
                </c:pt>
                <c:pt idx="271">
                  <c:v>330000</c:v>
                </c:pt>
                <c:pt idx="272">
                  <c:v>335000</c:v>
                </c:pt>
                <c:pt idx="273">
                  <c:v>340000</c:v>
                </c:pt>
                <c:pt idx="274">
                  <c:v>345000</c:v>
                </c:pt>
                <c:pt idx="275">
                  <c:v>350000</c:v>
                </c:pt>
                <c:pt idx="276">
                  <c:v>355000</c:v>
                </c:pt>
                <c:pt idx="277">
                  <c:v>360000</c:v>
                </c:pt>
                <c:pt idx="278">
                  <c:v>365000</c:v>
                </c:pt>
                <c:pt idx="279">
                  <c:v>370000</c:v>
                </c:pt>
                <c:pt idx="280">
                  <c:v>375000</c:v>
                </c:pt>
                <c:pt idx="281">
                  <c:v>380000</c:v>
                </c:pt>
                <c:pt idx="282">
                  <c:v>385000</c:v>
                </c:pt>
                <c:pt idx="283">
                  <c:v>390000</c:v>
                </c:pt>
                <c:pt idx="284">
                  <c:v>395000</c:v>
                </c:pt>
                <c:pt idx="285">
                  <c:v>400000</c:v>
                </c:pt>
                <c:pt idx="286">
                  <c:v>405000</c:v>
                </c:pt>
                <c:pt idx="287">
                  <c:v>410000</c:v>
                </c:pt>
                <c:pt idx="288">
                  <c:v>415000</c:v>
                </c:pt>
                <c:pt idx="289">
                  <c:v>420000</c:v>
                </c:pt>
                <c:pt idx="290">
                  <c:v>425000</c:v>
                </c:pt>
                <c:pt idx="291">
                  <c:v>430000</c:v>
                </c:pt>
                <c:pt idx="292">
                  <c:v>435000</c:v>
                </c:pt>
                <c:pt idx="293">
                  <c:v>440000</c:v>
                </c:pt>
                <c:pt idx="294">
                  <c:v>445000</c:v>
                </c:pt>
                <c:pt idx="295">
                  <c:v>450000</c:v>
                </c:pt>
                <c:pt idx="296">
                  <c:v>455000</c:v>
                </c:pt>
                <c:pt idx="297">
                  <c:v>460000</c:v>
                </c:pt>
                <c:pt idx="298">
                  <c:v>465000</c:v>
                </c:pt>
                <c:pt idx="299">
                  <c:v>470000</c:v>
                </c:pt>
                <c:pt idx="300">
                  <c:v>475000</c:v>
                </c:pt>
                <c:pt idx="301">
                  <c:v>480000</c:v>
                </c:pt>
                <c:pt idx="302">
                  <c:v>485000</c:v>
                </c:pt>
                <c:pt idx="303">
                  <c:v>490000</c:v>
                </c:pt>
                <c:pt idx="304">
                  <c:v>495000</c:v>
                </c:pt>
                <c:pt idx="305">
                  <c:v>500000</c:v>
                </c:pt>
                <c:pt idx="306">
                  <c:v>505000</c:v>
                </c:pt>
                <c:pt idx="307">
                  <c:v>510000</c:v>
                </c:pt>
                <c:pt idx="308">
                  <c:v>515000</c:v>
                </c:pt>
                <c:pt idx="309">
                  <c:v>520000</c:v>
                </c:pt>
                <c:pt idx="310">
                  <c:v>525000</c:v>
                </c:pt>
                <c:pt idx="311">
                  <c:v>530000</c:v>
                </c:pt>
                <c:pt idx="312">
                  <c:v>535000</c:v>
                </c:pt>
                <c:pt idx="313">
                  <c:v>540000</c:v>
                </c:pt>
                <c:pt idx="314">
                  <c:v>545000</c:v>
                </c:pt>
                <c:pt idx="315">
                  <c:v>550000</c:v>
                </c:pt>
                <c:pt idx="316">
                  <c:v>555000</c:v>
                </c:pt>
                <c:pt idx="317">
                  <c:v>560000</c:v>
                </c:pt>
                <c:pt idx="318">
                  <c:v>565000</c:v>
                </c:pt>
                <c:pt idx="319">
                  <c:v>570000</c:v>
                </c:pt>
                <c:pt idx="320">
                  <c:v>575000</c:v>
                </c:pt>
                <c:pt idx="321">
                  <c:v>580000</c:v>
                </c:pt>
                <c:pt idx="322">
                  <c:v>585000</c:v>
                </c:pt>
                <c:pt idx="323">
                  <c:v>590000</c:v>
                </c:pt>
                <c:pt idx="324">
                  <c:v>595000</c:v>
                </c:pt>
                <c:pt idx="325">
                  <c:v>600000</c:v>
                </c:pt>
                <c:pt idx="326">
                  <c:v>605000</c:v>
                </c:pt>
                <c:pt idx="327">
                  <c:v>610000</c:v>
                </c:pt>
                <c:pt idx="328">
                  <c:v>615000</c:v>
                </c:pt>
                <c:pt idx="329">
                  <c:v>620000</c:v>
                </c:pt>
                <c:pt idx="330">
                  <c:v>625000</c:v>
                </c:pt>
                <c:pt idx="331">
                  <c:v>630000</c:v>
                </c:pt>
                <c:pt idx="332">
                  <c:v>635000</c:v>
                </c:pt>
                <c:pt idx="333">
                  <c:v>640000</c:v>
                </c:pt>
                <c:pt idx="334">
                  <c:v>645000</c:v>
                </c:pt>
                <c:pt idx="335">
                  <c:v>650000</c:v>
                </c:pt>
                <c:pt idx="336">
                  <c:v>655000</c:v>
                </c:pt>
                <c:pt idx="337">
                  <c:v>660000</c:v>
                </c:pt>
                <c:pt idx="338">
                  <c:v>665000</c:v>
                </c:pt>
                <c:pt idx="339">
                  <c:v>670000</c:v>
                </c:pt>
                <c:pt idx="340">
                  <c:v>675000</c:v>
                </c:pt>
                <c:pt idx="341">
                  <c:v>680000</c:v>
                </c:pt>
                <c:pt idx="342">
                  <c:v>685000</c:v>
                </c:pt>
                <c:pt idx="343">
                  <c:v>690000</c:v>
                </c:pt>
                <c:pt idx="344">
                  <c:v>695000</c:v>
                </c:pt>
                <c:pt idx="345">
                  <c:v>700000</c:v>
                </c:pt>
                <c:pt idx="346">
                  <c:v>705000</c:v>
                </c:pt>
                <c:pt idx="347">
                  <c:v>710000</c:v>
                </c:pt>
                <c:pt idx="348">
                  <c:v>715000</c:v>
                </c:pt>
                <c:pt idx="349">
                  <c:v>720000</c:v>
                </c:pt>
                <c:pt idx="350">
                  <c:v>725000</c:v>
                </c:pt>
                <c:pt idx="351">
                  <c:v>730000</c:v>
                </c:pt>
                <c:pt idx="352">
                  <c:v>735000</c:v>
                </c:pt>
                <c:pt idx="353">
                  <c:v>740000</c:v>
                </c:pt>
                <c:pt idx="354">
                  <c:v>745000</c:v>
                </c:pt>
                <c:pt idx="355">
                  <c:v>750000</c:v>
                </c:pt>
                <c:pt idx="356">
                  <c:v>755000</c:v>
                </c:pt>
                <c:pt idx="357">
                  <c:v>760000</c:v>
                </c:pt>
                <c:pt idx="358">
                  <c:v>765000</c:v>
                </c:pt>
                <c:pt idx="359">
                  <c:v>770000</c:v>
                </c:pt>
                <c:pt idx="360">
                  <c:v>775000</c:v>
                </c:pt>
                <c:pt idx="361">
                  <c:v>780000</c:v>
                </c:pt>
                <c:pt idx="362">
                  <c:v>785000</c:v>
                </c:pt>
                <c:pt idx="363">
                  <c:v>790000</c:v>
                </c:pt>
                <c:pt idx="364">
                  <c:v>795000</c:v>
                </c:pt>
                <c:pt idx="365">
                  <c:v>800000</c:v>
                </c:pt>
                <c:pt idx="366">
                  <c:v>805000</c:v>
                </c:pt>
                <c:pt idx="367">
                  <c:v>810000</c:v>
                </c:pt>
                <c:pt idx="368">
                  <c:v>815000</c:v>
                </c:pt>
                <c:pt idx="369">
                  <c:v>820000</c:v>
                </c:pt>
                <c:pt idx="370">
                  <c:v>825000</c:v>
                </c:pt>
                <c:pt idx="371">
                  <c:v>830000</c:v>
                </c:pt>
                <c:pt idx="372">
                  <c:v>835000</c:v>
                </c:pt>
                <c:pt idx="373">
                  <c:v>840000</c:v>
                </c:pt>
                <c:pt idx="374">
                  <c:v>845000</c:v>
                </c:pt>
                <c:pt idx="375">
                  <c:v>850000</c:v>
                </c:pt>
                <c:pt idx="376">
                  <c:v>855000</c:v>
                </c:pt>
                <c:pt idx="377">
                  <c:v>860000</c:v>
                </c:pt>
                <c:pt idx="378">
                  <c:v>865000</c:v>
                </c:pt>
                <c:pt idx="379">
                  <c:v>870000</c:v>
                </c:pt>
                <c:pt idx="380">
                  <c:v>875000</c:v>
                </c:pt>
                <c:pt idx="381">
                  <c:v>880000</c:v>
                </c:pt>
                <c:pt idx="382">
                  <c:v>885000</c:v>
                </c:pt>
                <c:pt idx="383">
                  <c:v>890000</c:v>
                </c:pt>
                <c:pt idx="384">
                  <c:v>895000</c:v>
                </c:pt>
                <c:pt idx="385">
                  <c:v>900000</c:v>
                </c:pt>
                <c:pt idx="386">
                  <c:v>905000</c:v>
                </c:pt>
                <c:pt idx="387">
                  <c:v>910000</c:v>
                </c:pt>
                <c:pt idx="388">
                  <c:v>915000</c:v>
                </c:pt>
                <c:pt idx="389">
                  <c:v>920000</c:v>
                </c:pt>
                <c:pt idx="390">
                  <c:v>925000</c:v>
                </c:pt>
                <c:pt idx="391">
                  <c:v>930000</c:v>
                </c:pt>
                <c:pt idx="392">
                  <c:v>935000</c:v>
                </c:pt>
                <c:pt idx="393">
                  <c:v>940000</c:v>
                </c:pt>
                <c:pt idx="394">
                  <c:v>945000</c:v>
                </c:pt>
                <c:pt idx="395">
                  <c:v>950000</c:v>
                </c:pt>
                <c:pt idx="396">
                  <c:v>955000</c:v>
                </c:pt>
                <c:pt idx="397">
                  <c:v>960000</c:v>
                </c:pt>
                <c:pt idx="398">
                  <c:v>965000</c:v>
                </c:pt>
                <c:pt idx="399">
                  <c:v>970000</c:v>
                </c:pt>
                <c:pt idx="400">
                  <c:v>975000</c:v>
                </c:pt>
                <c:pt idx="401">
                  <c:v>980000</c:v>
                </c:pt>
                <c:pt idx="402">
                  <c:v>985000</c:v>
                </c:pt>
                <c:pt idx="403">
                  <c:v>990000</c:v>
                </c:pt>
                <c:pt idx="404">
                  <c:v>995000</c:v>
                </c:pt>
                <c:pt idx="405">
                  <c:v>1000000</c:v>
                </c:pt>
                <c:pt idx="406">
                  <c:v>1005000</c:v>
                </c:pt>
                <c:pt idx="407">
                  <c:v>1010000</c:v>
                </c:pt>
                <c:pt idx="408">
                  <c:v>1015000</c:v>
                </c:pt>
                <c:pt idx="409">
                  <c:v>1020000</c:v>
                </c:pt>
                <c:pt idx="410">
                  <c:v>1025000</c:v>
                </c:pt>
                <c:pt idx="411">
                  <c:v>1030000</c:v>
                </c:pt>
                <c:pt idx="412">
                  <c:v>1035000</c:v>
                </c:pt>
                <c:pt idx="413">
                  <c:v>1040000</c:v>
                </c:pt>
                <c:pt idx="414">
                  <c:v>1045000</c:v>
                </c:pt>
                <c:pt idx="415">
                  <c:v>1050000</c:v>
                </c:pt>
                <c:pt idx="416">
                  <c:v>1055000</c:v>
                </c:pt>
                <c:pt idx="417">
                  <c:v>1060000</c:v>
                </c:pt>
                <c:pt idx="418">
                  <c:v>1065000</c:v>
                </c:pt>
                <c:pt idx="419">
                  <c:v>1070000</c:v>
                </c:pt>
                <c:pt idx="420">
                  <c:v>1075000</c:v>
                </c:pt>
                <c:pt idx="421">
                  <c:v>1080000</c:v>
                </c:pt>
                <c:pt idx="422">
                  <c:v>1085000</c:v>
                </c:pt>
                <c:pt idx="423">
                  <c:v>1090000</c:v>
                </c:pt>
                <c:pt idx="424">
                  <c:v>1095000</c:v>
                </c:pt>
                <c:pt idx="425">
                  <c:v>1100000</c:v>
                </c:pt>
                <c:pt idx="426">
                  <c:v>1105000</c:v>
                </c:pt>
                <c:pt idx="427">
                  <c:v>1110000</c:v>
                </c:pt>
                <c:pt idx="428">
                  <c:v>1115000</c:v>
                </c:pt>
                <c:pt idx="429">
                  <c:v>1120000</c:v>
                </c:pt>
                <c:pt idx="430">
                  <c:v>1125000</c:v>
                </c:pt>
                <c:pt idx="431">
                  <c:v>1130000</c:v>
                </c:pt>
                <c:pt idx="432">
                  <c:v>1135000</c:v>
                </c:pt>
                <c:pt idx="433">
                  <c:v>1140000</c:v>
                </c:pt>
                <c:pt idx="434">
                  <c:v>1145000</c:v>
                </c:pt>
                <c:pt idx="435">
                  <c:v>1150000</c:v>
                </c:pt>
                <c:pt idx="436">
                  <c:v>1155000</c:v>
                </c:pt>
                <c:pt idx="437">
                  <c:v>1160000</c:v>
                </c:pt>
                <c:pt idx="438">
                  <c:v>1165000</c:v>
                </c:pt>
                <c:pt idx="439">
                  <c:v>1170000</c:v>
                </c:pt>
                <c:pt idx="440">
                  <c:v>1175000</c:v>
                </c:pt>
                <c:pt idx="441">
                  <c:v>1180000</c:v>
                </c:pt>
                <c:pt idx="442">
                  <c:v>1185000</c:v>
                </c:pt>
                <c:pt idx="443">
                  <c:v>1190000</c:v>
                </c:pt>
                <c:pt idx="444">
                  <c:v>1195000</c:v>
                </c:pt>
                <c:pt idx="445">
                  <c:v>1200000</c:v>
                </c:pt>
                <c:pt idx="446">
                  <c:v>1205000</c:v>
                </c:pt>
                <c:pt idx="447">
                  <c:v>1210000</c:v>
                </c:pt>
                <c:pt idx="448">
                  <c:v>1215000</c:v>
                </c:pt>
                <c:pt idx="449">
                  <c:v>1220000</c:v>
                </c:pt>
                <c:pt idx="450">
                  <c:v>1225000</c:v>
                </c:pt>
                <c:pt idx="451">
                  <c:v>1230000</c:v>
                </c:pt>
                <c:pt idx="452">
                  <c:v>1235000</c:v>
                </c:pt>
                <c:pt idx="453">
                  <c:v>1240000</c:v>
                </c:pt>
                <c:pt idx="454">
                  <c:v>1245000</c:v>
                </c:pt>
                <c:pt idx="455">
                  <c:v>1250000</c:v>
                </c:pt>
                <c:pt idx="456">
                  <c:v>1255000</c:v>
                </c:pt>
                <c:pt idx="457">
                  <c:v>1260000</c:v>
                </c:pt>
                <c:pt idx="458">
                  <c:v>1265000</c:v>
                </c:pt>
                <c:pt idx="459">
                  <c:v>1270000</c:v>
                </c:pt>
                <c:pt idx="460">
                  <c:v>1275000</c:v>
                </c:pt>
                <c:pt idx="461">
                  <c:v>1280000</c:v>
                </c:pt>
                <c:pt idx="462">
                  <c:v>1285000</c:v>
                </c:pt>
                <c:pt idx="463">
                  <c:v>1290000</c:v>
                </c:pt>
                <c:pt idx="464">
                  <c:v>1295000</c:v>
                </c:pt>
                <c:pt idx="465">
                  <c:v>1300000</c:v>
                </c:pt>
                <c:pt idx="466">
                  <c:v>1305000</c:v>
                </c:pt>
                <c:pt idx="467">
                  <c:v>1310000</c:v>
                </c:pt>
                <c:pt idx="468">
                  <c:v>1315000</c:v>
                </c:pt>
                <c:pt idx="469">
                  <c:v>1320000</c:v>
                </c:pt>
                <c:pt idx="470">
                  <c:v>1325000</c:v>
                </c:pt>
                <c:pt idx="471">
                  <c:v>1330000</c:v>
                </c:pt>
                <c:pt idx="472">
                  <c:v>1335000</c:v>
                </c:pt>
                <c:pt idx="473">
                  <c:v>1340000</c:v>
                </c:pt>
                <c:pt idx="474">
                  <c:v>1345000</c:v>
                </c:pt>
                <c:pt idx="475">
                  <c:v>1350000</c:v>
                </c:pt>
                <c:pt idx="476">
                  <c:v>1355000</c:v>
                </c:pt>
                <c:pt idx="477">
                  <c:v>1360000</c:v>
                </c:pt>
                <c:pt idx="478">
                  <c:v>1365000</c:v>
                </c:pt>
                <c:pt idx="479">
                  <c:v>1370000</c:v>
                </c:pt>
                <c:pt idx="480">
                  <c:v>1375000</c:v>
                </c:pt>
                <c:pt idx="481">
                  <c:v>1380000</c:v>
                </c:pt>
                <c:pt idx="482">
                  <c:v>1385000</c:v>
                </c:pt>
                <c:pt idx="483">
                  <c:v>1390000</c:v>
                </c:pt>
                <c:pt idx="484">
                  <c:v>1395000</c:v>
                </c:pt>
                <c:pt idx="485">
                  <c:v>1400000</c:v>
                </c:pt>
                <c:pt idx="486">
                  <c:v>1405000</c:v>
                </c:pt>
                <c:pt idx="487">
                  <c:v>1410000</c:v>
                </c:pt>
                <c:pt idx="488">
                  <c:v>1415000</c:v>
                </c:pt>
                <c:pt idx="489">
                  <c:v>1420000</c:v>
                </c:pt>
                <c:pt idx="490">
                  <c:v>1425000</c:v>
                </c:pt>
                <c:pt idx="491">
                  <c:v>1430000</c:v>
                </c:pt>
                <c:pt idx="492">
                  <c:v>1435000</c:v>
                </c:pt>
                <c:pt idx="493">
                  <c:v>1440000</c:v>
                </c:pt>
                <c:pt idx="494">
                  <c:v>1445000</c:v>
                </c:pt>
                <c:pt idx="495">
                  <c:v>1450000</c:v>
                </c:pt>
                <c:pt idx="496">
                  <c:v>1455000</c:v>
                </c:pt>
                <c:pt idx="497">
                  <c:v>1460000</c:v>
                </c:pt>
                <c:pt idx="498">
                  <c:v>1465000</c:v>
                </c:pt>
                <c:pt idx="499">
                  <c:v>1470000</c:v>
                </c:pt>
                <c:pt idx="500">
                  <c:v>1475000</c:v>
                </c:pt>
                <c:pt idx="501">
                  <c:v>1480000</c:v>
                </c:pt>
                <c:pt idx="502">
                  <c:v>1485000</c:v>
                </c:pt>
                <c:pt idx="503">
                  <c:v>1490000</c:v>
                </c:pt>
                <c:pt idx="504">
                  <c:v>1495000</c:v>
                </c:pt>
                <c:pt idx="505">
                  <c:v>1500000</c:v>
                </c:pt>
                <c:pt idx="506">
                  <c:v>1505000</c:v>
                </c:pt>
                <c:pt idx="507">
                  <c:v>1510000</c:v>
                </c:pt>
                <c:pt idx="508">
                  <c:v>1515000</c:v>
                </c:pt>
                <c:pt idx="509">
                  <c:v>1520000</c:v>
                </c:pt>
                <c:pt idx="510">
                  <c:v>1525000</c:v>
                </c:pt>
                <c:pt idx="511">
                  <c:v>1530000</c:v>
                </c:pt>
                <c:pt idx="512">
                  <c:v>1535000</c:v>
                </c:pt>
                <c:pt idx="513">
                  <c:v>1540000</c:v>
                </c:pt>
                <c:pt idx="514">
                  <c:v>1545000</c:v>
                </c:pt>
                <c:pt idx="515">
                  <c:v>1550000</c:v>
                </c:pt>
                <c:pt idx="516">
                  <c:v>1555000</c:v>
                </c:pt>
                <c:pt idx="517">
                  <c:v>1560000</c:v>
                </c:pt>
                <c:pt idx="518">
                  <c:v>1565000</c:v>
                </c:pt>
                <c:pt idx="519">
                  <c:v>1570000</c:v>
                </c:pt>
                <c:pt idx="520">
                  <c:v>1575000</c:v>
                </c:pt>
                <c:pt idx="521">
                  <c:v>1580000</c:v>
                </c:pt>
                <c:pt idx="522">
                  <c:v>1585000</c:v>
                </c:pt>
                <c:pt idx="523">
                  <c:v>1590000</c:v>
                </c:pt>
                <c:pt idx="524">
                  <c:v>1595000</c:v>
                </c:pt>
                <c:pt idx="525">
                  <c:v>1600000</c:v>
                </c:pt>
                <c:pt idx="526">
                  <c:v>1605000</c:v>
                </c:pt>
                <c:pt idx="527">
                  <c:v>1610000</c:v>
                </c:pt>
                <c:pt idx="528">
                  <c:v>1615000</c:v>
                </c:pt>
                <c:pt idx="529">
                  <c:v>1620000</c:v>
                </c:pt>
                <c:pt idx="530">
                  <c:v>1625000</c:v>
                </c:pt>
                <c:pt idx="531">
                  <c:v>1630000</c:v>
                </c:pt>
                <c:pt idx="532">
                  <c:v>1635000</c:v>
                </c:pt>
                <c:pt idx="533">
                  <c:v>1640000</c:v>
                </c:pt>
                <c:pt idx="534">
                  <c:v>1645000</c:v>
                </c:pt>
                <c:pt idx="535">
                  <c:v>1650000</c:v>
                </c:pt>
                <c:pt idx="536">
                  <c:v>1655000</c:v>
                </c:pt>
                <c:pt idx="537">
                  <c:v>1660000</c:v>
                </c:pt>
                <c:pt idx="538">
                  <c:v>1665000</c:v>
                </c:pt>
                <c:pt idx="539">
                  <c:v>1670000</c:v>
                </c:pt>
                <c:pt idx="540">
                  <c:v>1675000</c:v>
                </c:pt>
                <c:pt idx="541">
                  <c:v>1680000</c:v>
                </c:pt>
                <c:pt idx="542">
                  <c:v>1685000</c:v>
                </c:pt>
                <c:pt idx="543">
                  <c:v>1690000</c:v>
                </c:pt>
                <c:pt idx="544">
                  <c:v>1695000</c:v>
                </c:pt>
                <c:pt idx="545">
                  <c:v>1700000</c:v>
                </c:pt>
                <c:pt idx="546">
                  <c:v>1705000</c:v>
                </c:pt>
                <c:pt idx="547">
                  <c:v>1710000</c:v>
                </c:pt>
                <c:pt idx="548">
                  <c:v>1715000</c:v>
                </c:pt>
                <c:pt idx="549">
                  <c:v>1720000</c:v>
                </c:pt>
                <c:pt idx="550">
                  <c:v>1725000</c:v>
                </c:pt>
                <c:pt idx="551">
                  <c:v>1730000</c:v>
                </c:pt>
                <c:pt idx="552">
                  <c:v>1735000</c:v>
                </c:pt>
                <c:pt idx="553">
                  <c:v>1740000</c:v>
                </c:pt>
                <c:pt idx="554">
                  <c:v>1745000</c:v>
                </c:pt>
                <c:pt idx="555">
                  <c:v>1750000</c:v>
                </c:pt>
                <c:pt idx="556">
                  <c:v>1755000</c:v>
                </c:pt>
                <c:pt idx="557">
                  <c:v>1760000</c:v>
                </c:pt>
                <c:pt idx="558">
                  <c:v>1765000</c:v>
                </c:pt>
                <c:pt idx="559">
                  <c:v>1770000</c:v>
                </c:pt>
                <c:pt idx="560">
                  <c:v>1775000</c:v>
                </c:pt>
                <c:pt idx="561">
                  <c:v>1780000</c:v>
                </c:pt>
                <c:pt idx="562">
                  <c:v>1785000</c:v>
                </c:pt>
                <c:pt idx="563">
                  <c:v>1790000</c:v>
                </c:pt>
                <c:pt idx="564">
                  <c:v>1795000</c:v>
                </c:pt>
                <c:pt idx="565">
                  <c:v>1800000</c:v>
                </c:pt>
                <c:pt idx="566">
                  <c:v>1805000</c:v>
                </c:pt>
                <c:pt idx="567">
                  <c:v>1810000</c:v>
                </c:pt>
                <c:pt idx="568">
                  <c:v>1815000</c:v>
                </c:pt>
                <c:pt idx="569">
                  <c:v>1820000</c:v>
                </c:pt>
                <c:pt idx="570">
                  <c:v>1825000</c:v>
                </c:pt>
                <c:pt idx="571">
                  <c:v>1830000</c:v>
                </c:pt>
                <c:pt idx="572">
                  <c:v>1835000</c:v>
                </c:pt>
                <c:pt idx="573">
                  <c:v>1840000</c:v>
                </c:pt>
                <c:pt idx="574">
                  <c:v>1845000</c:v>
                </c:pt>
                <c:pt idx="575">
                  <c:v>1850000</c:v>
                </c:pt>
                <c:pt idx="576">
                  <c:v>1855000</c:v>
                </c:pt>
                <c:pt idx="577">
                  <c:v>1860000</c:v>
                </c:pt>
                <c:pt idx="578">
                  <c:v>1865000</c:v>
                </c:pt>
                <c:pt idx="579">
                  <c:v>1870000</c:v>
                </c:pt>
                <c:pt idx="580">
                  <c:v>1875000</c:v>
                </c:pt>
                <c:pt idx="581">
                  <c:v>1880000</c:v>
                </c:pt>
                <c:pt idx="582">
                  <c:v>1885000</c:v>
                </c:pt>
                <c:pt idx="583">
                  <c:v>1890000</c:v>
                </c:pt>
                <c:pt idx="584">
                  <c:v>1895000</c:v>
                </c:pt>
                <c:pt idx="585">
                  <c:v>1900000</c:v>
                </c:pt>
                <c:pt idx="586">
                  <c:v>1905000</c:v>
                </c:pt>
                <c:pt idx="587">
                  <c:v>1910000</c:v>
                </c:pt>
                <c:pt idx="588">
                  <c:v>1915000</c:v>
                </c:pt>
                <c:pt idx="589">
                  <c:v>1920000</c:v>
                </c:pt>
                <c:pt idx="590">
                  <c:v>1925000</c:v>
                </c:pt>
                <c:pt idx="591">
                  <c:v>1930000</c:v>
                </c:pt>
                <c:pt idx="592">
                  <c:v>1935000</c:v>
                </c:pt>
                <c:pt idx="593">
                  <c:v>1940000</c:v>
                </c:pt>
                <c:pt idx="594">
                  <c:v>1945000</c:v>
                </c:pt>
                <c:pt idx="595">
                  <c:v>1950000</c:v>
                </c:pt>
                <c:pt idx="596">
                  <c:v>1955000</c:v>
                </c:pt>
                <c:pt idx="597">
                  <c:v>1960000</c:v>
                </c:pt>
                <c:pt idx="598">
                  <c:v>1965000</c:v>
                </c:pt>
                <c:pt idx="599">
                  <c:v>1970000</c:v>
                </c:pt>
                <c:pt idx="600">
                  <c:v>1975000</c:v>
                </c:pt>
                <c:pt idx="601">
                  <c:v>1980000</c:v>
                </c:pt>
                <c:pt idx="602">
                  <c:v>1985000</c:v>
                </c:pt>
                <c:pt idx="603">
                  <c:v>1990000</c:v>
                </c:pt>
                <c:pt idx="604">
                  <c:v>1995000</c:v>
                </c:pt>
                <c:pt idx="605">
                  <c:v>2000000</c:v>
                </c:pt>
                <c:pt idx="606">
                  <c:v>2250000</c:v>
                </c:pt>
                <c:pt idx="607">
                  <c:v>2500000</c:v>
                </c:pt>
                <c:pt idx="608">
                  <c:v>2750000</c:v>
                </c:pt>
                <c:pt idx="609">
                  <c:v>3000000</c:v>
                </c:pt>
                <c:pt idx="610">
                  <c:v>3250000</c:v>
                </c:pt>
                <c:pt idx="611">
                  <c:v>3500000</c:v>
                </c:pt>
                <c:pt idx="612">
                  <c:v>3750000</c:v>
                </c:pt>
                <c:pt idx="613">
                  <c:v>4000000</c:v>
                </c:pt>
                <c:pt idx="614">
                  <c:v>4250000</c:v>
                </c:pt>
                <c:pt idx="615">
                  <c:v>4500000</c:v>
                </c:pt>
                <c:pt idx="616">
                  <c:v>4750000</c:v>
                </c:pt>
                <c:pt idx="617">
                  <c:v>5000000</c:v>
                </c:pt>
                <c:pt idx="618">
                  <c:v>5100000</c:v>
                </c:pt>
                <c:pt idx="619">
                  <c:v>5200000</c:v>
                </c:pt>
                <c:pt idx="620">
                  <c:v>5300000</c:v>
                </c:pt>
                <c:pt idx="621">
                  <c:v>5400000</c:v>
                </c:pt>
                <c:pt idx="622">
                  <c:v>5500000</c:v>
                </c:pt>
                <c:pt idx="623">
                  <c:v>5600000</c:v>
                </c:pt>
                <c:pt idx="624">
                  <c:v>5700000</c:v>
                </c:pt>
                <c:pt idx="625">
                  <c:v>5800000</c:v>
                </c:pt>
                <c:pt idx="626">
                  <c:v>5900000</c:v>
                </c:pt>
                <c:pt idx="627">
                  <c:v>6000000</c:v>
                </c:pt>
                <c:pt idx="628">
                  <c:v>6100000</c:v>
                </c:pt>
                <c:pt idx="629">
                  <c:v>6200000</c:v>
                </c:pt>
                <c:pt idx="630">
                  <c:v>6300000</c:v>
                </c:pt>
                <c:pt idx="631">
                  <c:v>6400000</c:v>
                </c:pt>
                <c:pt idx="632">
                  <c:v>6500000</c:v>
                </c:pt>
                <c:pt idx="633">
                  <c:v>6600000</c:v>
                </c:pt>
                <c:pt idx="634">
                  <c:v>6700000</c:v>
                </c:pt>
                <c:pt idx="635">
                  <c:v>6800000</c:v>
                </c:pt>
                <c:pt idx="636">
                  <c:v>6900000</c:v>
                </c:pt>
                <c:pt idx="637">
                  <c:v>7000000</c:v>
                </c:pt>
                <c:pt idx="638">
                  <c:v>7100000</c:v>
                </c:pt>
                <c:pt idx="639">
                  <c:v>7200000</c:v>
                </c:pt>
                <c:pt idx="640">
                  <c:v>7300000</c:v>
                </c:pt>
                <c:pt idx="641">
                  <c:v>7400000</c:v>
                </c:pt>
                <c:pt idx="642">
                  <c:v>7500000</c:v>
                </c:pt>
                <c:pt idx="643">
                  <c:v>7600000</c:v>
                </c:pt>
                <c:pt idx="644">
                  <c:v>7700000</c:v>
                </c:pt>
                <c:pt idx="645">
                  <c:v>7800000</c:v>
                </c:pt>
                <c:pt idx="646">
                  <c:v>7900000</c:v>
                </c:pt>
                <c:pt idx="647">
                  <c:v>8000000</c:v>
                </c:pt>
                <c:pt idx="648">
                  <c:v>8100000</c:v>
                </c:pt>
                <c:pt idx="649">
                  <c:v>8200000</c:v>
                </c:pt>
                <c:pt idx="650">
                  <c:v>8300000</c:v>
                </c:pt>
                <c:pt idx="651">
                  <c:v>8400000</c:v>
                </c:pt>
                <c:pt idx="652">
                  <c:v>8500000</c:v>
                </c:pt>
                <c:pt idx="653">
                  <c:v>8600000</c:v>
                </c:pt>
                <c:pt idx="654">
                  <c:v>8700000</c:v>
                </c:pt>
                <c:pt idx="655">
                  <c:v>8800000</c:v>
                </c:pt>
                <c:pt idx="656">
                  <c:v>8900000</c:v>
                </c:pt>
                <c:pt idx="657">
                  <c:v>9000000</c:v>
                </c:pt>
                <c:pt idx="658">
                  <c:v>9100000</c:v>
                </c:pt>
                <c:pt idx="659">
                  <c:v>9200000</c:v>
                </c:pt>
                <c:pt idx="660">
                  <c:v>9300000</c:v>
                </c:pt>
                <c:pt idx="661">
                  <c:v>9400000</c:v>
                </c:pt>
                <c:pt idx="662">
                  <c:v>9500000</c:v>
                </c:pt>
                <c:pt idx="663">
                  <c:v>9600000</c:v>
                </c:pt>
                <c:pt idx="664">
                  <c:v>9700000</c:v>
                </c:pt>
                <c:pt idx="665">
                  <c:v>9800000</c:v>
                </c:pt>
                <c:pt idx="666">
                  <c:v>9900000</c:v>
                </c:pt>
                <c:pt idx="667">
                  <c:v>10000000</c:v>
                </c:pt>
              </c:numCache>
            </c:numRef>
          </c:xVal>
          <c:yVal>
            <c:numRef>
              <c:f>'Bode Plots Calculations'!$BD$9:$BD$676</c:f>
              <c:numCache>
                <c:formatCode>General</c:formatCode>
                <c:ptCount val="668"/>
                <c:pt idx="0">
                  <c:v>-183.83834337633007</c:v>
                </c:pt>
                <c:pt idx="1">
                  <c:v>-187.64226903783509</c:v>
                </c:pt>
                <c:pt idx="2">
                  <c:v>-191.37917102238231</c:v>
                </c:pt>
                <c:pt idx="3">
                  <c:v>-195.01983487588092</c:v>
                </c:pt>
                <c:pt idx="4">
                  <c:v>-198.53960696765111</c:v>
                </c:pt>
                <c:pt idx="5">
                  <c:v>-201.9190629731641</c:v>
                </c:pt>
                <c:pt idx="6">
                  <c:v>-205.14417904535046</c:v>
                </c:pt>
                <c:pt idx="7">
                  <c:v>-208.2060835658655</c:v>
                </c:pt>
                <c:pt idx="8">
                  <c:v>-211.10050877202707</c:v>
                </c:pt>
                <c:pt idx="9">
                  <c:v>-213.82706991827573</c:v>
                </c:pt>
                <c:pt idx="10">
                  <c:v>-233.17383245285839</c:v>
                </c:pt>
                <c:pt idx="11">
                  <c:v>-243.33497247396767</c:v>
                </c:pt>
                <c:pt idx="12">
                  <c:v>-249.20503413938576</c:v>
                </c:pt>
                <c:pt idx="13">
                  <c:v>-252.93210194038727</c:v>
                </c:pt>
                <c:pt idx="14">
                  <c:v>-255.47241489733955</c:v>
                </c:pt>
                <c:pt idx="15">
                  <c:v>-257.29613432997331</c:v>
                </c:pt>
                <c:pt idx="16">
                  <c:v>-258.65691412314669</c:v>
                </c:pt>
                <c:pt idx="17">
                  <c:v>-259.70239102059213</c:v>
                </c:pt>
                <c:pt idx="18">
                  <c:v>-260.52390209710632</c:v>
                </c:pt>
                <c:pt idx="19">
                  <c:v>-263.70776312342639</c:v>
                </c:pt>
                <c:pt idx="20">
                  <c:v>-264.10170083806292</c:v>
                </c:pt>
                <c:pt idx="21">
                  <c:v>-263.79081044880274</c:v>
                </c:pt>
                <c:pt idx="22">
                  <c:v>-263.19791408848937</c:v>
                </c:pt>
                <c:pt idx="23">
                  <c:v>-262.46462317357827</c:v>
                </c:pt>
                <c:pt idx="24">
                  <c:v>-261.65186468423752</c:v>
                </c:pt>
                <c:pt idx="25">
                  <c:v>-260.79025044375931</c:v>
                </c:pt>
                <c:pt idx="26">
                  <c:v>-259.89690312875115</c:v>
                </c:pt>
                <c:pt idx="27">
                  <c:v>-258.98219457476932</c:v>
                </c:pt>
                <c:pt idx="28">
                  <c:v>-254.2619193118951</c:v>
                </c:pt>
                <c:pt idx="29">
                  <c:v>-249.49051405055297</c:v>
                </c:pt>
                <c:pt idx="30">
                  <c:v>-244.77729648622557</c:v>
                </c:pt>
                <c:pt idx="31">
                  <c:v>-240.17045599370937</c:v>
                </c:pt>
                <c:pt idx="32">
                  <c:v>-235.69736849695204</c:v>
                </c:pt>
                <c:pt idx="33">
                  <c:v>-231.37484753971165</c:v>
                </c:pt>
                <c:pt idx="34">
                  <c:v>-227.21289428087772</c:v>
                </c:pt>
                <c:pt idx="35">
                  <c:v>-223.21658265487915</c:v>
                </c:pt>
                <c:pt idx="36">
                  <c:v>-219.3872828419801</c:v>
                </c:pt>
                <c:pt idx="37">
                  <c:v>-215.7235837627949</c:v>
                </c:pt>
                <c:pt idx="38">
                  <c:v>-212.22203202971423</c:v>
                </c:pt>
                <c:pt idx="39">
                  <c:v>-208.8777303168234</c:v>
                </c:pt>
                <c:pt idx="40">
                  <c:v>-205.68481636019379</c:v>
                </c:pt>
                <c:pt idx="41">
                  <c:v>-202.63683856253709</c:v>
                </c:pt>
                <c:pt idx="42">
                  <c:v>-199.72704334990829</c:v>
                </c:pt>
                <c:pt idx="43">
                  <c:v>-196.94858908628444</c:v>
                </c:pt>
                <c:pt idx="44">
                  <c:v>-194.29470047713369</c:v>
                </c:pt>
                <c:pt idx="45">
                  <c:v>-191.75877595945056</c:v>
                </c:pt>
                <c:pt idx="46">
                  <c:v>-189.33445882282626</c:v>
                </c:pt>
                <c:pt idx="47">
                  <c:v>-187.01568097811872</c:v>
                </c:pt>
                <c:pt idx="48">
                  <c:v>-184.79668656036114</c:v>
                </c:pt>
                <c:pt idx="49">
                  <c:v>-182.67204101808028</c:v>
                </c:pt>
                <c:pt idx="50">
                  <c:v>-180.63663004130896</c:v>
                </c:pt>
                <c:pt idx="51">
                  <c:v>-178.68565161655707</c:v>
                </c:pt>
                <c:pt idx="52">
                  <c:v>-176.81460364895705</c:v>
                </c:pt>
                <c:pt idx="53">
                  <c:v>-175.01926893026456</c:v>
                </c:pt>
                <c:pt idx="54">
                  <c:v>-173.29569872457151</c:v>
                </c:pt>
                <c:pt idx="55">
                  <c:v>-171.64019586138249</c:v>
                </c:pt>
                <c:pt idx="56">
                  <c:v>-170.04929794162899</c:v>
                </c:pt>
                <c:pt idx="57">
                  <c:v>-168.51976105401096</c:v>
                </c:pt>
                <c:pt idx="58">
                  <c:v>-167.04854424869393</c:v>
                </c:pt>
                <c:pt idx="59">
                  <c:v>-165.63279490850314</c:v>
                </c:pt>
                <c:pt idx="60">
                  <c:v>-164.26983508318614</c:v>
                </c:pt>
                <c:pt idx="61">
                  <c:v>-162.95714880147722</c:v>
                </c:pt>
                <c:pt idx="62">
                  <c:v>-161.69237034210721</c:v>
                </c:pt>
                <c:pt idx="63">
                  <c:v>-160.47327342367376</c:v>
                </c:pt>
                <c:pt idx="64">
                  <c:v>-159.29776126081657</c:v>
                </c:pt>
                <c:pt idx="65">
                  <c:v>-158.16385742775327</c:v>
                </c:pt>
                <c:pt idx="66">
                  <c:v>-157.06969746799814</c:v>
                </c:pt>
                <c:pt idx="67">
                  <c:v>-156.01352118959286</c:v>
                </c:pt>
                <c:pt idx="68">
                  <c:v>-154.99366558744228</c:v>
                </c:pt>
                <c:pt idx="69">
                  <c:v>-154.00855833764851</c:v>
                </c:pt>
                <c:pt idx="70">
                  <c:v>-153.05671181259703</c:v>
                </c:pt>
                <c:pt idx="71">
                  <c:v>-152.13671756963058</c:v>
                </c:pt>
                <c:pt idx="72">
                  <c:v>-151.24724127022782</c:v>
                </c:pt>
                <c:pt idx="73">
                  <c:v>-150.38701799055167</c:v>
                </c:pt>
                <c:pt idx="74">
                  <c:v>-149.55484788795252</c:v>
                </c:pt>
                <c:pt idx="75">
                  <c:v>-148.74959219146626</c:v>
                </c:pt>
                <c:pt idx="76">
                  <c:v>-147.97016948751457</c:v>
                </c:pt>
                <c:pt idx="77">
                  <c:v>-147.21555227488952</c:v>
                </c:pt>
                <c:pt idx="78">
                  <c:v>-146.48476376570483</c:v>
                </c:pt>
                <c:pt idx="79">
                  <c:v>-145.77687491132599</c:v>
                </c:pt>
                <c:pt idx="80">
                  <c:v>-145.0910016343833</c:v>
                </c:pt>
                <c:pt idx="81">
                  <c:v>-144.42630224983441</c:v>
                </c:pt>
                <c:pt idx="82">
                  <c:v>-143.78197505970942</c:v>
                </c:pt>
                <c:pt idx="83">
                  <c:v>-143.15725610765222</c:v>
                </c:pt>
                <c:pt idx="84">
                  <c:v>-142.5514170806938</c:v>
                </c:pt>
                <c:pt idx="85">
                  <c:v>-141.96376334686957</c:v>
                </c:pt>
                <c:pt idx="86">
                  <c:v>-141.39363211834296</c:v>
                </c:pt>
                <c:pt idx="87">
                  <c:v>-140.84039073063462</c:v>
                </c:pt>
                <c:pt idx="88">
                  <c:v>-140.30343502939297</c:v>
                </c:pt>
                <c:pt idx="89">
                  <c:v>-139.78218785689285</c:v>
                </c:pt>
                <c:pt idx="90">
                  <c:v>-139.27609763111937</c:v>
                </c:pt>
                <c:pt idx="91">
                  <c:v>-138.7846370108989</c:v>
                </c:pt>
                <c:pt idx="92">
                  <c:v>-138.30730164108044</c:v>
                </c:pt>
                <c:pt idx="93">
                  <c:v>-137.84360897226128</c:v>
                </c:pt>
                <c:pt idx="94">
                  <c:v>-137.39309714999172</c:v>
                </c:pt>
                <c:pt idx="95">
                  <c:v>-136.95532396879398</c:v>
                </c:pt>
                <c:pt idx="96">
                  <c:v>-136.5298658866927</c:v>
                </c:pt>
                <c:pt idx="97">
                  <c:v>-136.1163170962835</c:v>
                </c:pt>
                <c:pt idx="98">
                  <c:v>-135.71428864866539</c:v>
                </c:pt>
                <c:pt idx="99">
                  <c:v>-135.32340762683694</c:v>
                </c:pt>
                <c:pt idx="100">
                  <c:v>-134.94331636540352</c:v>
                </c:pt>
                <c:pt idx="101">
                  <c:v>-134.57367171367287</c:v>
                </c:pt>
                <c:pt idx="102">
                  <c:v>-134.214144339424</c:v>
                </c:pt>
                <c:pt idx="103">
                  <c:v>-133.86441807082639</c:v>
                </c:pt>
                <c:pt idx="104">
                  <c:v>-133.52418927416244</c:v>
                </c:pt>
                <c:pt idx="105">
                  <c:v>-133.19316626516857</c:v>
                </c:pt>
                <c:pt idx="106">
                  <c:v>-132.87106875195894</c:v>
                </c:pt>
                <c:pt idx="107">
                  <c:v>-132.55762730763414</c:v>
                </c:pt>
                <c:pt idx="108">
                  <c:v>-132.25258287080382</c:v>
                </c:pt>
                <c:pt idx="109">
                  <c:v>-131.95568627237003</c:v>
                </c:pt>
                <c:pt idx="110">
                  <c:v>-131.66669778702675</c:v>
                </c:pt>
                <c:pt idx="111">
                  <c:v>-131.38538670803194</c:v>
                </c:pt>
                <c:pt idx="112">
                  <c:v>-131.11153094390167</c:v>
                </c:pt>
                <c:pt idx="113">
                  <c:v>-130.8449166357627</c:v>
                </c:pt>
                <c:pt idx="114">
                  <c:v>-130.58533779418059</c:v>
                </c:pt>
                <c:pt idx="115">
                  <c:v>-130.33259595435467</c:v>
                </c:pt>
                <c:pt idx="116">
                  <c:v>-130.08649984864164</c:v>
                </c:pt>
                <c:pt idx="117">
                  <c:v>-129.8468650954336</c:v>
                </c:pt>
                <c:pt idx="118">
                  <c:v>-129.6135139034771</c:v>
                </c:pt>
                <c:pt idx="119">
                  <c:v>-129.38627479077559</c:v>
                </c:pt>
                <c:pt idx="120">
                  <c:v>-129.16498231727093</c:v>
                </c:pt>
                <c:pt idx="121">
                  <c:v>-128.94947683054733</c:v>
                </c:pt>
                <c:pt idx="122">
                  <c:v>-128.73960422384772</c:v>
                </c:pt>
                <c:pt idx="123">
                  <c:v>-128.53521570573517</c:v>
                </c:pt>
                <c:pt idx="124">
                  <c:v>-128.33616758077088</c:v>
                </c:pt>
                <c:pt idx="125">
                  <c:v>-128.14232104061847</c:v>
                </c:pt>
                <c:pt idx="126">
                  <c:v>-127.95354196501933</c:v>
                </c:pt>
                <c:pt idx="127">
                  <c:v>-127.76970073211498</c:v>
                </c:pt>
                <c:pt idx="128">
                  <c:v>-127.59067203762467</c:v>
                </c:pt>
                <c:pt idx="129">
                  <c:v>-127.41633472241381</c:v>
                </c:pt>
                <c:pt idx="130">
                  <c:v>-127.24657160801593</c:v>
                </c:pt>
                <c:pt idx="131">
                  <c:v>-127.08126933969641</c:v>
                </c:pt>
                <c:pt idx="132">
                  <c:v>-126.92031823666886</c:v>
                </c:pt>
                <c:pt idx="133">
                  <c:v>-126.76361214909818</c:v>
                </c:pt>
                <c:pt idx="134">
                  <c:v>-126.61104832154376</c:v>
                </c:pt>
                <c:pt idx="135">
                  <c:v>-126.4625272625172</c:v>
                </c:pt>
                <c:pt idx="136">
                  <c:v>-126.31795261984561</c:v>
                </c:pt>
                <c:pt idx="137">
                  <c:v>-126.17723106155029</c:v>
                </c:pt>
                <c:pt idx="138">
                  <c:v>-126.04027216196482</c:v>
                </c:pt>
                <c:pt idx="139">
                  <c:v>-125.9069882928339</c:v>
                </c:pt>
                <c:pt idx="140">
                  <c:v>-125.77729451914644</c:v>
                </c:pt>
                <c:pt idx="141">
                  <c:v>-125.65110849947128</c:v>
                </c:pt>
                <c:pt idx="142">
                  <c:v>-125.52835039057555</c:v>
                </c:pt>
                <c:pt idx="143">
                  <c:v>-125.40894275611831</c:v>
                </c:pt>
                <c:pt idx="144">
                  <c:v>-125.29281047922223</c:v>
                </c:pt>
                <c:pt idx="145">
                  <c:v>-125.17988067873792</c:v>
                </c:pt>
                <c:pt idx="146">
                  <c:v>-125.07008262902397</c:v>
                </c:pt>
                <c:pt idx="147">
                  <c:v>-124.96334768307639</c:v>
                </c:pt>
                <c:pt idx="148">
                  <c:v>-124.85960919884866</c:v>
                </c:pt>
                <c:pt idx="149">
                  <c:v>-124.75880246861303</c:v>
                </c:pt>
                <c:pt idx="150">
                  <c:v>-124.66086465122086</c:v>
                </c:pt>
                <c:pt idx="151">
                  <c:v>-124.56573470712681</c:v>
                </c:pt>
                <c:pt idx="152">
                  <c:v>-124.47335333605</c:v>
                </c:pt>
                <c:pt idx="153">
                  <c:v>-124.38366291714999</c:v>
                </c:pt>
                <c:pt idx="154">
                  <c:v>-124.29660745160328</c:v>
                </c:pt>
                <c:pt idx="155">
                  <c:v>-124.21213250747034</c:v>
                </c:pt>
                <c:pt idx="156">
                  <c:v>-124.13018516675044</c:v>
                </c:pt>
                <c:pt idx="157">
                  <c:v>-124.05071397452497</c:v>
                </c:pt>
                <c:pt idx="158">
                  <c:v>-123.97366889009605</c:v>
                </c:pt>
                <c:pt idx="159">
                  <c:v>-123.89900124003174</c:v>
                </c:pt>
                <c:pt idx="160">
                  <c:v>-123.8266636730329</c:v>
                </c:pt>
                <c:pt idx="161">
                  <c:v>-123.75661011654157</c:v>
                </c:pt>
                <c:pt idx="162">
                  <c:v>-123.68879573501496</c:v>
                </c:pt>
                <c:pt idx="163">
                  <c:v>-123.62317688979137</c:v>
                </c:pt>
                <c:pt idx="164">
                  <c:v>-123.55971110047992</c:v>
                </c:pt>
                <c:pt idx="165">
                  <c:v>-123.4983570078078</c:v>
                </c:pt>
                <c:pt idx="166">
                  <c:v>-123.43907433786229</c:v>
                </c:pt>
                <c:pt idx="167">
                  <c:v>-123.38182386766856</c:v>
                </c:pt>
                <c:pt idx="168">
                  <c:v>-123.32656739204555</c:v>
                </c:pt>
                <c:pt idx="169">
                  <c:v>-123.27326769168678</c:v>
                </c:pt>
                <c:pt idx="170">
                  <c:v>-123.22188850241378</c:v>
                </c:pt>
                <c:pt idx="171">
                  <c:v>-123.17239448555348</c:v>
                </c:pt>
                <c:pt idx="172">
                  <c:v>-123.1247511993927</c:v>
                </c:pt>
                <c:pt idx="173">
                  <c:v>-123.07892507166457</c:v>
                </c:pt>
                <c:pt idx="174">
                  <c:v>-123.03488337302528</c:v>
                </c:pt>
                <c:pt idx="175">
                  <c:v>-122.99259419147958</c:v>
                </c:pt>
                <c:pt idx="176">
                  <c:v>-122.95202640771674</c:v>
                </c:pt>
                <c:pt idx="177">
                  <c:v>-122.91314967131997</c:v>
                </c:pt>
                <c:pt idx="178">
                  <c:v>-122.87593437781385</c:v>
                </c:pt>
                <c:pt idx="179">
                  <c:v>-122.840351646516</c:v>
                </c:pt>
                <c:pt idx="180">
                  <c:v>-122.80637329916144</c:v>
                </c:pt>
                <c:pt idx="181">
                  <c:v>-122.77397183926752</c:v>
                </c:pt>
                <c:pt idx="182">
                  <c:v>-122.74312043221147</c:v>
                </c:pt>
                <c:pt idx="183">
                  <c:v>-122.71379288599172</c:v>
                </c:pt>
                <c:pt idx="184">
                  <c:v>-122.68596363264633</c:v>
                </c:pt>
                <c:pt idx="185">
                  <c:v>-122.65960771030269</c:v>
                </c:pt>
                <c:pt idx="186">
                  <c:v>-122.63470074583414</c:v>
                </c:pt>
                <c:pt idx="187">
                  <c:v>-122.61121893810012</c:v>
                </c:pt>
                <c:pt idx="188">
                  <c:v>-122.58913904174716</c:v>
                </c:pt>
                <c:pt idx="189">
                  <c:v>-122.5684383515493</c:v>
                </c:pt>
                <c:pt idx="190">
                  <c:v>-122.54909468726721</c:v>
                </c:pt>
                <c:pt idx="191">
                  <c:v>-122.53108637900701</c:v>
                </c:pt>
                <c:pt idx="192">
                  <c:v>-122.5143922530587</c:v>
                </c:pt>
                <c:pt idx="193">
                  <c:v>-122.49899161819761</c:v>
                </c:pt>
                <c:pt idx="194">
                  <c:v>-122.48486425243024</c:v>
                </c:pt>
                <c:pt idx="195">
                  <c:v>-122.47199039016868</c:v>
                </c:pt>
                <c:pt idx="196">
                  <c:v>-122.46035070981797</c:v>
                </c:pt>
                <c:pt idx="197">
                  <c:v>-122.44992632176007</c:v>
                </c:pt>
                <c:pt idx="198">
                  <c:v>-122.44069875672113</c:v>
                </c:pt>
                <c:pt idx="199">
                  <c:v>-122.43264995450727</c:v>
                </c:pt>
                <c:pt idx="200">
                  <c:v>-122.4257622530958</c:v>
                </c:pt>
                <c:pt idx="201">
                  <c:v>-122.4200183780687</c:v>
                </c:pt>
                <c:pt idx="202">
                  <c:v>-122.41540143237657</c:v>
                </c:pt>
                <c:pt idx="203">
                  <c:v>-122.4118948864205</c:v>
                </c:pt>
                <c:pt idx="204">
                  <c:v>-122.40948256844116</c:v>
                </c:pt>
                <c:pt idx="205">
                  <c:v>-122.40814865520377</c:v>
                </c:pt>
                <c:pt idx="206">
                  <c:v>-122.40787766296853</c:v>
                </c:pt>
                <c:pt idx="207">
                  <c:v>-122.40865443873662</c:v>
                </c:pt>
                <c:pt idx="208">
                  <c:v>-122.41046415176214</c:v>
                </c:pt>
                <c:pt idx="209">
                  <c:v>-122.41329228532032</c:v>
                </c:pt>
                <c:pt idx="210">
                  <c:v>-122.41712462872358</c:v>
                </c:pt>
                <c:pt idx="211">
                  <c:v>-122.42194726957648</c:v>
                </c:pt>
                <c:pt idx="212">
                  <c:v>-122.42774658626169</c:v>
                </c:pt>
                <c:pt idx="213">
                  <c:v>-122.43450924064864</c:v>
                </c:pt>
                <c:pt idx="214">
                  <c:v>-122.44222217101769</c:v>
                </c:pt>
                <c:pt idx="215">
                  <c:v>-122.45087258519212</c:v>
                </c:pt>
                <c:pt idx="216">
                  <c:v>-122.46044795387108</c:v>
                </c:pt>
                <c:pt idx="217">
                  <c:v>-122.4709360041569</c:v>
                </c:pt>
                <c:pt idx="218">
                  <c:v>-122.4823247132697</c:v>
                </c:pt>
                <c:pt idx="219">
                  <c:v>-122.49460230244384</c:v>
                </c:pt>
                <c:pt idx="220">
                  <c:v>-122.50775723099935</c:v>
                </c:pt>
                <c:pt idx="221">
                  <c:v>-122.52177819058311</c:v>
                </c:pt>
                <c:pt idx="222">
                  <c:v>-122.53665409957395</c:v>
                </c:pt>
                <c:pt idx="223">
                  <c:v>-122.55237409764626</c:v>
                </c:pt>
                <c:pt idx="224">
                  <c:v>-122.56892754048725</c:v>
                </c:pt>
                <c:pt idx="225">
                  <c:v>-122.58630399466222</c:v>
                </c:pt>
                <c:pt idx="226">
                  <c:v>-122.80317999267999</c:v>
                </c:pt>
                <c:pt idx="227">
                  <c:v>-123.09227042995403</c:v>
                </c:pt>
                <c:pt idx="228">
                  <c:v>-123.44595392770077</c:v>
                </c:pt>
                <c:pt idx="229">
                  <c:v>-123.85789437664545</c:v>
                </c:pt>
                <c:pt idx="230">
                  <c:v>-124.32279123743277</c:v>
                </c:pt>
                <c:pt idx="231">
                  <c:v>-124.83618471344298</c:v>
                </c:pt>
                <c:pt idx="232">
                  <c:v>-125.39430218160901</c:v>
                </c:pt>
                <c:pt idx="233">
                  <c:v>-125.99393596801883</c:v>
                </c:pt>
                <c:pt idx="234">
                  <c:v>-126.63234516690267</c:v>
                </c:pt>
                <c:pt idx="235">
                  <c:v>-127.30717606765097</c:v>
                </c:pt>
                <c:pt idx="236">
                  <c:v>-128.01639710334618</c:v>
                </c:pt>
                <c:pt idx="237">
                  <c:v>-128.75824522006258</c:v>
                </c:pt>
                <c:pt idx="238">
                  <c:v>-129.53118129417604</c:v>
                </c:pt>
                <c:pt idx="239">
                  <c:v>-130.33385276791736</c:v>
                </c:pt>
                <c:pt idx="240">
                  <c:v>-131.1650620823001</c:v>
                </c:pt>
                <c:pt idx="241">
                  <c:v>-132.02373979732118</c:v>
                </c:pt>
                <c:pt idx="242">
                  <c:v>-132.90892152765321</c:v>
                </c:pt>
                <c:pt idx="243">
                  <c:v>-133.81972800641711</c:v>
                </c:pt>
                <c:pt idx="244">
                  <c:v>-134.75534773348573</c:v>
                </c:pt>
                <c:pt idx="245">
                  <c:v>-135.71502177797237</c:v>
                </c:pt>
                <c:pt idx="246">
                  <c:v>-136.6980303943549</c:v>
                </c:pt>
                <c:pt idx="247">
                  <c:v>-137.70368118346912</c:v>
                </c:pt>
                <c:pt idx="248">
                  <c:v>-138.73129858737394</c:v>
                </c:pt>
                <c:pt idx="249">
                  <c:v>-139.78021455385306</c:v>
                </c:pt>
                <c:pt idx="250">
                  <c:v>-140.84976024430793</c:v>
                </c:pt>
                <c:pt idx="251">
                  <c:v>-141.93925868969816</c:v>
                </c:pt>
                <c:pt idx="252">
                  <c:v>-143.04801832424974</c:v>
                </c:pt>
                <c:pt idx="253">
                  <c:v>-144.17532734681285</c:v>
                </c:pt>
                <c:pt idx="254">
                  <c:v>-145.32044887570623</c:v>
                </c:pt>
                <c:pt idx="255">
                  <c:v>-146.48261687515273</c:v>
                </c:pt>
                <c:pt idx="256">
                  <c:v>-147.6610328403824</c:v>
                </c:pt>
                <c:pt idx="257">
                  <c:v>-148.8548632344592</c:v>
                </c:pt>
                <c:pt idx="258">
                  <c:v>-150.0632376731333</c:v>
                </c:pt>
                <c:pt idx="259">
                  <c:v>-151.28524785474778</c:v>
                </c:pt>
                <c:pt idx="260">
                  <c:v>-152.51994723066616</c:v>
                </c:pt>
                <c:pt idx="261">
                  <c:v>-153.76635140806391</c:v>
                </c:pt>
                <c:pt idx="262">
                  <c:v>-155.02343927150341</c:v>
                </c:pt>
                <c:pt idx="263">
                  <c:v>-156.29015480277857</c:v>
                </c:pt>
                <c:pt idx="264">
                  <c:v>-157.56540957040664</c:v>
                </c:pt>
                <c:pt idx="265">
                  <c:v>-158.84808585121925</c:v>
                </c:pt>
                <c:pt idx="266">
                  <c:v>-160.13704033716414</c:v>
                </c:pt>
                <c:pt idx="267">
                  <c:v>-161.43110837108199</c:v>
                </c:pt>
                <c:pt idx="268">
                  <c:v>-162.72910864629313</c:v>
                </c:pt>
                <c:pt idx="269">
                  <c:v>-164.02984829671934</c:v>
                </c:pt>
                <c:pt idx="270">
                  <c:v>-165.33212829736323</c:v>
                </c:pt>
                <c:pt idx="271">
                  <c:v>-166.63474908959708</c:v>
                </c:pt>
                <c:pt idx="272">
                  <c:v>-167.93651634214831</c:v>
                </c:pt>
                <c:pt idx="273">
                  <c:v>-169.23624675710036</c:v>
                </c:pt>
                <c:pt idx="274">
                  <c:v>-170.53277383076272</c:v>
                </c:pt>
                <c:pt idx="275">
                  <c:v>-171.82495348191466</c:v>
                </c:pt>
                <c:pt idx="276">
                  <c:v>-173.11166946461668</c:v>
                </c:pt>
                <c:pt idx="277">
                  <c:v>-174.39183848935028</c:v>
                </c:pt>
                <c:pt idx="278">
                  <c:v>-175.66441498444948</c:v>
                </c:pt>
                <c:pt idx="279">
                  <c:v>-176.92839543932666</c:v>
                </c:pt>
                <c:pt idx="280">
                  <c:v>-178.18282228153183</c:v>
                </c:pt>
                <c:pt idx="281">
                  <c:v>-179.4267872508409</c:v>
                </c:pt>
                <c:pt idx="282">
                  <c:v>-180.65943424498491</c:v>
                </c:pt>
                <c:pt idx="283">
                  <c:v>-181.87996162293283</c:v>
                </c:pt>
                <c:pt idx="284">
                  <c:v>-183.08762396250791</c:v>
                </c:pt>
                <c:pt idx="285">
                  <c:v>-184.28173327925163</c:v>
                </c:pt>
                <c:pt idx="286">
                  <c:v>-185.46165972261878</c:v>
                </c:pt>
                <c:pt idx="287">
                  <c:v>-186.62683177360731</c:v>
                </c:pt>
                <c:pt idx="288">
                  <c:v>-187.77673597467904</c:v>
                </c:pt>
                <c:pt idx="289">
                  <c:v>-188.9109162282474</c:v>
                </c:pt>
                <c:pt idx="290">
                  <c:v>-190.02897270408508</c:v>
                </c:pt>
                <c:pt idx="291">
                  <c:v>-191.13056039877989</c:v>
                </c:pt>
                <c:pt idx="292">
                  <c:v>-192.21538739191331</c:v>
                </c:pt>
                <c:pt idx="293">
                  <c:v>-193.28321284406627</c:v>
                </c:pt>
                <c:pt idx="294">
                  <c:v>-194.33384478119785</c:v>
                </c:pt>
                <c:pt idx="295">
                  <c:v>-195.36713770853953</c:v>
                </c:pt>
                <c:pt idx="296">
                  <c:v>-196.38299009505195</c:v>
                </c:pt>
                <c:pt idx="297">
                  <c:v>-197.38134176684835</c:v>
                </c:pt>
                <c:pt idx="298">
                  <c:v>-198.36217124494607</c:v>
                </c:pt>
                <c:pt idx="299">
                  <c:v>-199.32549305939261</c:v>
                </c:pt>
                <c:pt idx="300">
                  <c:v>-200.27135506834907</c:v>
                </c:pt>
                <c:pt idx="301">
                  <c:v>-201.1998358072012</c:v>
                </c:pt>
                <c:pt idx="302">
                  <c:v>-202.11104188929792</c:v>
                </c:pt>
                <c:pt idx="303">
                  <c:v>-203.00510547655679</c:v>
                </c:pt>
                <c:pt idx="304">
                  <c:v>-203.88218183498603</c:v>
                </c:pt>
                <c:pt idx="305">
                  <c:v>-204.74244698718985</c:v>
                </c:pt>
                <c:pt idx="306">
                  <c:v>-205.58609547118277</c:v>
                </c:pt>
                <c:pt idx="307">
                  <c:v>-206.41333821235054</c:v>
                </c:pt>
                <c:pt idx="308">
                  <c:v>-207.2244005131719</c:v>
                </c:pt>
                <c:pt idx="309">
                  <c:v>-208.01952016335727</c:v>
                </c:pt>
                <c:pt idx="310">
                  <c:v>-208.79894567135659</c:v>
                </c:pt>
                <c:pt idx="311">
                  <c:v>-209.56293461673215</c:v>
                </c:pt>
                <c:pt idx="312">
                  <c:v>-210.31175212166642</c:v>
                </c:pt>
                <c:pt idx="313">
                  <c:v>-211.04566943886155</c:v>
                </c:pt>
                <c:pt idx="314">
                  <c:v>-211.76496265226976</c:v>
                </c:pt>
                <c:pt idx="315">
                  <c:v>-212.46991148644994</c:v>
                </c:pt>
                <c:pt idx="316">
                  <c:v>-213.16079821985858</c:v>
                </c:pt>
                <c:pt idx="317">
                  <c:v>-213.83790669703288</c:v>
                </c:pt>
                <c:pt idx="318">
                  <c:v>-214.50152143438993</c:v>
                </c:pt>
                <c:pt idx="319">
                  <c:v>-215.15192681423702</c:v>
                </c:pt>
                <c:pt idx="320">
                  <c:v>-215.78940636154098</c:v>
                </c:pt>
                <c:pt idx="321">
                  <c:v>-216.41424209803301</c:v>
                </c:pt>
                <c:pt idx="322">
                  <c:v>-217.02671396830777</c:v>
                </c:pt>
                <c:pt idx="323">
                  <c:v>-217.62709933271049</c:v>
                </c:pt>
                <c:pt idx="324">
                  <c:v>-218.21567252197195</c:v>
                </c:pt>
                <c:pt idx="325">
                  <c:v>-218.79270444875132</c:v>
                </c:pt>
                <c:pt idx="326">
                  <c:v>-219.35846227146118</c:v>
                </c:pt>
                <c:pt idx="327">
                  <c:v>-219.91320910598407</c:v>
                </c:pt>
                <c:pt idx="328">
                  <c:v>-220.45720378112767</c:v>
                </c:pt>
                <c:pt idx="329">
                  <c:v>-220.99070063391193</c:v>
                </c:pt>
                <c:pt idx="330">
                  <c:v>-221.51394934102419</c:v>
                </c:pt>
                <c:pt idx="331">
                  <c:v>-222.02719478302171</c:v>
                </c:pt>
                <c:pt idx="332">
                  <c:v>-222.53067693809658</c:v>
                </c:pt>
                <c:pt idx="333">
                  <c:v>-223.02463080244709</c:v>
                </c:pt>
                <c:pt idx="334">
                  <c:v>-223.50928633452179</c:v>
                </c:pt>
                <c:pt idx="335">
                  <c:v>-223.98486842061101</c:v>
                </c:pt>
                <c:pt idx="336">
                  <c:v>-224.45159685946501</c:v>
                </c:pt>
                <c:pt idx="337">
                  <c:v>-224.90968636380418</c:v>
                </c:pt>
                <c:pt idx="338">
                  <c:v>-225.3593465767687</c:v>
                </c:pt>
                <c:pt idx="339">
                  <c:v>-225.80078210152126</c:v>
                </c:pt>
                <c:pt idx="340">
                  <c:v>-226.23419254237484</c:v>
                </c:pt>
                <c:pt idx="341">
                  <c:v>-226.65977255596272</c:v>
                </c:pt>
                <c:pt idx="342">
                  <c:v>-227.07771191110533</c:v>
                </c:pt>
                <c:pt idx="343">
                  <c:v>-227.48819555615373</c:v>
                </c:pt>
                <c:pt idx="344">
                  <c:v>-227.89140369270646</c:v>
                </c:pt>
                <c:pt idx="345">
                  <c:v>-228.28751185470412</c:v>
                </c:pt>
                <c:pt idx="346">
                  <c:v>-228.67669099200498</c:v>
                </c:pt>
                <c:pt idx="347">
                  <c:v>-229.05910755763605</c:v>
                </c:pt>
                <c:pt idx="348">
                  <c:v>-229.43492359799666</c:v>
                </c:pt>
                <c:pt idx="349">
                  <c:v>-229.80429684536924</c:v>
                </c:pt>
                <c:pt idx="350">
                  <c:v>-230.16738081215982</c:v>
                </c:pt>
                <c:pt idx="351">
                  <c:v>-230.52432488635645</c:v>
                </c:pt>
                <c:pt idx="352">
                  <c:v>-230.87527442774947</c:v>
                </c:pt>
                <c:pt idx="353">
                  <c:v>-231.22037086451161</c:v>
                </c:pt>
                <c:pt idx="354">
                  <c:v>-231.55975178978335</c:v>
                </c:pt>
                <c:pt idx="355">
                  <c:v>-231.89355105795121</c:v>
                </c:pt>
                <c:pt idx="356">
                  <c:v>-232.22189888034774</c:v>
                </c:pt>
                <c:pt idx="357">
                  <c:v>-232.54492192013495</c:v>
                </c:pt>
                <c:pt idx="358">
                  <c:v>-232.86274338616715</c:v>
                </c:pt>
                <c:pt idx="359">
                  <c:v>-233.17548312565583</c:v>
                </c:pt>
                <c:pt idx="360">
                  <c:v>-233.48325771548645</c:v>
                </c:pt>
                <c:pt idx="361">
                  <c:v>-233.78618055206039</c:v>
                </c:pt>
                <c:pt idx="362">
                  <c:v>-234.0843619395539</c:v>
                </c:pt>
                <c:pt idx="363">
                  <c:v>-234.37790917650759</c:v>
                </c:pt>
                <c:pt idx="364">
                  <c:v>-234.66692664067423</c:v>
                </c:pt>
                <c:pt idx="365">
                  <c:v>-234.95151587206863</c:v>
                </c:pt>
                <c:pt idx="366">
                  <c:v>-235.23177565417544</c:v>
                </c:pt>
                <c:pt idx="367">
                  <c:v>-235.50780209328471</c:v>
                </c:pt>
                <c:pt idx="368">
                  <c:v>-235.77968869593161</c:v>
                </c:pt>
                <c:pt idx="369">
                  <c:v>-236.04752644442988</c:v>
                </c:pt>
                <c:pt idx="370">
                  <c:v>-236.31140387049322</c:v>
                </c:pt>
                <c:pt idx="371">
                  <c:v>-236.57140712694874</c:v>
                </c:pt>
                <c:pt idx="372">
                  <c:v>-236.82762005754989</c:v>
                </c:pt>
                <c:pt idx="373">
                  <c:v>-237.08012426490404</c:v>
                </c:pt>
                <c:pt idx="374">
                  <c:v>-237.32899917653302</c:v>
                </c:pt>
                <c:pt idx="375">
                  <c:v>-237.57432210908962</c:v>
                </c:pt>
                <c:pt idx="376">
                  <c:v>-237.81616833075566</c:v>
                </c:pt>
                <c:pt idx="377">
                  <c:v>-238.05461112185139</c:v>
                </c:pt>
                <c:pt idx="378">
                  <c:v>-238.28972183368683</c:v>
                </c:pt>
                <c:pt idx="379">
                  <c:v>-238.52156994568895</c:v>
                </c:pt>
                <c:pt idx="380">
                  <c:v>-238.75022312083922</c:v>
                </c:pt>
                <c:pt idx="381">
                  <c:v>-238.97574725945825</c:v>
                </c:pt>
                <c:pt idx="382">
                  <c:v>-239.19820655137428</c:v>
                </c:pt>
                <c:pt idx="383">
                  <c:v>-239.41766352651416</c:v>
                </c:pt>
                <c:pt idx="384">
                  <c:v>-239.63417910395438</c:v>
                </c:pt>
                <c:pt idx="385">
                  <c:v>-239.84781263947212</c:v>
                </c:pt>
                <c:pt idx="386">
                  <c:v>-240.05862197163415</c:v>
                </c:pt>
                <c:pt idx="387">
                  <c:v>-240.26666346646346</c:v>
                </c:pt>
                <c:pt idx="388">
                  <c:v>-240.4719920607215</c:v>
                </c:pt>
                <c:pt idx="389">
                  <c:v>-240.67466130384551</c:v>
                </c:pt>
                <c:pt idx="390">
                  <c:v>-240.8747233985782</c:v>
                </c:pt>
                <c:pt idx="391">
                  <c:v>-241.07222924032791</c:v>
                </c:pt>
                <c:pt idx="392">
                  <c:v>-241.26722845529642</c:v>
                </c:pt>
                <c:pt idx="393">
                  <c:v>-241.45976943741067</c:v>
                </c:pt>
                <c:pt idx="394">
                  <c:v>-241.6498993840946</c:v>
                </c:pt>
                <c:pt idx="395">
                  <c:v>-241.83766433091603</c:v>
                </c:pt>
                <c:pt idx="396">
                  <c:v>-242.0231091851436</c:v>
                </c:pt>
                <c:pt idx="397">
                  <c:v>-242.20627775824664</c:v>
                </c:pt>
                <c:pt idx="398">
                  <c:v>-242.38721279737189</c:v>
                </c:pt>
                <c:pt idx="399">
                  <c:v>-242.56595601582833</c:v>
                </c:pt>
                <c:pt idx="400">
                  <c:v>-242.74254812261253</c:v>
                </c:pt>
                <c:pt idx="401">
                  <c:v>-242.91702885100386</c:v>
                </c:pt>
                <c:pt idx="402">
                  <c:v>-243.08943698626041</c:v>
                </c:pt>
                <c:pt idx="403">
                  <c:v>-243.25981039244388</c:v>
                </c:pt>
                <c:pt idx="404">
                  <c:v>-243.4281860384018</c:v>
                </c:pt>
                <c:pt idx="405">
                  <c:v>-243.59460002293443</c:v>
                </c:pt>
                <c:pt idx="406">
                  <c:v>-243.75908759917274</c:v>
                </c:pt>
                <c:pt idx="407">
                  <c:v>-243.92168319819345</c:v>
                </c:pt>
                <c:pt idx="408">
                  <c:v>-244.08242045189573</c:v>
                </c:pt>
                <c:pt idx="409">
                  <c:v>-244.24133221516411</c:v>
                </c:pt>
                <c:pt idx="410">
                  <c:v>-244.3984505873409</c:v>
                </c:pt>
                <c:pt idx="411">
                  <c:v>-244.55380693303107</c:v>
                </c:pt>
                <c:pt idx="412">
                  <c:v>-244.70743190226094</c:v>
                </c:pt>
                <c:pt idx="413">
                  <c:v>-244.85935545001288</c:v>
                </c:pt>
                <c:pt idx="414">
                  <c:v>-245.00960685515611</c:v>
                </c:pt>
                <c:pt idx="415">
                  <c:v>-245.15821473879362</c:v>
                </c:pt>
                <c:pt idx="416">
                  <c:v>-245.30520708204443</c:v>
                </c:pt>
                <c:pt idx="417">
                  <c:v>-245.45061124328015</c:v>
                </c:pt>
                <c:pt idx="418">
                  <c:v>-245.59445397483387</c:v>
                </c:pt>
                <c:pt idx="419">
                  <c:v>-245.73676143919806</c:v>
                </c:pt>
                <c:pt idx="420">
                  <c:v>-245.87755922472971</c:v>
                </c:pt>
                <c:pt idx="421">
                  <c:v>-246.01687236087776</c:v>
                </c:pt>
                <c:pt idx="422">
                  <c:v>-246.15472533294923</c:v>
                </c:pt>
                <c:pt idx="423">
                  <c:v>-246.29114209642924</c:v>
                </c:pt>
                <c:pt idx="424">
                  <c:v>-246.42614609086917</c:v>
                </c:pt>
                <c:pt idx="425">
                  <c:v>-246.55976025335792</c:v>
                </c:pt>
                <c:pt idx="426">
                  <c:v>-246.69200703158924</c:v>
                </c:pt>
                <c:pt idx="427">
                  <c:v>-246.82290839653868</c:v>
                </c:pt>
                <c:pt idx="428">
                  <c:v>-246.95248585476338</c:v>
                </c:pt>
                <c:pt idx="429">
                  <c:v>-247.08076046033614</c:v>
                </c:pt>
                <c:pt idx="430">
                  <c:v>-247.20775282642677</c:v>
                </c:pt>
                <c:pt idx="431">
                  <c:v>-247.33348313654116</c:v>
                </c:pt>
                <c:pt idx="432">
                  <c:v>-247.4579711554301</c:v>
                </c:pt>
                <c:pt idx="433">
                  <c:v>-247.58123623967828</c:v>
                </c:pt>
                <c:pt idx="434">
                  <c:v>-247.70329734798366</c:v>
                </c:pt>
                <c:pt idx="435">
                  <c:v>-247.82417305113722</c:v>
                </c:pt>
                <c:pt idx="436">
                  <c:v>-247.94388154171364</c:v>
                </c:pt>
                <c:pt idx="437">
                  <c:v>-248.06244064348047</c:v>
                </c:pt>
                <c:pt idx="438">
                  <c:v>-248.17986782053694</c:v>
                </c:pt>
                <c:pt idx="439">
                  <c:v>-248.29618018618936</c:v>
                </c:pt>
                <c:pt idx="440">
                  <c:v>-248.41139451157258</c:v>
                </c:pt>
                <c:pt idx="441">
                  <c:v>-248.52552723402528</c:v>
                </c:pt>
                <c:pt idx="442">
                  <c:v>-248.63859446522667</c:v>
                </c:pt>
                <c:pt idx="443">
                  <c:v>-248.75061199910289</c:v>
                </c:pt>
                <c:pt idx="444">
                  <c:v>-248.86159531950955</c:v>
                </c:pt>
                <c:pt idx="445">
                  <c:v>-248.97155960769823</c:v>
                </c:pt>
                <c:pt idx="446">
                  <c:v>-249.08051974957328</c:v>
                </c:pt>
                <c:pt idx="447">
                  <c:v>-249.18849034274592</c:v>
                </c:pt>
                <c:pt idx="448">
                  <c:v>-249.29548570339125</c:v>
                </c:pt>
                <c:pt idx="449">
                  <c:v>-249.40151987291554</c:v>
                </c:pt>
                <c:pt idx="450">
                  <c:v>-249.50660662443843</c:v>
                </c:pt>
                <c:pt idx="451">
                  <c:v>-249.61075946909685</c:v>
                </c:pt>
                <c:pt idx="452">
                  <c:v>-249.71399166217543</c:v>
                </c:pt>
                <c:pt idx="453">
                  <c:v>-249.81631620906924</c:v>
                </c:pt>
                <c:pt idx="454">
                  <c:v>-249.91774587108392</c:v>
                </c:pt>
                <c:pt idx="455">
                  <c:v>-250.018293171078</c:v>
                </c:pt>
                <c:pt idx="456">
                  <c:v>-250.11797039895237</c:v>
                </c:pt>
                <c:pt idx="457">
                  <c:v>-250.21678961699212</c:v>
                </c:pt>
                <c:pt idx="458">
                  <c:v>-250.31476266506382</c:v>
                </c:pt>
                <c:pt idx="459">
                  <c:v>-250.41190116567464</c:v>
                </c:pt>
                <c:pt idx="460">
                  <c:v>-250.50821652889545</c:v>
                </c:pt>
                <c:pt idx="461">
                  <c:v>-250.60371995715371</c:v>
                </c:pt>
                <c:pt idx="462">
                  <c:v>-250.69842244989871</c:v>
                </c:pt>
                <c:pt idx="463">
                  <c:v>-250.79233480814423</c:v>
                </c:pt>
                <c:pt idx="464">
                  <c:v>-250.88546763889113</c:v>
                </c:pt>
                <c:pt idx="465">
                  <c:v>-250.97783135943456</c:v>
                </c:pt>
                <c:pt idx="466">
                  <c:v>-251.06943620155795</c:v>
                </c:pt>
                <c:pt idx="467">
                  <c:v>-251.16029221561874</c:v>
                </c:pt>
                <c:pt idx="468">
                  <c:v>-251.25040927452719</c:v>
                </c:pt>
                <c:pt idx="469">
                  <c:v>-251.33979707762336</c:v>
                </c:pt>
                <c:pt idx="470">
                  <c:v>-251.42846515445345</c:v>
                </c:pt>
                <c:pt idx="471">
                  <c:v>-251.51642286844984</c:v>
                </c:pt>
                <c:pt idx="472">
                  <c:v>-251.60367942051687</c:v>
                </c:pt>
                <c:pt idx="473">
                  <c:v>-251.69024385252527</c:v>
                </c:pt>
                <c:pt idx="474">
                  <c:v>-251.77612505071806</c:v>
                </c:pt>
                <c:pt idx="475">
                  <c:v>-251.86133174903028</c:v>
                </c:pt>
                <c:pt idx="476">
                  <c:v>-251.9458725323251</c:v>
                </c:pt>
                <c:pt idx="477">
                  <c:v>-252.02975583954878</c:v>
                </c:pt>
                <c:pt idx="478">
                  <c:v>-252.11298996680668</c:v>
                </c:pt>
                <c:pt idx="479">
                  <c:v>-252.19558307036263</c:v>
                </c:pt>
                <c:pt idx="480">
                  <c:v>-252.27754316956396</c:v>
                </c:pt>
                <c:pt idx="481">
                  <c:v>-252.35887814969396</c:v>
                </c:pt>
                <c:pt idx="482">
                  <c:v>-252.4395957647543</c:v>
                </c:pt>
                <c:pt idx="483">
                  <c:v>-252.51970364017893</c:v>
                </c:pt>
                <c:pt idx="484">
                  <c:v>-252.59920927548168</c:v>
                </c:pt>
                <c:pt idx="485">
                  <c:v>-252.6781200468393</c:v>
                </c:pt>
                <c:pt idx="486">
                  <c:v>-252.75644320961169</c:v>
                </c:pt>
                <c:pt idx="487">
                  <c:v>-252.83418590080123</c:v>
                </c:pt>
                <c:pt idx="488">
                  <c:v>-252.9113551414527</c:v>
                </c:pt>
                <c:pt idx="489">
                  <c:v>-252.98795783899573</c:v>
                </c:pt>
                <c:pt idx="490">
                  <c:v>-253.06400078953072</c:v>
                </c:pt>
                <c:pt idx="491">
                  <c:v>-253.13949068006087</c:v>
                </c:pt>
                <c:pt idx="492">
                  <c:v>-253.21443409067041</c:v>
                </c:pt>
                <c:pt idx="493">
                  <c:v>-253.28883749665201</c:v>
                </c:pt>
                <c:pt idx="494">
                  <c:v>-253.36270727058326</c:v>
                </c:pt>
                <c:pt idx="495">
                  <c:v>-253.43604968435469</c:v>
                </c:pt>
                <c:pt idx="496">
                  <c:v>-253.50887091115038</c:v>
                </c:pt>
                <c:pt idx="497">
                  <c:v>-253.58117702738195</c:v>
                </c:pt>
                <c:pt idx="498">
                  <c:v>-253.65297401457769</c:v>
                </c:pt>
                <c:pt idx="499">
                  <c:v>-253.72426776122816</c:v>
                </c:pt>
                <c:pt idx="500">
                  <c:v>-253.79506406458859</c:v>
                </c:pt>
                <c:pt idx="501">
                  <c:v>-253.86536863244032</c:v>
                </c:pt>
                <c:pt idx="502">
                  <c:v>-253.93518708481156</c:v>
                </c:pt>
                <c:pt idx="503">
                  <c:v>-254.00452495565878</c:v>
                </c:pt>
                <c:pt idx="504">
                  <c:v>-254.07338769450993</c:v>
                </c:pt>
                <c:pt idx="505">
                  <c:v>-254.14178066807023</c:v>
                </c:pt>
                <c:pt idx="506">
                  <c:v>-254.20970916179164</c:v>
                </c:pt>
                <c:pt idx="507">
                  <c:v>-254.27717838140714</c:v>
                </c:pt>
                <c:pt idx="508">
                  <c:v>-254.34419345443024</c:v>
                </c:pt>
                <c:pt idx="509">
                  <c:v>-254.4107594316211</c:v>
                </c:pt>
                <c:pt idx="510">
                  <c:v>-254.47688128841997</c:v>
                </c:pt>
                <c:pt idx="511">
                  <c:v>-254.54256392634852</c:v>
                </c:pt>
                <c:pt idx="512">
                  <c:v>-254.60781217438057</c:v>
                </c:pt>
                <c:pt idx="513">
                  <c:v>-254.67263079028191</c:v>
                </c:pt>
                <c:pt idx="514">
                  <c:v>-254.73702446192135</c:v>
                </c:pt>
                <c:pt idx="515">
                  <c:v>-254.80099780855247</c:v>
                </c:pt>
                <c:pt idx="516">
                  <c:v>-254.86455538206758</c:v>
                </c:pt>
                <c:pt idx="517">
                  <c:v>-254.92770166822436</c:v>
                </c:pt>
                <c:pt idx="518">
                  <c:v>-254.99044108784588</c:v>
                </c:pt>
                <c:pt idx="519">
                  <c:v>-255.05277799799467</c:v>
                </c:pt>
                <c:pt idx="520">
                  <c:v>-255.11471669312141</c:v>
                </c:pt>
                <c:pt idx="521">
                  <c:v>-255.17626140618887</c:v>
                </c:pt>
                <c:pt idx="522">
                  <c:v>-255.23741630977224</c:v>
                </c:pt>
                <c:pt idx="523">
                  <c:v>-255.29818551713518</c:v>
                </c:pt>
                <c:pt idx="524">
                  <c:v>-255.35857308328389</c:v>
                </c:pt>
                <c:pt idx="525">
                  <c:v>-255.41858300599787</c:v>
                </c:pt>
                <c:pt idx="526">
                  <c:v>-255.47821922684011</c:v>
                </c:pt>
                <c:pt idx="527">
                  <c:v>-255.53748563214469</c:v>
                </c:pt>
                <c:pt idx="528">
                  <c:v>-255.59638605398453</c:v>
                </c:pt>
                <c:pt idx="529">
                  <c:v>-255.65492427111877</c:v>
                </c:pt>
                <c:pt idx="530">
                  <c:v>-255.71310400992022</c:v>
                </c:pt>
                <c:pt idx="531">
                  <c:v>-255.77092894528343</c:v>
                </c:pt>
                <c:pt idx="532">
                  <c:v>-255.82840270151445</c:v>
                </c:pt>
                <c:pt idx="533">
                  <c:v>-255.88552885320169</c:v>
                </c:pt>
                <c:pt idx="534">
                  <c:v>-255.94231092606913</c:v>
                </c:pt>
                <c:pt idx="535">
                  <c:v>-255.99875239781215</c:v>
                </c:pt>
                <c:pt idx="536">
                  <c:v>-256.0548566989159</c:v>
                </c:pt>
                <c:pt idx="537">
                  <c:v>-256.11062721345741</c:v>
                </c:pt>
                <c:pt idx="538">
                  <c:v>-256.16606727989114</c:v>
                </c:pt>
                <c:pt idx="539">
                  <c:v>-256.22118019181875</c:v>
                </c:pt>
                <c:pt idx="540">
                  <c:v>-256.27596919874338</c:v>
                </c:pt>
                <c:pt idx="541">
                  <c:v>-256.33043750680861</c:v>
                </c:pt>
                <c:pt idx="542">
                  <c:v>-256.38458827952275</c:v>
                </c:pt>
                <c:pt idx="543">
                  <c:v>-256.43842463846869</c:v>
                </c:pt>
                <c:pt idx="544">
                  <c:v>-256.49194966399943</c:v>
                </c:pt>
                <c:pt idx="545">
                  <c:v>-256.54516639591998</c:v>
                </c:pt>
                <c:pt idx="546">
                  <c:v>-256.59807783415579</c:v>
                </c:pt>
                <c:pt idx="547">
                  <c:v>-256.65068693940771</c:v>
                </c:pt>
                <c:pt idx="548">
                  <c:v>-256.70299663379456</c:v>
                </c:pt>
                <c:pt idx="549">
                  <c:v>-256.75500980148252</c:v>
                </c:pt>
                <c:pt idx="550">
                  <c:v>-256.80672928930295</c:v>
                </c:pt>
                <c:pt idx="551">
                  <c:v>-256.85815790735739</c:v>
                </c:pt>
                <c:pt idx="552">
                  <c:v>-256.90929842961134</c:v>
                </c:pt>
                <c:pt idx="553">
                  <c:v>-256.96015359447659</c:v>
                </c:pt>
                <c:pt idx="554">
                  <c:v>-257.01072610538176</c:v>
                </c:pt>
                <c:pt idx="555">
                  <c:v>-257.06101863133273</c:v>
                </c:pt>
                <c:pt idx="556">
                  <c:v>-257.1110338074613</c:v>
                </c:pt>
                <c:pt idx="557">
                  <c:v>-257.16077423556442</c:v>
                </c:pt>
                <c:pt idx="558">
                  <c:v>-257.21024248463237</c:v>
                </c:pt>
                <c:pt idx="559">
                  <c:v>-257.25944109136736</c:v>
                </c:pt>
                <c:pt idx="560">
                  <c:v>-257.30837256069185</c:v>
                </c:pt>
                <c:pt idx="561">
                  <c:v>-257.35703936624793</c:v>
                </c:pt>
                <c:pt idx="562">
                  <c:v>-257.40544395088671</c:v>
                </c:pt>
                <c:pt idx="563">
                  <c:v>-257.45358872714883</c:v>
                </c:pt>
                <c:pt idx="564">
                  <c:v>-257.5014760777359</c:v>
                </c:pt>
                <c:pt idx="565">
                  <c:v>-257.54910835597332</c:v>
                </c:pt>
                <c:pt idx="566">
                  <c:v>-257.59648788626419</c:v>
                </c:pt>
                <c:pt idx="567">
                  <c:v>-257.64361696453494</c:v>
                </c:pt>
                <c:pt idx="568">
                  <c:v>-257.69049785867298</c:v>
                </c:pt>
                <c:pt idx="569">
                  <c:v>-257.73713280895589</c:v>
                </c:pt>
                <c:pt idx="570">
                  <c:v>-257.78352402847304</c:v>
                </c:pt>
                <c:pt idx="571">
                  <c:v>-257.82967370353924</c:v>
                </c:pt>
                <c:pt idx="572">
                  <c:v>-257.87558399410108</c:v>
                </c:pt>
                <c:pt idx="573">
                  <c:v>-257.92125703413586</c:v>
                </c:pt>
                <c:pt idx="574">
                  <c:v>-257.96669493204297</c:v>
                </c:pt>
                <c:pt idx="575">
                  <c:v>-258.01189977102848</c:v>
                </c:pt>
                <c:pt idx="576">
                  <c:v>-258.05687360948298</c:v>
                </c:pt>
                <c:pt idx="577">
                  <c:v>-258.10161848135192</c:v>
                </c:pt>
                <c:pt idx="578">
                  <c:v>-258.14613639650042</c:v>
                </c:pt>
                <c:pt idx="579">
                  <c:v>-258.19042934107017</c:v>
                </c:pt>
                <c:pt idx="580">
                  <c:v>-258.23449927783145</c:v>
                </c:pt>
                <c:pt idx="581">
                  <c:v>-258.27834814652743</c:v>
                </c:pt>
                <c:pt idx="582">
                  <c:v>-258.32197786421386</c:v>
                </c:pt>
                <c:pt idx="583">
                  <c:v>-258.36539032559131</c:v>
                </c:pt>
                <c:pt idx="584">
                  <c:v>-258.40858740333289</c:v>
                </c:pt>
                <c:pt idx="585">
                  <c:v>-258.45157094840505</c:v>
                </c:pt>
                <c:pt idx="586">
                  <c:v>-258.4943427903836</c:v>
                </c:pt>
                <c:pt idx="587">
                  <c:v>-258.53690473776396</c:v>
                </c:pt>
                <c:pt idx="588">
                  <c:v>-258.57925857826558</c:v>
                </c:pt>
                <c:pt idx="589">
                  <c:v>-258.62140607913199</c:v>
                </c:pt>
                <c:pt idx="590">
                  <c:v>-258.66334898742463</c:v>
                </c:pt>
                <c:pt idx="591">
                  <c:v>-258.70508903031248</c:v>
                </c:pt>
                <c:pt idx="592">
                  <c:v>-258.74662791535621</c:v>
                </c:pt>
                <c:pt idx="593">
                  <c:v>-258.78796733078747</c:v>
                </c:pt>
                <c:pt idx="594">
                  <c:v>-258.82910894578356</c:v>
                </c:pt>
                <c:pt idx="595">
                  <c:v>-258.87005441073751</c:v>
                </c:pt>
                <c:pt idx="596">
                  <c:v>-258.91080535752326</c:v>
                </c:pt>
                <c:pt idx="597">
                  <c:v>-258.9513633997567</c:v>
                </c:pt>
                <c:pt idx="598">
                  <c:v>-258.99173013305165</c:v>
                </c:pt>
                <c:pt idx="599">
                  <c:v>-259.0319071352726</c:v>
                </c:pt>
                <c:pt idx="600">
                  <c:v>-259.07189596678199</c:v>
                </c:pt>
                <c:pt idx="601">
                  <c:v>-259.11169817068452</c:v>
                </c:pt>
                <c:pt idx="602">
                  <c:v>-259.15131527306607</c:v>
                </c:pt>
                <c:pt idx="603">
                  <c:v>-259.19074878322999</c:v>
                </c:pt>
                <c:pt idx="604">
                  <c:v>-259.23000019392839</c:v>
                </c:pt>
                <c:pt idx="605">
                  <c:v>-259.26907098159023</c:v>
                </c:pt>
                <c:pt idx="606">
                  <c:v>-261.02078964330656</c:v>
                </c:pt>
                <c:pt idx="607">
                  <c:v>-262.46152902213566</c:v>
                </c:pt>
                <c:pt idx="608">
                  <c:v>-263.68045306742266</c:v>
                </c:pt>
                <c:pt idx="609">
                  <c:v>-264.73539993663871</c:v>
                </c:pt>
                <c:pt idx="610">
                  <c:v>-265.6655826793218</c:v>
                </c:pt>
                <c:pt idx="611">
                  <c:v>-266.49855653580607</c:v>
                </c:pt>
                <c:pt idx="612">
                  <c:v>-267.25426710865946</c:v>
                </c:pt>
                <c:pt idx="613">
                  <c:v>-267.94751624398077</c:v>
                </c:pt>
                <c:pt idx="614">
                  <c:v>-268.58952465007769</c:v>
                </c:pt>
                <c:pt idx="615">
                  <c:v>-269.18895592586205</c:v>
                </c:pt>
                <c:pt idx="616">
                  <c:v>-269.75260729021522</c:v>
                </c:pt>
                <c:pt idx="617">
                  <c:v>-270.2858873350811</c:v>
                </c:pt>
                <c:pt idx="618">
                  <c:v>-270.54513188913677</c:v>
                </c:pt>
                <c:pt idx="619">
                  <c:v>-270.79847658480674</c:v>
                </c:pt>
                <c:pt idx="620">
                  <c:v>-271.04625044824945</c:v>
                </c:pt>
                <c:pt idx="621">
                  <c:v>-271.28875884029986</c:v>
                </c:pt>
                <c:pt idx="622">
                  <c:v>-271.52628550702326</c:v>
                </c:pt>
                <c:pt idx="623">
                  <c:v>-271.75909442450632</c:v>
                </c:pt>
                <c:pt idx="624">
                  <c:v>-271.98743146109302</c:v>
                </c:pt>
                <c:pt idx="625">
                  <c:v>-272.21152587740028</c:v>
                </c:pt>
                <c:pt idx="626">
                  <c:v>-272.43159168195501</c:v>
                </c:pt>
                <c:pt idx="627">
                  <c:v>-272.6478288581348</c:v>
                </c:pt>
                <c:pt idx="628">
                  <c:v>-272.86042447621355</c:v>
                </c:pt>
                <c:pt idx="629">
                  <c:v>-273.06955370267895</c:v>
                </c:pt>
                <c:pt idx="630">
                  <c:v>-273.27538071756419</c:v>
                </c:pt>
                <c:pt idx="631">
                  <c:v>-273.47805954929123</c:v>
                </c:pt>
                <c:pt idx="632">
                  <c:v>-273.67773483543669</c:v>
                </c:pt>
                <c:pt idx="633">
                  <c:v>-273.87454251687933</c:v>
                </c:pt>
                <c:pt idx="634">
                  <c:v>-274.06861047195503</c:v>
                </c:pt>
                <c:pt idx="635">
                  <c:v>-274.2600590965103</c:v>
                </c:pt>
                <c:pt idx="636">
                  <c:v>-274.44900183510458</c:v>
                </c:pt>
                <c:pt idx="637">
                  <c:v>-274.63554566804243</c:v>
                </c:pt>
                <c:pt idx="638">
                  <c:v>-274.81979155841805</c:v>
                </c:pt>
                <c:pt idx="639">
                  <c:v>-275.00183486291172</c:v>
                </c:pt>
                <c:pt idx="640">
                  <c:v>-275.18176570968973</c:v>
                </c:pt>
                <c:pt idx="641">
                  <c:v>-275.35966934641129</c:v>
                </c:pt>
                <c:pt idx="642">
                  <c:v>-275.53562646104132</c:v>
                </c:pt>
                <c:pt idx="643">
                  <c:v>-275.70971347789418</c:v>
                </c:pt>
                <c:pt idx="644">
                  <c:v>-275.88200283109416</c:v>
                </c:pt>
                <c:pt idx="645">
                  <c:v>-276.05256321741876</c:v>
                </c:pt>
                <c:pt idx="646">
                  <c:v>-276.22145983030418</c:v>
                </c:pt>
                <c:pt idx="647">
                  <c:v>-276.38875457661607</c:v>
                </c:pt>
                <c:pt idx="648">
                  <c:v>-276.55450627763878</c:v>
                </c:pt>
                <c:pt idx="649">
                  <c:v>-276.71877085559743</c:v>
                </c:pt>
                <c:pt idx="650">
                  <c:v>-276.88160150690561</c:v>
                </c:pt>
                <c:pt idx="651">
                  <c:v>-277.04304886321978</c:v>
                </c:pt>
                <c:pt idx="652">
                  <c:v>-277.20316114128468</c:v>
                </c:pt>
                <c:pt idx="653">
                  <c:v>-277.36198428246246</c:v>
                </c:pt>
                <c:pt idx="654">
                  <c:v>-277.5195620827609</c:v>
                </c:pt>
                <c:pt idx="655">
                  <c:v>-277.67593631410182</c:v>
                </c:pt>
                <c:pt idx="656">
                  <c:v>-277.83114683750716</c:v>
                </c:pt>
                <c:pt idx="657">
                  <c:v>-277.98523170882004</c:v>
                </c:pt>
                <c:pt idx="658">
                  <c:v>-278.13822727752728</c:v>
                </c:pt>
                <c:pt idx="659">
                  <c:v>-278.29016827919799</c:v>
                </c:pt>
                <c:pt idx="660">
                  <c:v>-278.44108792201445</c:v>
                </c:pt>
                <c:pt idx="661">
                  <c:v>-278.59101796782642</c:v>
                </c:pt>
                <c:pt idx="662">
                  <c:v>-278.739988808129</c:v>
                </c:pt>
                <c:pt idx="663">
                  <c:v>-278.88802953532849</c:v>
                </c:pt>
                <c:pt idx="664">
                  <c:v>-279.03516800963251</c:v>
                </c:pt>
                <c:pt idx="665">
                  <c:v>-279.18143092187267</c:v>
                </c:pt>
                <c:pt idx="666">
                  <c:v>-279.32684385254549</c:v>
                </c:pt>
                <c:pt idx="667">
                  <c:v>-279.47143132733214</c:v>
                </c:pt>
              </c:numCache>
            </c:numRef>
          </c:yVal>
          <c:smooth val="0"/>
          <c:extLst>
            <c:ext xmlns:c16="http://schemas.microsoft.com/office/drawing/2014/chart" uri="{C3380CC4-5D6E-409C-BE32-E72D297353CC}">
              <c16:uniqueId val="{00000002-5440-0E45-B379-736EB615DA4F}"/>
            </c:ext>
          </c:extLst>
        </c:ser>
        <c:ser>
          <c:idx val="1"/>
          <c:order val="3"/>
          <c:tx>
            <c:v>Measured Phase</c:v>
          </c:tx>
          <c:spPr>
            <a:ln w="12700">
              <a:solidFill>
                <a:srgbClr val="FF00FF"/>
              </a:solidFill>
              <a:prstDash val="solid"/>
            </a:ln>
          </c:spPr>
          <c:marker>
            <c:symbol val="square"/>
            <c:size val="5"/>
            <c:spPr>
              <a:solidFill>
                <a:srgbClr val="FF00FF"/>
              </a:solidFill>
              <a:ln>
                <a:solidFill>
                  <a:srgbClr val="FF00FF"/>
                </a:solidFill>
                <a:prstDash val="solid"/>
              </a:ln>
            </c:spPr>
          </c:marker>
          <c:xVal>
            <c:numRef>
              <c:f>'Bode Plots Calculations'!$BT$10:$BT$409</c:f>
              <c:numCache>
                <c:formatCode>#0.0#</c:formatCode>
                <c:ptCount val="400"/>
                <c:pt idx="0">
                  <c:v>100</c:v>
                </c:pt>
                <c:pt idx="1">
                  <c:v>102.32899999999999</c:v>
                </c:pt>
                <c:pt idx="2">
                  <c:v>104.71299999999999</c:v>
                </c:pt>
                <c:pt idx="3">
                  <c:v>107.152</c:v>
                </c:pt>
                <c:pt idx="4">
                  <c:v>109.648</c:v>
                </c:pt>
                <c:pt idx="5">
                  <c:v>112.202</c:v>
                </c:pt>
                <c:pt idx="6">
                  <c:v>114.815</c:v>
                </c:pt>
                <c:pt idx="7">
                  <c:v>117.49</c:v>
                </c:pt>
                <c:pt idx="8">
                  <c:v>120.226</c:v>
                </c:pt>
                <c:pt idx="9">
                  <c:v>123.027</c:v>
                </c:pt>
                <c:pt idx="10">
                  <c:v>125.893</c:v>
                </c:pt>
                <c:pt idx="11">
                  <c:v>128.82499999999999</c:v>
                </c:pt>
                <c:pt idx="12">
                  <c:v>131.82599999999999</c:v>
                </c:pt>
                <c:pt idx="13">
                  <c:v>134.89599999999999</c:v>
                </c:pt>
                <c:pt idx="14">
                  <c:v>138.03800000000001</c:v>
                </c:pt>
                <c:pt idx="15">
                  <c:v>141.25399999999999</c:v>
                </c:pt>
                <c:pt idx="16">
                  <c:v>144.54400000000001</c:v>
                </c:pt>
                <c:pt idx="17">
                  <c:v>147.911</c:v>
                </c:pt>
                <c:pt idx="18">
                  <c:v>151.35599999999999</c:v>
                </c:pt>
                <c:pt idx="19">
                  <c:v>154.88200000000001</c:v>
                </c:pt>
                <c:pt idx="20">
                  <c:v>158.489</c:v>
                </c:pt>
                <c:pt idx="21">
                  <c:v>162.18100000000001</c:v>
                </c:pt>
                <c:pt idx="22">
                  <c:v>165.959</c:v>
                </c:pt>
                <c:pt idx="23">
                  <c:v>169.82400000000001</c:v>
                </c:pt>
                <c:pt idx="24">
                  <c:v>173.78</c:v>
                </c:pt>
                <c:pt idx="25">
                  <c:v>177.828</c:v>
                </c:pt>
                <c:pt idx="26">
                  <c:v>181.97</c:v>
                </c:pt>
                <c:pt idx="27">
                  <c:v>186.209</c:v>
                </c:pt>
                <c:pt idx="28">
                  <c:v>190.54599999999999</c:v>
                </c:pt>
                <c:pt idx="29">
                  <c:v>194.98400000000001</c:v>
                </c:pt>
                <c:pt idx="30">
                  <c:v>199.52600000000001</c:v>
                </c:pt>
                <c:pt idx="31">
                  <c:v>204.17400000000001</c:v>
                </c:pt>
                <c:pt idx="32">
                  <c:v>208.93</c:v>
                </c:pt>
                <c:pt idx="33">
                  <c:v>213.79599999999999</c:v>
                </c:pt>
                <c:pt idx="34">
                  <c:v>218.77600000000001</c:v>
                </c:pt>
                <c:pt idx="35">
                  <c:v>223.87200000000001</c:v>
                </c:pt>
                <c:pt idx="36">
                  <c:v>229.08699999999999</c:v>
                </c:pt>
                <c:pt idx="37">
                  <c:v>234.423</c:v>
                </c:pt>
                <c:pt idx="38">
                  <c:v>239.88300000000001</c:v>
                </c:pt>
                <c:pt idx="39">
                  <c:v>245.471</c:v>
                </c:pt>
                <c:pt idx="40">
                  <c:v>251.18899999999999</c:v>
                </c:pt>
                <c:pt idx="41">
                  <c:v>257.04000000000002</c:v>
                </c:pt>
                <c:pt idx="42">
                  <c:v>263.02699999999999</c:v>
                </c:pt>
                <c:pt idx="43">
                  <c:v>269.15300000000002</c:v>
                </c:pt>
                <c:pt idx="44">
                  <c:v>275.423</c:v>
                </c:pt>
                <c:pt idx="45">
                  <c:v>281.83800000000002</c:v>
                </c:pt>
                <c:pt idx="46">
                  <c:v>288.40300000000002</c:v>
                </c:pt>
                <c:pt idx="47">
                  <c:v>295.12099999999998</c:v>
                </c:pt>
                <c:pt idx="48">
                  <c:v>301.995</c:v>
                </c:pt>
                <c:pt idx="49">
                  <c:v>309.02999999999997</c:v>
                </c:pt>
                <c:pt idx="50">
                  <c:v>316.22800000000001</c:v>
                </c:pt>
                <c:pt idx="51">
                  <c:v>323.59399999999999</c:v>
                </c:pt>
                <c:pt idx="52">
                  <c:v>331.13099999999997</c:v>
                </c:pt>
                <c:pt idx="53">
                  <c:v>338.84399999999999</c:v>
                </c:pt>
                <c:pt idx="54">
                  <c:v>346.73700000000002</c:v>
                </c:pt>
                <c:pt idx="55">
                  <c:v>354.81299999999999</c:v>
                </c:pt>
                <c:pt idx="56">
                  <c:v>363.07799999999997</c:v>
                </c:pt>
                <c:pt idx="57">
                  <c:v>371.53500000000003</c:v>
                </c:pt>
                <c:pt idx="58">
                  <c:v>380.18900000000002</c:v>
                </c:pt>
                <c:pt idx="59">
                  <c:v>389.04500000000002</c:v>
                </c:pt>
                <c:pt idx="60">
                  <c:v>398.10700000000003</c:v>
                </c:pt>
                <c:pt idx="61">
                  <c:v>407.38</c:v>
                </c:pt>
                <c:pt idx="62">
                  <c:v>416.86900000000003</c:v>
                </c:pt>
                <c:pt idx="63">
                  <c:v>426.58</c:v>
                </c:pt>
                <c:pt idx="64">
                  <c:v>436.51600000000002</c:v>
                </c:pt>
                <c:pt idx="65">
                  <c:v>446.68400000000003</c:v>
                </c:pt>
                <c:pt idx="66">
                  <c:v>457.08800000000002</c:v>
                </c:pt>
                <c:pt idx="67">
                  <c:v>467.73500000000001</c:v>
                </c:pt>
                <c:pt idx="68">
                  <c:v>478.63</c:v>
                </c:pt>
                <c:pt idx="69">
                  <c:v>489.779</c:v>
                </c:pt>
                <c:pt idx="70">
                  <c:v>501.18700000000001</c:v>
                </c:pt>
                <c:pt idx="71">
                  <c:v>512.86099999999999</c:v>
                </c:pt>
                <c:pt idx="72">
                  <c:v>524.80700000000002</c:v>
                </c:pt>
                <c:pt idx="73">
                  <c:v>537.03200000000004</c:v>
                </c:pt>
                <c:pt idx="74">
                  <c:v>549.54100000000005</c:v>
                </c:pt>
                <c:pt idx="75">
                  <c:v>562.34100000000001</c:v>
                </c:pt>
                <c:pt idx="76">
                  <c:v>575.44000000000005</c:v>
                </c:pt>
                <c:pt idx="77">
                  <c:v>588.84400000000005</c:v>
                </c:pt>
                <c:pt idx="78">
                  <c:v>602.55999999999995</c:v>
                </c:pt>
                <c:pt idx="79">
                  <c:v>616.59500000000003</c:v>
                </c:pt>
                <c:pt idx="80">
                  <c:v>630.95699999999999</c:v>
                </c:pt>
                <c:pt idx="81">
                  <c:v>645.654</c:v>
                </c:pt>
                <c:pt idx="82">
                  <c:v>660.69299999999998</c:v>
                </c:pt>
                <c:pt idx="83">
                  <c:v>676.08299999999997</c:v>
                </c:pt>
                <c:pt idx="84">
                  <c:v>691.83100000000002</c:v>
                </c:pt>
                <c:pt idx="85">
                  <c:v>707.94600000000003</c:v>
                </c:pt>
                <c:pt idx="86">
                  <c:v>724.43600000000004</c:v>
                </c:pt>
                <c:pt idx="87">
                  <c:v>741.31</c:v>
                </c:pt>
                <c:pt idx="88">
                  <c:v>758.57799999999997</c:v>
                </c:pt>
                <c:pt idx="89">
                  <c:v>776.24699999999996</c:v>
                </c:pt>
                <c:pt idx="90">
                  <c:v>794.32799999999997</c:v>
                </c:pt>
                <c:pt idx="91">
                  <c:v>812.83100000000002</c:v>
                </c:pt>
                <c:pt idx="92">
                  <c:v>831.76400000000001</c:v>
                </c:pt>
                <c:pt idx="93">
                  <c:v>851.13800000000003</c:v>
                </c:pt>
                <c:pt idx="94">
                  <c:v>870.96400000000006</c:v>
                </c:pt>
                <c:pt idx="95">
                  <c:v>891.25099999999998</c:v>
                </c:pt>
                <c:pt idx="96">
                  <c:v>912.01099999999997</c:v>
                </c:pt>
                <c:pt idx="97">
                  <c:v>933.25400000000002</c:v>
                </c:pt>
                <c:pt idx="98">
                  <c:v>954.99300000000005</c:v>
                </c:pt>
                <c:pt idx="99">
                  <c:v>977.23699999999997</c:v>
                </c:pt>
                <c:pt idx="100">
                  <c:v>1000</c:v>
                </c:pt>
                <c:pt idx="101">
                  <c:v>1023.293</c:v>
                </c:pt>
                <c:pt idx="102">
                  <c:v>1047.1289999999999</c:v>
                </c:pt>
                <c:pt idx="103">
                  <c:v>1071.519</c:v>
                </c:pt>
                <c:pt idx="104">
                  <c:v>1096.4780000000001</c:v>
                </c:pt>
                <c:pt idx="105">
                  <c:v>1122.018</c:v>
                </c:pt>
                <c:pt idx="106">
                  <c:v>1148.154</c:v>
                </c:pt>
                <c:pt idx="107">
                  <c:v>1174.8979999999999</c:v>
                </c:pt>
                <c:pt idx="108">
                  <c:v>1202.2639999999999</c:v>
                </c:pt>
                <c:pt idx="109">
                  <c:v>1230.269</c:v>
                </c:pt>
                <c:pt idx="110">
                  <c:v>1258.925</c:v>
                </c:pt>
                <c:pt idx="111">
                  <c:v>1288.25</c:v>
                </c:pt>
                <c:pt idx="112">
                  <c:v>1318.2570000000001</c:v>
                </c:pt>
                <c:pt idx="113">
                  <c:v>1348.963</c:v>
                </c:pt>
                <c:pt idx="114">
                  <c:v>1380.384</c:v>
                </c:pt>
                <c:pt idx="115">
                  <c:v>1412.538</c:v>
                </c:pt>
                <c:pt idx="116">
                  <c:v>1445.44</c:v>
                </c:pt>
                <c:pt idx="117">
                  <c:v>1479.1079999999999</c:v>
                </c:pt>
                <c:pt idx="118">
                  <c:v>1513.5609999999999</c:v>
                </c:pt>
                <c:pt idx="119">
                  <c:v>1548.817</c:v>
                </c:pt>
                <c:pt idx="120">
                  <c:v>1584.893</c:v>
                </c:pt>
                <c:pt idx="121">
                  <c:v>1621.81</c:v>
                </c:pt>
                <c:pt idx="122">
                  <c:v>1659.587</c:v>
                </c:pt>
                <c:pt idx="123">
                  <c:v>1698.2439999999999</c:v>
                </c:pt>
                <c:pt idx="124">
                  <c:v>1737.8009999999999</c:v>
                </c:pt>
                <c:pt idx="125">
                  <c:v>1778.279</c:v>
                </c:pt>
                <c:pt idx="126">
                  <c:v>1819.701</c:v>
                </c:pt>
                <c:pt idx="127">
                  <c:v>1862.087</c:v>
                </c:pt>
                <c:pt idx="128">
                  <c:v>1905.461</c:v>
                </c:pt>
                <c:pt idx="129">
                  <c:v>1949.845</c:v>
                </c:pt>
                <c:pt idx="130">
                  <c:v>1995.2619999999999</c:v>
                </c:pt>
                <c:pt idx="131">
                  <c:v>2041.7380000000001</c:v>
                </c:pt>
                <c:pt idx="132">
                  <c:v>2089.2959999999998</c:v>
                </c:pt>
                <c:pt idx="133">
                  <c:v>2137.962</c:v>
                </c:pt>
                <c:pt idx="134">
                  <c:v>2187.7620000000002</c:v>
                </c:pt>
                <c:pt idx="135">
                  <c:v>2238.721</c:v>
                </c:pt>
                <c:pt idx="136">
                  <c:v>2290.8679999999999</c:v>
                </c:pt>
                <c:pt idx="137">
                  <c:v>2344.2289999999998</c:v>
                </c:pt>
                <c:pt idx="138">
                  <c:v>2398.8330000000001</c:v>
                </c:pt>
                <c:pt idx="139">
                  <c:v>2454.7089999999998</c:v>
                </c:pt>
                <c:pt idx="140">
                  <c:v>2511.886</c:v>
                </c:pt>
                <c:pt idx="141">
                  <c:v>2570.3960000000002</c:v>
                </c:pt>
                <c:pt idx="142">
                  <c:v>2630.268</c:v>
                </c:pt>
                <c:pt idx="143">
                  <c:v>2691.5349999999999</c:v>
                </c:pt>
                <c:pt idx="144">
                  <c:v>2754.2289999999998</c:v>
                </c:pt>
                <c:pt idx="145">
                  <c:v>2818.3829999999998</c:v>
                </c:pt>
                <c:pt idx="146">
                  <c:v>2884.0320000000002</c:v>
                </c:pt>
                <c:pt idx="147">
                  <c:v>2951.2089999999998</c:v>
                </c:pt>
                <c:pt idx="148">
                  <c:v>3019.9520000000002</c:v>
                </c:pt>
                <c:pt idx="149">
                  <c:v>3090.2950000000001</c:v>
                </c:pt>
                <c:pt idx="150">
                  <c:v>3162.2779999999998</c:v>
                </c:pt>
                <c:pt idx="151">
                  <c:v>3235.9369999999999</c:v>
                </c:pt>
                <c:pt idx="152">
                  <c:v>3311.3110000000001</c:v>
                </c:pt>
                <c:pt idx="153">
                  <c:v>3388.442</c:v>
                </c:pt>
                <c:pt idx="154">
                  <c:v>3467.3690000000001</c:v>
                </c:pt>
                <c:pt idx="155">
                  <c:v>3548.134</c:v>
                </c:pt>
                <c:pt idx="156">
                  <c:v>3630.7809999999999</c:v>
                </c:pt>
                <c:pt idx="157">
                  <c:v>3715.3519999999999</c:v>
                </c:pt>
                <c:pt idx="158">
                  <c:v>3801.8939999999998</c:v>
                </c:pt>
                <c:pt idx="159">
                  <c:v>3890.451</c:v>
                </c:pt>
                <c:pt idx="160">
                  <c:v>3981.0720000000001</c:v>
                </c:pt>
                <c:pt idx="161">
                  <c:v>4073.8029999999999</c:v>
                </c:pt>
                <c:pt idx="162">
                  <c:v>4168.6940000000004</c:v>
                </c:pt>
                <c:pt idx="163">
                  <c:v>4265.7950000000001</c:v>
                </c:pt>
                <c:pt idx="164">
                  <c:v>4365.1580000000004</c:v>
                </c:pt>
                <c:pt idx="165">
                  <c:v>4466.8360000000002</c:v>
                </c:pt>
                <c:pt idx="166">
                  <c:v>4570.8819999999996</c:v>
                </c:pt>
                <c:pt idx="167">
                  <c:v>4677.3509999999997</c:v>
                </c:pt>
                <c:pt idx="168">
                  <c:v>4786.3010000000004</c:v>
                </c:pt>
                <c:pt idx="169">
                  <c:v>4897.7879999999996</c:v>
                </c:pt>
                <c:pt idx="170">
                  <c:v>5011.8720000000003</c:v>
                </c:pt>
                <c:pt idx="171">
                  <c:v>5128.6139999999996</c:v>
                </c:pt>
                <c:pt idx="172">
                  <c:v>5248.0749999999998</c:v>
                </c:pt>
                <c:pt idx="173">
                  <c:v>5370.3180000000002</c:v>
                </c:pt>
                <c:pt idx="174">
                  <c:v>5495.4089999999997</c:v>
                </c:pt>
                <c:pt idx="175">
                  <c:v>5623.4129999999996</c:v>
                </c:pt>
                <c:pt idx="176">
                  <c:v>5754.3990000000003</c:v>
                </c:pt>
                <c:pt idx="177">
                  <c:v>5888.4369999999999</c:v>
                </c:pt>
                <c:pt idx="178">
                  <c:v>6025.5959999999995</c:v>
                </c:pt>
                <c:pt idx="179">
                  <c:v>6165.95</c:v>
                </c:pt>
                <c:pt idx="180">
                  <c:v>6309.5730000000003</c:v>
                </c:pt>
                <c:pt idx="181">
                  <c:v>6456.5420000000004</c:v>
                </c:pt>
                <c:pt idx="182">
                  <c:v>6606.9340000000002</c:v>
                </c:pt>
                <c:pt idx="183">
                  <c:v>6760.83</c:v>
                </c:pt>
                <c:pt idx="184">
                  <c:v>6918.31</c:v>
                </c:pt>
                <c:pt idx="185">
                  <c:v>7079.4579999999996</c:v>
                </c:pt>
                <c:pt idx="186">
                  <c:v>7244.36</c:v>
                </c:pt>
                <c:pt idx="187">
                  <c:v>7413.1019999999999</c:v>
                </c:pt>
                <c:pt idx="188">
                  <c:v>7585.7759999999998</c:v>
                </c:pt>
                <c:pt idx="189">
                  <c:v>7762.4709999999995</c:v>
                </c:pt>
                <c:pt idx="190">
                  <c:v>7943.2820000000002</c:v>
                </c:pt>
                <c:pt idx="191">
                  <c:v>8128.3050000000003</c:v>
                </c:pt>
                <c:pt idx="192">
                  <c:v>8317.6380000000008</c:v>
                </c:pt>
                <c:pt idx="193">
                  <c:v>8511.3799999999992</c:v>
                </c:pt>
                <c:pt idx="194">
                  <c:v>8709.6360000000004</c:v>
                </c:pt>
                <c:pt idx="195">
                  <c:v>8912.509</c:v>
                </c:pt>
                <c:pt idx="196">
                  <c:v>9120.1080000000002</c:v>
                </c:pt>
                <c:pt idx="197">
                  <c:v>9332.5429999999997</c:v>
                </c:pt>
                <c:pt idx="198">
                  <c:v>9549.9259999999995</c:v>
                </c:pt>
                <c:pt idx="199">
                  <c:v>9772.3719999999994</c:v>
                </c:pt>
                <c:pt idx="200">
                  <c:v>10000</c:v>
                </c:pt>
                <c:pt idx="201">
                  <c:v>10232.93</c:v>
                </c:pt>
                <c:pt idx="202">
                  <c:v>10471.285</c:v>
                </c:pt>
                <c:pt idx="203">
                  <c:v>10715.192999999999</c:v>
                </c:pt>
                <c:pt idx="204">
                  <c:v>10964.781999999999</c:v>
                </c:pt>
                <c:pt idx="205">
                  <c:v>11220.184999999999</c:v>
                </c:pt>
                <c:pt idx="206">
                  <c:v>11481.536</c:v>
                </c:pt>
                <c:pt idx="207">
                  <c:v>11748.976000000001</c:v>
                </c:pt>
                <c:pt idx="208">
                  <c:v>12022.644</c:v>
                </c:pt>
                <c:pt idx="209">
                  <c:v>12302.688</c:v>
                </c:pt>
                <c:pt idx="210">
                  <c:v>12589.254000000001</c:v>
                </c:pt>
                <c:pt idx="211">
                  <c:v>12882.495999999999</c:v>
                </c:pt>
                <c:pt idx="212">
                  <c:v>13182.566999999999</c:v>
                </c:pt>
                <c:pt idx="213">
                  <c:v>13489.629000000001</c:v>
                </c:pt>
                <c:pt idx="214">
                  <c:v>13803.843000000001</c:v>
                </c:pt>
                <c:pt idx="215">
                  <c:v>14125.375</c:v>
                </c:pt>
                <c:pt idx="216">
                  <c:v>14454.397999999999</c:v>
                </c:pt>
                <c:pt idx="217">
                  <c:v>14791.084000000001</c:v>
                </c:pt>
                <c:pt idx="218">
                  <c:v>15135.611999999999</c:v>
                </c:pt>
                <c:pt idx="219">
                  <c:v>15488.165999999999</c:v>
                </c:pt>
                <c:pt idx="220">
                  <c:v>15848.932000000001</c:v>
                </c:pt>
                <c:pt idx="221">
                  <c:v>16218.101000000001</c:v>
                </c:pt>
                <c:pt idx="222">
                  <c:v>16595.868999999999</c:v>
                </c:pt>
                <c:pt idx="223">
                  <c:v>16982.437000000002</c:v>
                </c:pt>
                <c:pt idx="224">
                  <c:v>17378.008000000002</c:v>
                </c:pt>
                <c:pt idx="225">
                  <c:v>17782.794000000002</c:v>
                </c:pt>
                <c:pt idx="226">
                  <c:v>18197.008999999998</c:v>
                </c:pt>
                <c:pt idx="227">
                  <c:v>18620.870999999999</c:v>
                </c:pt>
                <c:pt idx="228">
                  <c:v>19054.607</c:v>
                </c:pt>
                <c:pt idx="229">
                  <c:v>19498.446</c:v>
                </c:pt>
                <c:pt idx="230">
                  <c:v>19952.623</c:v>
                </c:pt>
                <c:pt idx="231">
                  <c:v>20417.379000000001</c:v>
                </c:pt>
                <c:pt idx="232">
                  <c:v>20892.960999999999</c:v>
                </c:pt>
                <c:pt idx="233">
                  <c:v>21379.620999999999</c:v>
                </c:pt>
                <c:pt idx="234">
                  <c:v>21877.616000000002</c:v>
                </c:pt>
                <c:pt idx="235">
                  <c:v>22387.210999999999</c:v>
                </c:pt>
                <c:pt idx="236">
                  <c:v>22908.677</c:v>
                </c:pt>
                <c:pt idx="237">
                  <c:v>23442.288</c:v>
                </c:pt>
                <c:pt idx="238">
                  <c:v>23988.329000000002</c:v>
                </c:pt>
                <c:pt idx="239">
                  <c:v>24547.089</c:v>
                </c:pt>
                <c:pt idx="240">
                  <c:v>25118.864000000001</c:v>
                </c:pt>
                <c:pt idx="241">
                  <c:v>25703.957999999999</c:v>
                </c:pt>
                <c:pt idx="242">
                  <c:v>26302.68</c:v>
                </c:pt>
                <c:pt idx="243">
                  <c:v>26915.348000000002</c:v>
                </c:pt>
                <c:pt idx="244">
                  <c:v>27542.287</c:v>
                </c:pt>
                <c:pt idx="245">
                  <c:v>28183.829000000002</c:v>
                </c:pt>
                <c:pt idx="246">
                  <c:v>28840.314999999999</c:v>
                </c:pt>
                <c:pt idx="247">
                  <c:v>29512.092000000001</c:v>
                </c:pt>
                <c:pt idx="248">
                  <c:v>30199.517</c:v>
                </c:pt>
                <c:pt idx="249">
                  <c:v>30902.954000000002</c:v>
                </c:pt>
                <c:pt idx="250">
                  <c:v>31622.776999999998</c:v>
                </c:pt>
                <c:pt idx="251">
                  <c:v>32359.366000000002</c:v>
                </c:pt>
                <c:pt idx="252">
                  <c:v>33113.112000000001</c:v>
                </c:pt>
                <c:pt idx="253">
                  <c:v>33884.415999999997</c:v>
                </c:pt>
                <c:pt idx="254">
                  <c:v>34673.684999999998</c:v>
                </c:pt>
                <c:pt idx="255">
                  <c:v>35481.339</c:v>
                </c:pt>
                <c:pt idx="256">
                  <c:v>36307.805</c:v>
                </c:pt>
                <c:pt idx="257">
                  <c:v>37153.523000000001</c:v>
                </c:pt>
                <c:pt idx="258">
                  <c:v>38018.94</c:v>
                </c:pt>
                <c:pt idx="259">
                  <c:v>38904.514000000003</c:v>
                </c:pt>
                <c:pt idx="260">
                  <c:v>39810.716999999997</c:v>
                </c:pt>
                <c:pt idx="261">
                  <c:v>40738.027999999998</c:v>
                </c:pt>
                <c:pt idx="262">
                  <c:v>41686.938000000002</c:v>
                </c:pt>
                <c:pt idx="263">
                  <c:v>42657.951999999997</c:v>
                </c:pt>
                <c:pt idx="264">
                  <c:v>43651.582999999999</c:v>
                </c:pt>
                <c:pt idx="265">
                  <c:v>44668.358999999997</c:v>
                </c:pt>
                <c:pt idx="266">
                  <c:v>45708.819000000003</c:v>
                </c:pt>
                <c:pt idx="267">
                  <c:v>46773.514000000003</c:v>
                </c:pt>
                <c:pt idx="268">
                  <c:v>47863.008999999998</c:v>
                </c:pt>
                <c:pt idx="269">
                  <c:v>48977.881999999998</c:v>
                </c:pt>
                <c:pt idx="270">
                  <c:v>50118.722999999998</c:v>
                </c:pt>
                <c:pt idx="271">
                  <c:v>51286.137999999999</c:v>
                </c:pt>
                <c:pt idx="272">
                  <c:v>52480.745999999999</c:v>
                </c:pt>
                <c:pt idx="273">
                  <c:v>53703.18</c:v>
                </c:pt>
                <c:pt idx="274">
                  <c:v>54954.087</c:v>
                </c:pt>
                <c:pt idx="275">
                  <c:v>56234.133000000002</c:v>
                </c:pt>
                <c:pt idx="276">
                  <c:v>57543.993999999999</c:v>
                </c:pt>
                <c:pt idx="277">
                  <c:v>58884.366000000002</c:v>
                </c:pt>
                <c:pt idx="278">
                  <c:v>60255.959000000003</c:v>
                </c:pt>
                <c:pt idx="279">
                  <c:v>61659.5</c:v>
                </c:pt>
                <c:pt idx="280">
                  <c:v>63095.733999999997</c:v>
                </c:pt>
                <c:pt idx="281">
                  <c:v>64565.423000000003</c:v>
                </c:pt>
                <c:pt idx="282">
                  <c:v>66069.345000000001</c:v>
                </c:pt>
                <c:pt idx="283">
                  <c:v>67608.297999999995</c:v>
                </c:pt>
                <c:pt idx="284">
                  <c:v>69183.096999999994</c:v>
                </c:pt>
                <c:pt idx="285">
                  <c:v>70794.577999999994</c:v>
                </c:pt>
                <c:pt idx="286">
                  <c:v>72443.596000000005</c:v>
                </c:pt>
                <c:pt idx="287">
                  <c:v>74131.024000000005</c:v>
                </c:pt>
                <c:pt idx="288">
                  <c:v>75857.758000000002</c:v>
                </c:pt>
                <c:pt idx="289">
                  <c:v>77624.712</c:v>
                </c:pt>
                <c:pt idx="290">
                  <c:v>79432.823000000004</c:v>
                </c:pt>
                <c:pt idx="291">
                  <c:v>81283.051999999996</c:v>
                </c:pt>
                <c:pt idx="292">
                  <c:v>83176.376999999993</c:v>
                </c:pt>
                <c:pt idx="293">
                  <c:v>85113.804000000004</c:v>
                </c:pt>
                <c:pt idx="294">
                  <c:v>87096.358999999997</c:v>
                </c:pt>
                <c:pt idx="295">
                  <c:v>89125.093999999997</c:v>
                </c:pt>
                <c:pt idx="296">
                  <c:v>91201.084000000003</c:v>
                </c:pt>
                <c:pt idx="297">
                  <c:v>93325.43</c:v>
                </c:pt>
                <c:pt idx="298">
                  <c:v>95499.259000000005</c:v>
                </c:pt>
                <c:pt idx="299">
                  <c:v>97723.721999999994</c:v>
                </c:pt>
                <c:pt idx="300">
                  <c:v>100000</c:v>
                </c:pt>
                <c:pt idx="301">
                  <c:v>102329.299</c:v>
                </c:pt>
                <c:pt idx="302">
                  <c:v>104712.855</c:v>
                </c:pt>
                <c:pt idx="303">
                  <c:v>107151.931</c:v>
                </c:pt>
                <c:pt idx="304">
                  <c:v>109647.82</c:v>
                </c:pt>
                <c:pt idx="305">
                  <c:v>112201.845</c:v>
                </c:pt>
                <c:pt idx="306">
                  <c:v>114815.36199999999</c:v>
                </c:pt>
                <c:pt idx="307">
                  <c:v>117489.755</c:v>
                </c:pt>
                <c:pt idx="308">
                  <c:v>120226.443</c:v>
                </c:pt>
                <c:pt idx="309">
                  <c:v>123026.87699999999</c:v>
                </c:pt>
                <c:pt idx="310">
                  <c:v>125892.541</c:v>
                </c:pt>
                <c:pt idx="311">
                  <c:v>128824.955</c:v>
                </c:pt>
                <c:pt idx="312">
                  <c:v>131825.674</c:v>
                </c:pt>
                <c:pt idx="313">
                  <c:v>134896.288</c:v>
                </c:pt>
                <c:pt idx="314">
                  <c:v>138038.42600000001</c:v>
                </c:pt>
                <c:pt idx="315">
                  <c:v>141253.75399999999</c:v>
                </c:pt>
                <c:pt idx="316">
                  <c:v>144543.97700000001</c:v>
                </c:pt>
                <c:pt idx="317">
                  <c:v>147910.83900000001</c:v>
                </c:pt>
                <c:pt idx="318">
                  <c:v>151356.125</c:v>
                </c:pt>
                <c:pt idx="319">
                  <c:v>154881.66200000001</c:v>
                </c:pt>
                <c:pt idx="320">
                  <c:v>158489.31899999999</c:v>
                </c:pt>
                <c:pt idx="321">
                  <c:v>162181.01</c:v>
                </c:pt>
                <c:pt idx="322">
                  <c:v>165958.69099999999</c:v>
                </c:pt>
                <c:pt idx="323">
                  <c:v>169824.36499999999</c:v>
                </c:pt>
                <c:pt idx="324">
                  <c:v>173780.08300000001</c:v>
                </c:pt>
                <c:pt idx="325">
                  <c:v>177827.94099999999</c:v>
                </c:pt>
                <c:pt idx="326">
                  <c:v>181970.08600000001</c:v>
                </c:pt>
                <c:pt idx="327">
                  <c:v>186208.71400000001</c:v>
                </c:pt>
                <c:pt idx="328">
                  <c:v>190546.07199999999</c:v>
                </c:pt>
                <c:pt idx="329">
                  <c:v>194984.46</c:v>
                </c:pt>
                <c:pt idx="330">
                  <c:v>199526.231</c:v>
                </c:pt>
                <c:pt idx="331">
                  <c:v>204173.79399999999</c:v>
                </c:pt>
                <c:pt idx="332">
                  <c:v>208929.61300000001</c:v>
                </c:pt>
                <c:pt idx="333">
                  <c:v>213796.209</c:v>
                </c:pt>
                <c:pt idx="334">
                  <c:v>218776.16200000001</c:v>
                </c:pt>
                <c:pt idx="335">
                  <c:v>223872.114</c:v>
                </c:pt>
                <c:pt idx="336">
                  <c:v>229086.76500000001</c:v>
                </c:pt>
                <c:pt idx="337">
                  <c:v>234422.88200000001</c:v>
                </c:pt>
                <c:pt idx="338">
                  <c:v>239883.29199999999</c:v>
                </c:pt>
                <c:pt idx="339">
                  <c:v>245470.89199999999</c:v>
                </c:pt>
                <c:pt idx="340">
                  <c:v>251188.64300000001</c:v>
                </c:pt>
                <c:pt idx="341">
                  <c:v>257039.57800000001</c:v>
                </c:pt>
                <c:pt idx="342">
                  <c:v>263026.799</c:v>
                </c:pt>
                <c:pt idx="343">
                  <c:v>269153.48</c:v>
                </c:pt>
                <c:pt idx="344">
                  <c:v>275422.87</c:v>
                </c:pt>
                <c:pt idx="345">
                  <c:v>281838.29300000001</c:v>
                </c:pt>
                <c:pt idx="346">
                  <c:v>288403.15000000002</c:v>
                </c:pt>
                <c:pt idx="347">
                  <c:v>295120.92300000001</c:v>
                </c:pt>
                <c:pt idx="348">
                  <c:v>301995.17200000002</c:v>
                </c:pt>
                <c:pt idx="349">
                  <c:v>309029.54300000001</c:v>
                </c:pt>
                <c:pt idx="350">
                  <c:v>316227.766</c:v>
                </c:pt>
                <c:pt idx="351">
                  <c:v>323593.65700000001</c:v>
                </c:pt>
                <c:pt idx="352">
                  <c:v>331131.12099999998</c:v>
                </c:pt>
                <c:pt idx="353">
                  <c:v>338844.15600000002</c:v>
                </c:pt>
                <c:pt idx="354">
                  <c:v>346736.85</c:v>
                </c:pt>
                <c:pt idx="355">
                  <c:v>354813.38900000002</c:v>
                </c:pt>
                <c:pt idx="356">
                  <c:v>363078.05499999999</c:v>
                </c:pt>
                <c:pt idx="357">
                  <c:v>371535.22899999999</c:v>
                </c:pt>
                <c:pt idx="358">
                  <c:v>380189.39600000001</c:v>
                </c:pt>
                <c:pt idx="359">
                  <c:v>389045.14500000002</c:v>
                </c:pt>
                <c:pt idx="360">
                  <c:v>398107.17099999997</c:v>
                </c:pt>
                <c:pt idx="361">
                  <c:v>407380.27799999999</c:v>
                </c:pt>
                <c:pt idx="362">
                  <c:v>416869.38299999997</c:v>
                </c:pt>
                <c:pt idx="363">
                  <c:v>426579.51899999997</c:v>
                </c:pt>
                <c:pt idx="364">
                  <c:v>436515.83199999999</c:v>
                </c:pt>
                <c:pt idx="365">
                  <c:v>446683.592</c:v>
                </c:pt>
                <c:pt idx="366">
                  <c:v>457088.19</c:v>
                </c:pt>
                <c:pt idx="367">
                  <c:v>467735.141</c:v>
                </c:pt>
                <c:pt idx="368">
                  <c:v>478630.092</c:v>
                </c:pt>
                <c:pt idx="369">
                  <c:v>489778.81900000002</c:v>
                </c:pt>
                <c:pt idx="370">
                  <c:v>501187.234</c:v>
                </c:pt>
                <c:pt idx="371">
                  <c:v>512861.38400000002</c:v>
                </c:pt>
                <c:pt idx="372">
                  <c:v>524807.46</c:v>
                </c:pt>
                <c:pt idx="373">
                  <c:v>537031.79599999997</c:v>
                </c:pt>
                <c:pt idx="374">
                  <c:v>549540.87399999995</c:v>
                </c:pt>
                <c:pt idx="375">
                  <c:v>562341.32499999995</c:v>
                </c:pt>
                <c:pt idx="376">
                  <c:v>575439.93700000003</c:v>
                </c:pt>
                <c:pt idx="377">
                  <c:v>588843.65500000003</c:v>
                </c:pt>
                <c:pt idx="378">
                  <c:v>602559.58600000001</c:v>
                </c:pt>
                <c:pt idx="379">
                  <c:v>616595.00199999998</c:v>
                </c:pt>
                <c:pt idx="380">
                  <c:v>630957.34400000004</c:v>
                </c:pt>
                <c:pt idx="381">
                  <c:v>645654.22900000005</c:v>
                </c:pt>
                <c:pt idx="382">
                  <c:v>660693.44799999997</c:v>
                </c:pt>
                <c:pt idx="383">
                  <c:v>676082.97499999998</c:v>
                </c:pt>
                <c:pt idx="384">
                  <c:v>691830.97100000002</c:v>
                </c:pt>
                <c:pt idx="385">
                  <c:v>707945.78399999999</c:v>
                </c:pt>
                <c:pt idx="386">
                  <c:v>724435.96</c:v>
                </c:pt>
                <c:pt idx="387">
                  <c:v>741310.24100000004</c:v>
                </c:pt>
                <c:pt idx="388">
                  <c:v>758577.57499999995</c:v>
                </c:pt>
                <c:pt idx="389">
                  <c:v>776247.11699999997</c:v>
                </c:pt>
                <c:pt idx="390">
                  <c:v>794328.23499999999</c:v>
                </c:pt>
                <c:pt idx="391">
                  <c:v>812830.51599999995</c:v>
                </c:pt>
                <c:pt idx="392">
                  <c:v>831763.77099999995</c:v>
                </c:pt>
                <c:pt idx="393">
                  <c:v>851138.03799999994</c:v>
                </c:pt>
                <c:pt idx="394">
                  <c:v>870963.59</c:v>
                </c:pt>
                <c:pt idx="395">
                  <c:v>891250.93799999997</c:v>
                </c:pt>
                <c:pt idx="396">
                  <c:v>912010.83900000004</c:v>
                </c:pt>
                <c:pt idx="397">
                  <c:v>933254.30099999998</c:v>
                </c:pt>
                <c:pt idx="398">
                  <c:v>954992.58600000001</c:v>
                </c:pt>
                <c:pt idx="399">
                  <c:v>977237.22100000002</c:v>
                </c:pt>
              </c:numCache>
            </c:numRef>
          </c:xVal>
          <c:yVal>
            <c:numRef>
              <c:f>'Bode Plots Calculations'!$BV$10:$BV$409</c:f>
              <c:numCache>
                <c:formatCode>#0.0#</c:formatCode>
                <c:ptCount val="400"/>
                <c:pt idx="0">
                  <c:v>-267.66769999999997</c:v>
                </c:pt>
                <c:pt idx="1">
                  <c:v>-265.91489999999999</c:v>
                </c:pt>
                <c:pt idx="2">
                  <c:v>-264.93219999999997</c:v>
                </c:pt>
                <c:pt idx="3">
                  <c:v>-262.3057</c:v>
                </c:pt>
                <c:pt idx="4">
                  <c:v>-262.76620000000003</c:v>
                </c:pt>
                <c:pt idx="5">
                  <c:v>-267.01279999999997</c:v>
                </c:pt>
                <c:pt idx="6">
                  <c:v>-266.20479999999998</c:v>
                </c:pt>
                <c:pt idx="7">
                  <c:v>-264.9049</c:v>
                </c:pt>
                <c:pt idx="8">
                  <c:v>-269.98079999999999</c:v>
                </c:pt>
                <c:pt idx="9">
                  <c:v>-265.73410000000001</c:v>
                </c:pt>
                <c:pt idx="10">
                  <c:v>-266.37110000000001</c:v>
                </c:pt>
                <c:pt idx="11">
                  <c:v>-268.05959999999999</c:v>
                </c:pt>
                <c:pt idx="12">
                  <c:v>-263.3605</c:v>
                </c:pt>
                <c:pt idx="13">
                  <c:v>-269.46539999999999</c:v>
                </c:pt>
                <c:pt idx="14">
                  <c:v>-267.95069999999998</c:v>
                </c:pt>
                <c:pt idx="15">
                  <c:v>-263.11430000000001</c:v>
                </c:pt>
                <c:pt idx="16">
                  <c:v>-266.2885</c:v>
                </c:pt>
                <c:pt idx="17">
                  <c:v>-266.34629999999999</c:v>
                </c:pt>
                <c:pt idx="18">
                  <c:v>-267.0283</c:v>
                </c:pt>
                <c:pt idx="19">
                  <c:v>-260.69729999999998</c:v>
                </c:pt>
                <c:pt idx="20">
                  <c:v>-259.86900000000003</c:v>
                </c:pt>
                <c:pt idx="21">
                  <c:v>-262.39859999999999</c:v>
                </c:pt>
                <c:pt idx="22">
                  <c:v>-264.8295</c:v>
                </c:pt>
                <c:pt idx="23">
                  <c:v>-267.72770000000003</c:v>
                </c:pt>
                <c:pt idx="24">
                  <c:v>-269.952</c:v>
                </c:pt>
                <c:pt idx="25">
                  <c:v>-271.56010000000003</c:v>
                </c:pt>
                <c:pt idx="26">
                  <c:v>-268.84590000000003</c:v>
                </c:pt>
                <c:pt idx="27">
                  <c:v>-265.37959999999998</c:v>
                </c:pt>
                <c:pt idx="28">
                  <c:v>-265.89449999999999</c:v>
                </c:pt>
                <c:pt idx="29">
                  <c:v>-265.6327</c:v>
                </c:pt>
                <c:pt idx="30">
                  <c:v>-267.80150000000003</c:v>
                </c:pt>
                <c:pt idx="31">
                  <c:v>-264.16840000000002</c:v>
                </c:pt>
                <c:pt idx="32">
                  <c:v>-267.69110000000001</c:v>
                </c:pt>
                <c:pt idx="33">
                  <c:v>-266.9667</c:v>
                </c:pt>
                <c:pt idx="34">
                  <c:v>-263.5369</c:v>
                </c:pt>
                <c:pt idx="35">
                  <c:v>-265.19450000000001</c:v>
                </c:pt>
                <c:pt idx="36">
                  <c:v>-266.75440000000003</c:v>
                </c:pt>
                <c:pt idx="37">
                  <c:v>-266.76120000000003</c:v>
                </c:pt>
                <c:pt idx="38">
                  <c:v>-267.59569999999997</c:v>
                </c:pt>
                <c:pt idx="39">
                  <c:v>-266.80959999999999</c:v>
                </c:pt>
                <c:pt idx="40">
                  <c:v>-265.9205</c:v>
                </c:pt>
                <c:pt idx="41">
                  <c:v>-267.60309999999998</c:v>
                </c:pt>
                <c:pt idx="42">
                  <c:v>-267.3229</c:v>
                </c:pt>
                <c:pt idx="43">
                  <c:v>-265.67700000000002</c:v>
                </c:pt>
                <c:pt idx="44">
                  <c:v>-266.46569999999997</c:v>
                </c:pt>
                <c:pt idx="45">
                  <c:v>-266.67570000000001</c:v>
                </c:pt>
                <c:pt idx="46">
                  <c:v>-268.05989999999997</c:v>
                </c:pt>
                <c:pt idx="47">
                  <c:v>-265.88</c:v>
                </c:pt>
                <c:pt idx="48">
                  <c:v>-267.13580000000002</c:v>
                </c:pt>
                <c:pt idx="49">
                  <c:v>-265.03610000000003</c:v>
                </c:pt>
                <c:pt idx="50">
                  <c:v>-265.21839999999997</c:v>
                </c:pt>
                <c:pt idx="51">
                  <c:v>-266.99490000000003</c:v>
                </c:pt>
                <c:pt idx="52">
                  <c:v>-265.09339999999997</c:v>
                </c:pt>
                <c:pt idx="53">
                  <c:v>-266.42009999999999</c:v>
                </c:pt>
                <c:pt idx="54">
                  <c:v>-265.87940000000003</c:v>
                </c:pt>
                <c:pt idx="55">
                  <c:v>-265.95490000000001</c:v>
                </c:pt>
                <c:pt idx="56">
                  <c:v>-265.39159999999998</c:v>
                </c:pt>
                <c:pt idx="57">
                  <c:v>-265.2439</c:v>
                </c:pt>
                <c:pt idx="58">
                  <c:v>-265.49869999999999</c:v>
                </c:pt>
                <c:pt idx="59">
                  <c:v>-266.06720000000001</c:v>
                </c:pt>
                <c:pt idx="60">
                  <c:v>-265.2319</c:v>
                </c:pt>
                <c:pt idx="61">
                  <c:v>-265.7319</c:v>
                </c:pt>
                <c:pt idx="62">
                  <c:v>-265.24939999999998</c:v>
                </c:pt>
                <c:pt idx="63">
                  <c:v>-265.14060000000001</c:v>
                </c:pt>
                <c:pt idx="64">
                  <c:v>-264.9151</c:v>
                </c:pt>
                <c:pt idx="65">
                  <c:v>-265.3082</c:v>
                </c:pt>
                <c:pt idx="66">
                  <c:v>-265.65139999999997</c:v>
                </c:pt>
                <c:pt idx="67">
                  <c:v>-265.05009999999999</c:v>
                </c:pt>
                <c:pt idx="68">
                  <c:v>-264.35129999999998</c:v>
                </c:pt>
                <c:pt idx="69">
                  <c:v>-263.91079999999999</c:v>
                </c:pt>
                <c:pt idx="70">
                  <c:v>-264.7826</c:v>
                </c:pt>
                <c:pt idx="71">
                  <c:v>-265.04300000000001</c:v>
                </c:pt>
                <c:pt idx="72">
                  <c:v>-263.95569999999998</c:v>
                </c:pt>
                <c:pt idx="73">
                  <c:v>-264.56819999999999</c:v>
                </c:pt>
                <c:pt idx="74">
                  <c:v>-264.47620000000001</c:v>
                </c:pt>
                <c:pt idx="75">
                  <c:v>-264.60399999999998</c:v>
                </c:pt>
                <c:pt idx="76">
                  <c:v>-264.9076</c:v>
                </c:pt>
                <c:pt idx="77">
                  <c:v>-263.88170000000002</c:v>
                </c:pt>
                <c:pt idx="78">
                  <c:v>-264.00260000000003</c:v>
                </c:pt>
                <c:pt idx="79">
                  <c:v>-264.13310000000001</c:v>
                </c:pt>
                <c:pt idx="80">
                  <c:v>-263.74850000000004</c:v>
                </c:pt>
                <c:pt idx="81">
                  <c:v>-263.7636</c:v>
                </c:pt>
                <c:pt idx="82">
                  <c:v>-263.60980000000001</c:v>
                </c:pt>
                <c:pt idx="83">
                  <c:v>-263.3252</c:v>
                </c:pt>
                <c:pt idx="84">
                  <c:v>-263.57819999999998</c:v>
                </c:pt>
                <c:pt idx="85">
                  <c:v>-262.84989999999999</c:v>
                </c:pt>
                <c:pt idx="86">
                  <c:v>-262.81690000000003</c:v>
                </c:pt>
                <c:pt idx="87">
                  <c:v>-262.19720000000001</c:v>
                </c:pt>
                <c:pt idx="88">
                  <c:v>-262.56690000000003</c:v>
                </c:pt>
                <c:pt idx="89">
                  <c:v>-262.71769999999998</c:v>
                </c:pt>
                <c:pt idx="90">
                  <c:v>-262.79380000000003</c:v>
                </c:pt>
                <c:pt idx="91">
                  <c:v>-262.23689999999999</c:v>
                </c:pt>
                <c:pt idx="92">
                  <c:v>-262.34320000000002</c:v>
                </c:pt>
                <c:pt idx="93">
                  <c:v>-262.197</c:v>
                </c:pt>
                <c:pt idx="94">
                  <c:v>-261.76800000000003</c:v>
                </c:pt>
                <c:pt idx="95">
                  <c:v>-261.38310000000001</c:v>
                </c:pt>
                <c:pt idx="96">
                  <c:v>-261.74869999999999</c:v>
                </c:pt>
                <c:pt idx="97">
                  <c:v>-261.20730000000003</c:v>
                </c:pt>
                <c:pt idx="98">
                  <c:v>-261.26609999999999</c:v>
                </c:pt>
                <c:pt idx="99">
                  <c:v>-260.93240000000003</c:v>
                </c:pt>
                <c:pt idx="100">
                  <c:v>-260.5154</c:v>
                </c:pt>
                <c:pt idx="101">
                  <c:v>-261.12389999999999</c:v>
                </c:pt>
                <c:pt idx="102">
                  <c:v>-260.40769999999998</c:v>
                </c:pt>
                <c:pt idx="103">
                  <c:v>-260.5301</c:v>
                </c:pt>
                <c:pt idx="104">
                  <c:v>-260.5471</c:v>
                </c:pt>
                <c:pt idx="105">
                  <c:v>-259.93099999999998</c:v>
                </c:pt>
                <c:pt idx="106">
                  <c:v>-259.94799999999998</c:v>
                </c:pt>
                <c:pt idx="107">
                  <c:v>-260.19870000000003</c:v>
                </c:pt>
                <c:pt idx="108">
                  <c:v>-259.34100000000001</c:v>
                </c:pt>
                <c:pt idx="109">
                  <c:v>-259.55099999999999</c:v>
                </c:pt>
                <c:pt idx="110">
                  <c:v>-259.27199999999999</c:v>
                </c:pt>
                <c:pt idx="111">
                  <c:v>-258.86099999999999</c:v>
                </c:pt>
                <c:pt idx="112">
                  <c:v>-258.68299999999999</c:v>
                </c:pt>
                <c:pt idx="113">
                  <c:v>-258.79700000000003</c:v>
                </c:pt>
                <c:pt idx="114">
                  <c:v>-258.41000000000003</c:v>
                </c:pt>
                <c:pt idx="115">
                  <c:v>-258.13599999999997</c:v>
                </c:pt>
                <c:pt idx="116">
                  <c:v>-257.92899999999997</c:v>
                </c:pt>
                <c:pt idx="117">
                  <c:v>-257.745</c:v>
                </c:pt>
                <c:pt idx="118">
                  <c:v>-257.61</c:v>
                </c:pt>
                <c:pt idx="119">
                  <c:v>-257.471</c:v>
                </c:pt>
                <c:pt idx="120">
                  <c:v>-256.94200000000001</c:v>
                </c:pt>
                <c:pt idx="121">
                  <c:v>-256.75299999999999</c:v>
                </c:pt>
                <c:pt idx="122">
                  <c:v>-256.85699999999997</c:v>
                </c:pt>
                <c:pt idx="123">
                  <c:v>-256.31299999999999</c:v>
                </c:pt>
                <c:pt idx="124">
                  <c:v>-256.37900000000002</c:v>
                </c:pt>
                <c:pt idx="125">
                  <c:v>-256.01499999999999</c:v>
                </c:pt>
                <c:pt idx="126">
                  <c:v>-255.833</c:v>
                </c:pt>
                <c:pt idx="127">
                  <c:v>-255.47</c:v>
                </c:pt>
                <c:pt idx="128">
                  <c:v>-255.059</c:v>
                </c:pt>
                <c:pt idx="129">
                  <c:v>-254.971</c:v>
                </c:pt>
                <c:pt idx="130">
                  <c:v>-254.804</c:v>
                </c:pt>
                <c:pt idx="131">
                  <c:v>-254.411</c:v>
                </c:pt>
                <c:pt idx="132">
                  <c:v>-254.113</c:v>
                </c:pt>
                <c:pt idx="133">
                  <c:v>-254.34</c:v>
                </c:pt>
                <c:pt idx="134">
                  <c:v>-253.785</c:v>
                </c:pt>
                <c:pt idx="135">
                  <c:v>-253.78300000000002</c:v>
                </c:pt>
                <c:pt idx="136">
                  <c:v>-253.62</c:v>
                </c:pt>
                <c:pt idx="137">
                  <c:v>-253.17099999999999</c:v>
                </c:pt>
                <c:pt idx="138">
                  <c:v>-252.65800000000002</c:v>
                </c:pt>
                <c:pt idx="139">
                  <c:v>-251.97399999999999</c:v>
                </c:pt>
                <c:pt idx="140">
                  <c:v>-252.25200000000001</c:v>
                </c:pt>
                <c:pt idx="141">
                  <c:v>-251.702</c:v>
                </c:pt>
                <c:pt idx="142">
                  <c:v>-251.40100000000001</c:v>
                </c:pt>
                <c:pt idx="143">
                  <c:v>-251.244</c:v>
                </c:pt>
                <c:pt idx="144">
                  <c:v>-251.05099999999999</c:v>
                </c:pt>
                <c:pt idx="145">
                  <c:v>-250.48</c:v>
                </c:pt>
                <c:pt idx="146">
                  <c:v>-250.202</c:v>
                </c:pt>
                <c:pt idx="147">
                  <c:v>-249.92599999999999</c:v>
                </c:pt>
                <c:pt idx="148">
                  <c:v>-249.65100000000001</c:v>
                </c:pt>
                <c:pt idx="149">
                  <c:v>-248.41800000000001</c:v>
                </c:pt>
                <c:pt idx="150">
                  <c:v>-248.626</c:v>
                </c:pt>
                <c:pt idx="151">
                  <c:v>-248.57499999999999</c:v>
                </c:pt>
                <c:pt idx="152">
                  <c:v>-247.75799999999998</c:v>
                </c:pt>
                <c:pt idx="153">
                  <c:v>-247.756</c:v>
                </c:pt>
                <c:pt idx="154">
                  <c:v>-247.51300000000001</c:v>
                </c:pt>
                <c:pt idx="155">
                  <c:v>-246.726</c:v>
                </c:pt>
                <c:pt idx="156">
                  <c:v>-246.21199999999999</c:v>
                </c:pt>
                <c:pt idx="157">
                  <c:v>-245.97</c:v>
                </c:pt>
                <c:pt idx="158">
                  <c:v>-245.16899999999998</c:v>
                </c:pt>
                <c:pt idx="159">
                  <c:v>-244.768</c:v>
                </c:pt>
                <c:pt idx="160">
                  <c:v>-244.315</c:v>
                </c:pt>
                <c:pt idx="161">
                  <c:v>-244.142</c:v>
                </c:pt>
                <c:pt idx="162">
                  <c:v>-243.709</c:v>
                </c:pt>
                <c:pt idx="163">
                  <c:v>-243.32400000000001</c:v>
                </c:pt>
                <c:pt idx="164">
                  <c:v>-242.172</c:v>
                </c:pt>
                <c:pt idx="165">
                  <c:v>-240.90300000000002</c:v>
                </c:pt>
                <c:pt idx="166">
                  <c:v>-241.25200000000001</c:v>
                </c:pt>
                <c:pt idx="167">
                  <c:v>-240.63800000000001</c:v>
                </c:pt>
                <c:pt idx="168">
                  <c:v>-240.03100000000001</c:v>
                </c:pt>
                <c:pt idx="169">
                  <c:v>-239.48099999999999</c:v>
                </c:pt>
                <c:pt idx="170">
                  <c:v>-238.50700000000001</c:v>
                </c:pt>
                <c:pt idx="171">
                  <c:v>-237.881</c:v>
                </c:pt>
                <c:pt idx="172">
                  <c:v>-238.28</c:v>
                </c:pt>
                <c:pt idx="173">
                  <c:v>-237.34699999999998</c:v>
                </c:pt>
                <c:pt idx="174">
                  <c:v>-235.61199999999999</c:v>
                </c:pt>
                <c:pt idx="175">
                  <c:v>-235.13800000000001</c:v>
                </c:pt>
                <c:pt idx="176">
                  <c:v>-234.68899999999999</c:v>
                </c:pt>
                <c:pt idx="177">
                  <c:v>-233.95400000000001</c:v>
                </c:pt>
                <c:pt idx="178">
                  <c:v>-234.14699999999999</c:v>
                </c:pt>
                <c:pt idx="179">
                  <c:v>-232.05599999999998</c:v>
                </c:pt>
                <c:pt idx="180">
                  <c:v>-231.369</c:v>
                </c:pt>
                <c:pt idx="181">
                  <c:v>-230.779</c:v>
                </c:pt>
                <c:pt idx="182">
                  <c:v>-229.60900000000001</c:v>
                </c:pt>
                <c:pt idx="183">
                  <c:v>-229.1</c:v>
                </c:pt>
                <c:pt idx="184">
                  <c:v>-228.376</c:v>
                </c:pt>
                <c:pt idx="185">
                  <c:v>-227.04400000000001</c:v>
                </c:pt>
                <c:pt idx="186">
                  <c:v>-226.239</c:v>
                </c:pt>
                <c:pt idx="187">
                  <c:v>-225.834</c:v>
                </c:pt>
                <c:pt idx="188">
                  <c:v>-224.429</c:v>
                </c:pt>
                <c:pt idx="189">
                  <c:v>-223.255</c:v>
                </c:pt>
                <c:pt idx="190">
                  <c:v>-223.13499999999999</c:v>
                </c:pt>
                <c:pt idx="191">
                  <c:v>-221.982</c:v>
                </c:pt>
                <c:pt idx="192">
                  <c:v>-220.93199999999999</c:v>
                </c:pt>
                <c:pt idx="193">
                  <c:v>-219.99600000000001</c:v>
                </c:pt>
                <c:pt idx="194">
                  <c:v>-218.72200000000001</c:v>
                </c:pt>
                <c:pt idx="195">
                  <c:v>-217.619</c:v>
                </c:pt>
                <c:pt idx="196">
                  <c:v>-216.501</c:v>
                </c:pt>
                <c:pt idx="197">
                  <c:v>-215.83600000000001</c:v>
                </c:pt>
                <c:pt idx="198">
                  <c:v>-215.499</c:v>
                </c:pt>
                <c:pt idx="199">
                  <c:v>-212.98699999999999</c:v>
                </c:pt>
                <c:pt idx="200">
                  <c:v>-213.047</c:v>
                </c:pt>
                <c:pt idx="201">
                  <c:v>-211.715</c:v>
                </c:pt>
                <c:pt idx="202">
                  <c:v>-211.89099999999999</c:v>
                </c:pt>
                <c:pt idx="203">
                  <c:v>-209.68</c:v>
                </c:pt>
                <c:pt idx="204">
                  <c:v>-209.52500000000001</c:v>
                </c:pt>
                <c:pt idx="205">
                  <c:v>-207.815</c:v>
                </c:pt>
                <c:pt idx="206">
                  <c:v>-207.916</c:v>
                </c:pt>
                <c:pt idx="207">
                  <c:v>-206.25700000000001</c:v>
                </c:pt>
                <c:pt idx="208">
                  <c:v>-205.79599999999999</c:v>
                </c:pt>
                <c:pt idx="209">
                  <c:v>-205.58</c:v>
                </c:pt>
                <c:pt idx="210">
                  <c:v>-203.78</c:v>
                </c:pt>
                <c:pt idx="211">
                  <c:v>-201.71899999999999</c:v>
                </c:pt>
                <c:pt idx="212">
                  <c:v>-198.27600000000001</c:v>
                </c:pt>
                <c:pt idx="213">
                  <c:v>-197.578</c:v>
                </c:pt>
                <c:pt idx="214">
                  <c:v>-195.64599999999999</c:v>
                </c:pt>
                <c:pt idx="215">
                  <c:v>-192.58199999999999</c:v>
                </c:pt>
                <c:pt idx="216">
                  <c:v>-192.25399999999999</c:v>
                </c:pt>
                <c:pt idx="217">
                  <c:v>-191.02600000000001</c:v>
                </c:pt>
                <c:pt idx="218">
                  <c:v>-189.453</c:v>
                </c:pt>
                <c:pt idx="219">
                  <c:v>-188.48099999999999</c:v>
                </c:pt>
                <c:pt idx="220">
                  <c:v>-186.14400000000001</c:v>
                </c:pt>
                <c:pt idx="221">
                  <c:v>-185.626</c:v>
                </c:pt>
                <c:pt idx="222">
                  <c:v>-184.43100000000001</c:v>
                </c:pt>
                <c:pt idx="223">
                  <c:v>-182.72200000000001</c:v>
                </c:pt>
                <c:pt idx="224">
                  <c:v>-181.726</c:v>
                </c:pt>
                <c:pt idx="225">
                  <c:v>-180.351</c:v>
                </c:pt>
                <c:pt idx="226">
                  <c:v>-179.43</c:v>
                </c:pt>
                <c:pt idx="227">
                  <c:v>-178.09100000000001</c:v>
                </c:pt>
                <c:pt idx="228">
                  <c:v>-176.916</c:v>
                </c:pt>
                <c:pt idx="229">
                  <c:v>-175.511</c:v>
                </c:pt>
                <c:pt idx="230">
                  <c:v>-174.244</c:v>
                </c:pt>
                <c:pt idx="231">
                  <c:v>-173.369</c:v>
                </c:pt>
                <c:pt idx="232">
                  <c:v>-172.084</c:v>
                </c:pt>
                <c:pt idx="233">
                  <c:v>-170.62899999999999</c:v>
                </c:pt>
                <c:pt idx="234">
                  <c:v>-169.465</c:v>
                </c:pt>
                <c:pt idx="235">
                  <c:v>-168.34299999999999</c:v>
                </c:pt>
                <c:pt idx="236">
                  <c:v>-167.03899999999999</c:v>
                </c:pt>
                <c:pt idx="237">
                  <c:v>-165.876</c:v>
                </c:pt>
                <c:pt idx="238">
                  <c:v>-164.703</c:v>
                </c:pt>
                <c:pt idx="239">
                  <c:v>-163.65100000000001</c:v>
                </c:pt>
                <c:pt idx="240">
                  <c:v>-162.52199999999999</c:v>
                </c:pt>
                <c:pt idx="241">
                  <c:v>-161.32599999999999</c:v>
                </c:pt>
                <c:pt idx="242">
                  <c:v>-160.22999999999999</c:v>
                </c:pt>
                <c:pt idx="243">
                  <c:v>-159.27600000000001</c:v>
                </c:pt>
                <c:pt idx="244">
                  <c:v>-158.108</c:v>
                </c:pt>
                <c:pt idx="245">
                  <c:v>-157.06299999999999</c:v>
                </c:pt>
                <c:pt idx="246">
                  <c:v>-156.01</c:v>
                </c:pt>
                <c:pt idx="247">
                  <c:v>-155.03200000000001</c:v>
                </c:pt>
                <c:pt idx="248">
                  <c:v>-154.00200000000001</c:v>
                </c:pt>
                <c:pt idx="249">
                  <c:v>-152.994</c:v>
                </c:pt>
                <c:pt idx="250">
                  <c:v>-152.041</c:v>
                </c:pt>
                <c:pt idx="251">
                  <c:v>-151.05000000000001</c:v>
                </c:pt>
                <c:pt idx="252">
                  <c:v>-150.17400000000001</c:v>
                </c:pt>
                <c:pt idx="253">
                  <c:v>-149.483</c:v>
                </c:pt>
                <c:pt idx="254">
                  <c:v>-148.328</c:v>
                </c:pt>
                <c:pt idx="255">
                  <c:v>-147.47</c:v>
                </c:pt>
                <c:pt idx="256">
                  <c:v>-146.52500000000001</c:v>
                </c:pt>
                <c:pt idx="257">
                  <c:v>-145.744</c:v>
                </c:pt>
                <c:pt idx="258">
                  <c:v>-144.86799999999999</c:v>
                </c:pt>
                <c:pt idx="259">
                  <c:v>-144.06</c:v>
                </c:pt>
                <c:pt idx="260">
                  <c:v>-143.22999999999999</c:v>
                </c:pt>
                <c:pt idx="261">
                  <c:v>-142.31399999999999</c:v>
                </c:pt>
                <c:pt idx="262">
                  <c:v>-141.465</c:v>
                </c:pt>
                <c:pt idx="263">
                  <c:v>-140.39099999999999</c:v>
                </c:pt>
                <c:pt idx="264">
                  <c:v>-139.065</c:v>
                </c:pt>
                <c:pt idx="265">
                  <c:v>-136.58699999999999</c:v>
                </c:pt>
                <c:pt idx="266">
                  <c:v>-135.751</c:v>
                </c:pt>
                <c:pt idx="267">
                  <c:v>-137.57599999999999</c:v>
                </c:pt>
                <c:pt idx="268">
                  <c:v>-138.25</c:v>
                </c:pt>
                <c:pt idx="269">
                  <c:v>-138.07900000000001</c:v>
                </c:pt>
                <c:pt idx="270">
                  <c:v>-137.59100000000001</c:v>
                </c:pt>
                <c:pt idx="271">
                  <c:v>-137.08699999999999</c:v>
                </c:pt>
                <c:pt idx="272">
                  <c:v>-136.553</c:v>
                </c:pt>
                <c:pt idx="273">
                  <c:v>-136.001</c:v>
                </c:pt>
                <c:pt idx="274">
                  <c:v>-135.524</c:v>
                </c:pt>
                <c:pt idx="275">
                  <c:v>-134.983</c:v>
                </c:pt>
                <c:pt idx="276">
                  <c:v>-134.52199999999999</c:v>
                </c:pt>
                <c:pt idx="277">
                  <c:v>-134.059</c:v>
                </c:pt>
                <c:pt idx="278">
                  <c:v>-133.65100000000001</c:v>
                </c:pt>
                <c:pt idx="279">
                  <c:v>-133.24799999999999</c:v>
                </c:pt>
                <c:pt idx="280">
                  <c:v>-132.86600000000001</c:v>
                </c:pt>
                <c:pt idx="281">
                  <c:v>-132.49799999999999</c:v>
                </c:pt>
                <c:pt idx="282">
                  <c:v>-132.279</c:v>
                </c:pt>
                <c:pt idx="283">
                  <c:v>-132.03399999999999</c:v>
                </c:pt>
                <c:pt idx="284">
                  <c:v>-131.40799999999999</c:v>
                </c:pt>
                <c:pt idx="285">
                  <c:v>-131.172</c:v>
                </c:pt>
                <c:pt idx="286">
                  <c:v>-130.929</c:v>
                </c:pt>
                <c:pt idx="287">
                  <c:v>-130.88900000000001</c:v>
                </c:pt>
                <c:pt idx="288">
                  <c:v>-130.62200000000001</c:v>
                </c:pt>
                <c:pt idx="289">
                  <c:v>-130.36099999999999</c:v>
                </c:pt>
                <c:pt idx="290">
                  <c:v>-130.17400000000001</c:v>
                </c:pt>
                <c:pt idx="291">
                  <c:v>-130.05699999999999</c:v>
                </c:pt>
                <c:pt idx="292">
                  <c:v>-130.11600000000001</c:v>
                </c:pt>
                <c:pt idx="293">
                  <c:v>-129.97300000000001</c:v>
                </c:pt>
                <c:pt idx="294">
                  <c:v>-129.96199999999999</c:v>
                </c:pt>
                <c:pt idx="295">
                  <c:v>-129.73099999999999</c:v>
                </c:pt>
                <c:pt idx="296">
                  <c:v>-129.68299999999999</c:v>
                </c:pt>
                <c:pt idx="297">
                  <c:v>-129.64400000000001</c:v>
                </c:pt>
                <c:pt idx="298">
                  <c:v>-129.63</c:v>
                </c:pt>
                <c:pt idx="299">
                  <c:v>-129.62100000000001</c:v>
                </c:pt>
                <c:pt idx="300">
                  <c:v>-129.59</c:v>
                </c:pt>
                <c:pt idx="301">
                  <c:v>-129.61099999999999</c:v>
                </c:pt>
                <c:pt idx="302">
                  <c:v>-129.61699999999999</c:v>
                </c:pt>
                <c:pt idx="303">
                  <c:v>-129.57599999999999</c:v>
                </c:pt>
                <c:pt idx="304">
                  <c:v>-129.52799999999999</c:v>
                </c:pt>
                <c:pt idx="305">
                  <c:v>-129.44300000000001</c:v>
                </c:pt>
                <c:pt idx="306">
                  <c:v>-129.58500000000001</c:v>
                </c:pt>
                <c:pt idx="307">
                  <c:v>-129.61699999999999</c:v>
                </c:pt>
                <c:pt idx="308">
                  <c:v>-129.863</c:v>
                </c:pt>
                <c:pt idx="309">
                  <c:v>-130.31299999999999</c:v>
                </c:pt>
                <c:pt idx="310">
                  <c:v>-130.77099999999999</c:v>
                </c:pt>
                <c:pt idx="311">
                  <c:v>-131.42599999999999</c:v>
                </c:pt>
                <c:pt idx="312">
                  <c:v>-132.06399999999999</c:v>
                </c:pt>
                <c:pt idx="313">
                  <c:v>-132.62899999999999</c:v>
                </c:pt>
                <c:pt idx="314">
                  <c:v>-133.267</c:v>
                </c:pt>
                <c:pt idx="315">
                  <c:v>-133.959</c:v>
                </c:pt>
                <c:pt idx="316">
                  <c:v>-134.75200000000001</c:v>
                </c:pt>
                <c:pt idx="317">
                  <c:v>-135.72399999999999</c:v>
                </c:pt>
                <c:pt idx="318">
                  <c:v>-136.34200000000001</c:v>
                </c:pt>
                <c:pt idx="319">
                  <c:v>-136.816</c:v>
                </c:pt>
                <c:pt idx="320">
                  <c:v>-137.47</c:v>
                </c:pt>
                <c:pt idx="321">
                  <c:v>-137.46899999999999</c:v>
                </c:pt>
                <c:pt idx="322">
                  <c:v>-138.31200000000001</c:v>
                </c:pt>
                <c:pt idx="323">
                  <c:v>-140.114</c:v>
                </c:pt>
                <c:pt idx="324">
                  <c:v>-141.173</c:v>
                </c:pt>
                <c:pt idx="325">
                  <c:v>-141.86199999999999</c:v>
                </c:pt>
                <c:pt idx="326">
                  <c:v>-143.41399999999999</c:v>
                </c:pt>
                <c:pt idx="327">
                  <c:v>-144.279</c:v>
                </c:pt>
                <c:pt idx="328">
                  <c:v>-145.40799999999999</c:v>
                </c:pt>
                <c:pt idx="329">
                  <c:v>-146.886</c:v>
                </c:pt>
                <c:pt idx="330">
                  <c:v>-147.23699999999999</c:v>
                </c:pt>
                <c:pt idx="331">
                  <c:v>-148.923</c:v>
                </c:pt>
                <c:pt idx="332">
                  <c:v>-149.92099999999999</c:v>
                </c:pt>
                <c:pt idx="333">
                  <c:v>-151.101</c:v>
                </c:pt>
                <c:pt idx="334">
                  <c:v>-153.08699999999999</c:v>
                </c:pt>
                <c:pt idx="335">
                  <c:v>-154.70699999999999</c:v>
                </c:pt>
                <c:pt idx="336">
                  <c:v>-156.46</c:v>
                </c:pt>
                <c:pt idx="337">
                  <c:v>-158.77500000000001</c:v>
                </c:pt>
                <c:pt idx="338">
                  <c:v>-161.529</c:v>
                </c:pt>
                <c:pt idx="339">
                  <c:v>-163.59700000000001</c:v>
                </c:pt>
                <c:pt idx="340">
                  <c:v>-165.89599999999999</c:v>
                </c:pt>
                <c:pt idx="341">
                  <c:v>-168.07</c:v>
                </c:pt>
                <c:pt idx="342">
                  <c:v>-170.82400000000001</c:v>
                </c:pt>
                <c:pt idx="343">
                  <c:v>-173.35300000000001</c:v>
                </c:pt>
                <c:pt idx="344">
                  <c:v>-175.80699999999999</c:v>
                </c:pt>
                <c:pt idx="345">
                  <c:v>-177.72399999999999</c:v>
                </c:pt>
                <c:pt idx="346">
                  <c:v>-178.92099999999999</c:v>
                </c:pt>
                <c:pt idx="347">
                  <c:v>-181.99</c:v>
                </c:pt>
                <c:pt idx="348">
                  <c:v>-183.36099999999999</c:v>
                </c:pt>
                <c:pt idx="349">
                  <c:v>-186.209</c:v>
                </c:pt>
                <c:pt idx="350">
                  <c:v>-189.75</c:v>
                </c:pt>
                <c:pt idx="351">
                  <c:v>-192.398</c:v>
                </c:pt>
                <c:pt idx="352">
                  <c:v>-194.60300000000001</c:v>
                </c:pt>
                <c:pt idx="353">
                  <c:v>-197.85300000000001</c:v>
                </c:pt>
                <c:pt idx="354">
                  <c:v>-200.482</c:v>
                </c:pt>
                <c:pt idx="355">
                  <c:v>-203.33199999999999</c:v>
                </c:pt>
                <c:pt idx="356">
                  <c:v>-205.19499999999999</c:v>
                </c:pt>
                <c:pt idx="357">
                  <c:v>-207.41</c:v>
                </c:pt>
                <c:pt idx="358">
                  <c:v>-210.39400000000001</c:v>
                </c:pt>
                <c:pt idx="359">
                  <c:v>-213.04300000000001</c:v>
                </c:pt>
                <c:pt idx="360">
                  <c:v>-214.58500000000001</c:v>
                </c:pt>
                <c:pt idx="361">
                  <c:v>-217.34299999999999</c:v>
                </c:pt>
                <c:pt idx="362">
                  <c:v>-219.017</c:v>
                </c:pt>
                <c:pt idx="363">
                  <c:v>-221.39400000000001</c:v>
                </c:pt>
                <c:pt idx="364">
                  <c:v>-223.214</c:v>
                </c:pt>
                <c:pt idx="365">
                  <c:v>-225.053</c:v>
                </c:pt>
                <c:pt idx="366">
                  <c:v>-226.50200000000001</c:v>
                </c:pt>
                <c:pt idx="367">
                  <c:v>131.81700000000001</c:v>
                </c:pt>
                <c:pt idx="368">
                  <c:v>129.95699999999999</c:v>
                </c:pt>
                <c:pt idx="369">
                  <c:v>126.41800000000001</c:v>
                </c:pt>
                <c:pt idx="370">
                  <c:v>125.40900000000001</c:v>
                </c:pt>
                <c:pt idx="371">
                  <c:v>124.027</c:v>
                </c:pt>
                <c:pt idx="372">
                  <c:v>122.795</c:v>
                </c:pt>
                <c:pt idx="373">
                  <c:v>121.76300000000001</c:v>
                </c:pt>
                <c:pt idx="374">
                  <c:v>121.762</c:v>
                </c:pt>
                <c:pt idx="375">
                  <c:v>119.89400000000001</c:v>
                </c:pt>
                <c:pt idx="376">
                  <c:v>119.196</c:v>
                </c:pt>
                <c:pt idx="377">
                  <c:v>116.889</c:v>
                </c:pt>
                <c:pt idx="378">
                  <c:v>117.324</c:v>
                </c:pt>
                <c:pt idx="379">
                  <c:v>115.142</c:v>
                </c:pt>
                <c:pt idx="380">
                  <c:v>115.247</c:v>
                </c:pt>
                <c:pt idx="381">
                  <c:v>113.164</c:v>
                </c:pt>
                <c:pt idx="382">
                  <c:v>112.872</c:v>
                </c:pt>
                <c:pt idx="383">
                  <c:v>110.592</c:v>
                </c:pt>
                <c:pt idx="384">
                  <c:v>111.01300000000001</c:v>
                </c:pt>
                <c:pt idx="385">
                  <c:v>109.21</c:v>
                </c:pt>
                <c:pt idx="386">
                  <c:v>107.553</c:v>
                </c:pt>
                <c:pt idx="387">
                  <c:v>107.324</c:v>
                </c:pt>
                <c:pt idx="388">
                  <c:v>105.50700000000001</c:v>
                </c:pt>
                <c:pt idx="389">
                  <c:v>105.28700000000001</c:v>
                </c:pt>
                <c:pt idx="390">
                  <c:v>105.286</c:v>
                </c:pt>
                <c:pt idx="391">
                  <c:v>105.187</c:v>
                </c:pt>
                <c:pt idx="392">
                  <c:v>104.541</c:v>
                </c:pt>
                <c:pt idx="393">
                  <c:v>103.205</c:v>
                </c:pt>
                <c:pt idx="394">
                  <c:v>103.91</c:v>
                </c:pt>
                <c:pt idx="395">
                  <c:v>102.337</c:v>
                </c:pt>
                <c:pt idx="396">
                  <c:v>100.33499999999999</c:v>
                </c:pt>
                <c:pt idx="397">
                  <c:v>100.20399999999999</c:v>
                </c:pt>
                <c:pt idx="398">
                  <c:v>99.956599999999995</c:v>
                </c:pt>
                <c:pt idx="399">
                  <c:v>98.699600000000004</c:v>
                </c:pt>
              </c:numCache>
            </c:numRef>
          </c:yVal>
          <c:smooth val="0"/>
          <c:extLst>
            <c:ext xmlns:c16="http://schemas.microsoft.com/office/drawing/2014/chart" uri="{C3380CC4-5D6E-409C-BE32-E72D297353CC}">
              <c16:uniqueId val="{00000003-5440-0E45-B379-736EB615DA4F}"/>
            </c:ext>
          </c:extLst>
        </c:ser>
        <c:dLbls>
          <c:showLegendKey val="0"/>
          <c:showVal val="0"/>
          <c:showCatName val="0"/>
          <c:showSerName val="0"/>
          <c:showPercent val="0"/>
          <c:showBubbleSize val="0"/>
        </c:dLbls>
        <c:axId val="183809536"/>
        <c:axId val="183811072"/>
      </c:scatterChart>
      <c:valAx>
        <c:axId val="183805056"/>
        <c:scaling>
          <c:logBase val="10"/>
          <c:orientation val="minMax"/>
          <c:max val="10000000"/>
          <c:min val="1000"/>
        </c:scaling>
        <c:delete val="0"/>
        <c:axPos val="b"/>
        <c:title>
          <c:tx>
            <c:rich>
              <a:bodyPr/>
              <a:lstStyle/>
              <a:p>
                <a:pPr>
                  <a:defRPr sz="800" b="1" i="0" u="none" strike="noStrike" baseline="0">
                    <a:solidFill>
                      <a:srgbClr val="000000"/>
                    </a:solidFill>
                    <a:latin typeface="Arial"/>
                    <a:ea typeface="Arial"/>
                    <a:cs typeface="Arial"/>
                  </a:defRPr>
                </a:pPr>
                <a:r>
                  <a:rPr lang="en-US"/>
                  <a:t>Frequency (Hz)</a:t>
                </a:r>
              </a:p>
            </c:rich>
          </c:tx>
          <c:layout>
            <c:manualLayout>
              <c:xMode val="edge"/>
              <c:yMode val="edge"/>
              <c:x val="0.43297177526722869"/>
              <c:y val="0.88311797388962088"/>
            </c:manualLayout>
          </c:layout>
          <c:overlay val="0"/>
          <c:spPr>
            <a:noFill/>
            <a:ln w="25400">
              <a:noFill/>
            </a:ln>
          </c:spPr>
        </c:title>
        <c:numFmt formatCode="General" sourceLinked="1"/>
        <c:majorTickMark val="out"/>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3807360"/>
        <c:crossesAt val="-80"/>
        <c:crossBetween val="midCat"/>
      </c:valAx>
      <c:valAx>
        <c:axId val="183807360"/>
        <c:scaling>
          <c:orientation val="minMax"/>
          <c:min val="-60"/>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en-US"/>
                  <a:t>Gain (db)</a:t>
                </a:r>
              </a:p>
            </c:rich>
          </c:tx>
          <c:layout>
            <c:manualLayout>
              <c:xMode val="edge"/>
              <c:yMode val="edge"/>
              <c:x val="3.0797101449275412E-2"/>
              <c:y val="0.4415589869448189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3805056"/>
        <c:crosses val="autoZero"/>
        <c:crossBetween val="midCat"/>
      </c:valAx>
      <c:valAx>
        <c:axId val="183809536"/>
        <c:scaling>
          <c:logBase val="10"/>
          <c:orientation val="minMax"/>
        </c:scaling>
        <c:delete val="1"/>
        <c:axPos val="b"/>
        <c:numFmt formatCode="General" sourceLinked="1"/>
        <c:majorTickMark val="out"/>
        <c:minorTickMark val="none"/>
        <c:tickLblPos val="none"/>
        <c:crossAx val="183811072"/>
        <c:crosses val="autoZero"/>
        <c:crossBetween val="midCat"/>
      </c:valAx>
      <c:valAx>
        <c:axId val="183811072"/>
        <c:scaling>
          <c:orientation val="minMax"/>
        </c:scaling>
        <c:delete val="0"/>
        <c:axPos val="r"/>
        <c:title>
          <c:tx>
            <c:rich>
              <a:bodyPr/>
              <a:lstStyle/>
              <a:p>
                <a:pPr>
                  <a:defRPr sz="800" b="1" i="0" u="none" strike="noStrike" baseline="0">
                    <a:solidFill>
                      <a:srgbClr val="000000"/>
                    </a:solidFill>
                    <a:latin typeface="Arial"/>
                    <a:ea typeface="Arial"/>
                    <a:cs typeface="Arial"/>
                  </a:defRPr>
                </a:pPr>
                <a:r>
                  <a:rPr lang="en-US"/>
                  <a:t>Phase Margin (Deg)</a:t>
                </a:r>
              </a:p>
            </c:rich>
          </c:tx>
          <c:layout>
            <c:manualLayout>
              <c:xMode val="edge"/>
              <c:yMode val="edge"/>
              <c:x val="0.95471185667010505"/>
              <c:y val="0.36623431162013825"/>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3809536"/>
        <c:crosses val="max"/>
        <c:crossBetween val="midCat"/>
      </c:valAx>
      <c:spPr>
        <a:noFill/>
        <a:ln w="12700">
          <a:solidFill>
            <a:srgbClr val="808080"/>
          </a:solidFill>
          <a:prstDash val="solid"/>
        </a:ln>
      </c:spPr>
    </c:plotArea>
    <c:legend>
      <c:legendPos val="t"/>
      <c:layout>
        <c:manualLayout>
          <c:xMode val="edge"/>
          <c:yMode val="edge"/>
          <c:x val="0.70471147628286246"/>
          <c:y val="1.2987012987012988E-2"/>
          <c:w val="0.275362889421434"/>
          <c:h val="0.14545481814773328"/>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a:t> FET Temp Rise</a:t>
            </a:r>
          </a:p>
        </c:rich>
      </c:tx>
      <c:layout>
        <c:manualLayout>
          <c:xMode val="edge"/>
          <c:yMode val="edge"/>
          <c:x val="0.42625197560724876"/>
          <c:y val="3.0303030303030311E-2"/>
        </c:manualLayout>
      </c:layout>
      <c:overlay val="0"/>
      <c:spPr>
        <a:noFill/>
        <a:ln w="25400">
          <a:noFill/>
        </a:ln>
      </c:spPr>
    </c:title>
    <c:autoTitleDeleted val="0"/>
    <c:plotArea>
      <c:layout>
        <c:manualLayout>
          <c:layoutTarget val="inner"/>
          <c:xMode val="edge"/>
          <c:yMode val="edge"/>
          <c:x val="0.13531808670268541"/>
          <c:y val="0.15757606845026306"/>
          <c:w val="0.84573804189178381"/>
          <c:h val="0.71717313204926625"/>
        </c:manualLayout>
      </c:layout>
      <c:scatterChart>
        <c:scatterStyle val="lineMarker"/>
        <c:varyColors val="0"/>
        <c:ser>
          <c:idx val="0"/>
          <c:order val="0"/>
          <c:tx>
            <c:v>Top FET</c:v>
          </c:tx>
          <c:spPr>
            <a:ln w="38100">
              <a:solidFill>
                <a:srgbClr val="000080"/>
              </a:solidFill>
              <a:prstDash val="solid"/>
            </a:ln>
          </c:spPr>
          <c:marker>
            <c:symbol val="none"/>
          </c:marker>
          <c:xVal>
            <c:numRef>
              <c:f>'Power Calculations'!$H$9:$H$109</c:f>
              <c:numCache>
                <c:formatCode>General</c:formatCode>
                <c:ptCount val="101"/>
                <c:pt idx="0">
                  <c:v>0</c:v>
                </c:pt>
                <c:pt idx="1">
                  <c:v>0.3</c:v>
                </c:pt>
                <c:pt idx="2">
                  <c:v>0.6</c:v>
                </c:pt>
                <c:pt idx="3">
                  <c:v>0.89999999999999991</c:v>
                </c:pt>
                <c:pt idx="4">
                  <c:v>1.2</c:v>
                </c:pt>
                <c:pt idx="5">
                  <c:v>1.5</c:v>
                </c:pt>
                <c:pt idx="6">
                  <c:v>1.7999999999999998</c:v>
                </c:pt>
                <c:pt idx="7">
                  <c:v>2.1</c:v>
                </c:pt>
                <c:pt idx="8">
                  <c:v>2.4</c:v>
                </c:pt>
                <c:pt idx="9">
                  <c:v>2.6999999999999997</c:v>
                </c:pt>
                <c:pt idx="10">
                  <c:v>3</c:v>
                </c:pt>
                <c:pt idx="11">
                  <c:v>3.3</c:v>
                </c:pt>
                <c:pt idx="12">
                  <c:v>3.5999999999999996</c:v>
                </c:pt>
                <c:pt idx="13">
                  <c:v>3.9000000000000004</c:v>
                </c:pt>
                <c:pt idx="14">
                  <c:v>4.2</c:v>
                </c:pt>
                <c:pt idx="15">
                  <c:v>4.5</c:v>
                </c:pt>
                <c:pt idx="16">
                  <c:v>4.8</c:v>
                </c:pt>
                <c:pt idx="17">
                  <c:v>5.1000000000000005</c:v>
                </c:pt>
                <c:pt idx="18">
                  <c:v>5.3999999999999995</c:v>
                </c:pt>
                <c:pt idx="19">
                  <c:v>5.7</c:v>
                </c:pt>
                <c:pt idx="20">
                  <c:v>6</c:v>
                </c:pt>
                <c:pt idx="21">
                  <c:v>6.3</c:v>
                </c:pt>
                <c:pt idx="22">
                  <c:v>6.6</c:v>
                </c:pt>
                <c:pt idx="23">
                  <c:v>6.9</c:v>
                </c:pt>
                <c:pt idx="24">
                  <c:v>7.1999999999999993</c:v>
                </c:pt>
                <c:pt idx="25">
                  <c:v>7.5</c:v>
                </c:pt>
                <c:pt idx="26">
                  <c:v>7.8000000000000007</c:v>
                </c:pt>
                <c:pt idx="27">
                  <c:v>8.1000000000000014</c:v>
                </c:pt>
                <c:pt idx="28">
                  <c:v>8.4</c:v>
                </c:pt>
                <c:pt idx="29">
                  <c:v>8.6999999999999993</c:v>
                </c:pt>
                <c:pt idx="30">
                  <c:v>9</c:v>
                </c:pt>
                <c:pt idx="31">
                  <c:v>9.3000000000000007</c:v>
                </c:pt>
                <c:pt idx="32">
                  <c:v>9.6</c:v>
                </c:pt>
                <c:pt idx="33">
                  <c:v>9.9</c:v>
                </c:pt>
                <c:pt idx="34">
                  <c:v>10.200000000000001</c:v>
                </c:pt>
                <c:pt idx="35">
                  <c:v>10.5</c:v>
                </c:pt>
                <c:pt idx="36">
                  <c:v>10.799999999999999</c:v>
                </c:pt>
                <c:pt idx="37">
                  <c:v>11.1</c:v>
                </c:pt>
                <c:pt idx="38">
                  <c:v>11.4</c:v>
                </c:pt>
                <c:pt idx="39">
                  <c:v>11.700000000000001</c:v>
                </c:pt>
                <c:pt idx="40">
                  <c:v>12</c:v>
                </c:pt>
                <c:pt idx="41">
                  <c:v>12.299999999999999</c:v>
                </c:pt>
                <c:pt idx="42">
                  <c:v>12.6</c:v>
                </c:pt>
                <c:pt idx="43">
                  <c:v>12.9</c:v>
                </c:pt>
                <c:pt idx="44">
                  <c:v>13.2</c:v>
                </c:pt>
                <c:pt idx="45">
                  <c:v>13.5</c:v>
                </c:pt>
                <c:pt idx="46">
                  <c:v>13.8</c:v>
                </c:pt>
                <c:pt idx="47">
                  <c:v>14.1</c:v>
                </c:pt>
                <c:pt idx="48">
                  <c:v>14.399999999999999</c:v>
                </c:pt>
                <c:pt idx="49">
                  <c:v>14.7</c:v>
                </c:pt>
                <c:pt idx="50">
                  <c:v>15</c:v>
                </c:pt>
                <c:pt idx="51">
                  <c:v>15.3</c:v>
                </c:pt>
                <c:pt idx="52">
                  <c:v>15.600000000000001</c:v>
                </c:pt>
                <c:pt idx="53">
                  <c:v>15.9</c:v>
                </c:pt>
                <c:pt idx="54">
                  <c:v>16.200000000000003</c:v>
                </c:pt>
                <c:pt idx="55">
                  <c:v>16.5</c:v>
                </c:pt>
                <c:pt idx="56">
                  <c:v>16.8</c:v>
                </c:pt>
                <c:pt idx="57">
                  <c:v>17.099999999999998</c:v>
                </c:pt>
                <c:pt idx="58">
                  <c:v>17.399999999999999</c:v>
                </c:pt>
                <c:pt idx="59">
                  <c:v>17.7</c:v>
                </c:pt>
                <c:pt idx="60">
                  <c:v>18</c:v>
                </c:pt>
                <c:pt idx="61">
                  <c:v>18.3</c:v>
                </c:pt>
                <c:pt idx="62">
                  <c:v>18.600000000000001</c:v>
                </c:pt>
                <c:pt idx="63">
                  <c:v>18.899999999999999</c:v>
                </c:pt>
                <c:pt idx="64">
                  <c:v>19.2</c:v>
                </c:pt>
                <c:pt idx="65">
                  <c:v>19.5</c:v>
                </c:pt>
                <c:pt idx="66">
                  <c:v>19.8</c:v>
                </c:pt>
                <c:pt idx="67">
                  <c:v>20.100000000000001</c:v>
                </c:pt>
                <c:pt idx="68">
                  <c:v>20.400000000000002</c:v>
                </c:pt>
                <c:pt idx="69">
                  <c:v>20.7</c:v>
                </c:pt>
                <c:pt idx="70">
                  <c:v>21</c:v>
                </c:pt>
                <c:pt idx="71">
                  <c:v>21.299999999999997</c:v>
                </c:pt>
                <c:pt idx="72">
                  <c:v>21.599999999999998</c:v>
                </c:pt>
                <c:pt idx="73">
                  <c:v>21.9</c:v>
                </c:pt>
                <c:pt idx="74">
                  <c:v>22.2</c:v>
                </c:pt>
                <c:pt idx="75">
                  <c:v>22.5</c:v>
                </c:pt>
                <c:pt idx="76">
                  <c:v>22.8</c:v>
                </c:pt>
                <c:pt idx="77">
                  <c:v>23.1</c:v>
                </c:pt>
                <c:pt idx="78">
                  <c:v>23.400000000000002</c:v>
                </c:pt>
                <c:pt idx="79">
                  <c:v>23.700000000000003</c:v>
                </c:pt>
                <c:pt idx="80">
                  <c:v>24</c:v>
                </c:pt>
                <c:pt idx="81">
                  <c:v>24.3</c:v>
                </c:pt>
                <c:pt idx="82">
                  <c:v>24.599999999999998</c:v>
                </c:pt>
                <c:pt idx="83">
                  <c:v>24.9</c:v>
                </c:pt>
                <c:pt idx="84">
                  <c:v>25.2</c:v>
                </c:pt>
                <c:pt idx="85">
                  <c:v>25.5</c:v>
                </c:pt>
                <c:pt idx="86">
                  <c:v>25.8</c:v>
                </c:pt>
                <c:pt idx="87">
                  <c:v>26.1</c:v>
                </c:pt>
                <c:pt idx="88">
                  <c:v>26.4</c:v>
                </c:pt>
                <c:pt idx="89">
                  <c:v>26.7</c:v>
                </c:pt>
                <c:pt idx="90">
                  <c:v>27</c:v>
                </c:pt>
                <c:pt idx="91">
                  <c:v>27.3</c:v>
                </c:pt>
                <c:pt idx="92">
                  <c:v>27.6</c:v>
                </c:pt>
                <c:pt idx="93">
                  <c:v>27.900000000000002</c:v>
                </c:pt>
                <c:pt idx="94">
                  <c:v>28.2</c:v>
                </c:pt>
                <c:pt idx="95">
                  <c:v>28.5</c:v>
                </c:pt>
                <c:pt idx="96">
                  <c:v>28.799999999999997</c:v>
                </c:pt>
                <c:pt idx="97">
                  <c:v>29.099999999999998</c:v>
                </c:pt>
                <c:pt idx="98">
                  <c:v>29.4</c:v>
                </c:pt>
                <c:pt idx="99">
                  <c:v>29.7</c:v>
                </c:pt>
                <c:pt idx="100">
                  <c:v>30</c:v>
                </c:pt>
              </c:numCache>
            </c:numRef>
          </c:xVal>
          <c:yVal>
            <c:numRef>
              <c:f>'Power Calculations'!$AM$9:$AM$109</c:f>
              <c:numCache>
                <c:formatCode>General</c:formatCode>
                <c:ptCount val="101"/>
                <c:pt idx="0">
                  <c:v>3.3789584922287945</c:v>
                </c:pt>
                <c:pt idx="1">
                  <c:v>3.6605022873411488</c:v>
                </c:pt>
                <c:pt idx="2">
                  <c:v>3.9622042092521856</c:v>
                </c:pt>
                <c:pt idx="3">
                  <c:v>4.2841511299035959</c:v>
                </c:pt>
                <c:pt idx="4">
                  <c:v>4.6264396572242124</c:v>
                </c:pt>
                <c:pt idx="5">
                  <c:v>4.9891762278248786</c:v>
                </c:pt>
                <c:pt idx="6">
                  <c:v>5.3724772116056094</c:v>
                </c:pt>
                <c:pt idx="7">
                  <c:v>5.7764690284837519</c:v>
                </c:pt>
                <c:pt idx="8">
                  <c:v>6.20128827747949</c:v>
                </c:pt>
                <c:pt idx="9">
                  <c:v>6.6470818784236743</c:v>
                </c:pt>
                <c:pt idx="10">
                  <c:v>7.1140072265823111</c:v>
                </c:pt>
                <c:pt idx="11">
                  <c:v>7.6022323605225761</c:v>
                </c:pt>
                <c:pt idx="12">
                  <c:v>8.1119361435767345</c:v>
                </c:pt>
                <c:pt idx="13">
                  <c:v>8.6433084592933174</c:v>
                </c:pt>
                <c:pt idx="14">
                  <c:v>9.1965504212989462</c:v>
                </c:pt>
                <c:pt idx="15">
                  <c:v>9.7718745980301946</c:v>
                </c:pt>
                <c:pt idx="16">
                  <c:v>10.369505252832058</c:v>
                </c:pt>
                <c:pt idx="17">
                  <c:v>11.124863540033845</c:v>
                </c:pt>
                <c:pt idx="18">
                  <c:v>11.926266911222303</c:v>
                </c:pt>
                <c:pt idx="19">
                  <c:v>12.751206710280741</c:v>
                </c:pt>
                <c:pt idx="20">
                  <c:v>13.599997563744527</c:v>
                </c:pt>
                <c:pt idx="21">
                  <c:v>14.472967771991568</c:v>
                </c:pt>
                <c:pt idx="22">
                  <c:v>15.370459692365923</c:v>
                </c:pt>
                <c:pt idx="23">
                  <c:v>16.292830143457415</c:v>
                </c:pt>
                <c:pt idx="24">
                  <c:v>17.240450831494783</c:v>
                </c:pt>
                <c:pt idx="25">
                  <c:v>18.213708799874407</c:v>
                </c:pt>
                <c:pt idx="26">
                  <c:v>19.213006902915101</c:v>
                </c:pt>
                <c:pt idx="27">
                  <c:v>20.238764305003105</c:v>
                </c:pt>
                <c:pt idx="28">
                  <c:v>21.291417006369041</c:v>
                </c:pt>
                <c:pt idx="29">
                  <c:v>22.371418396821657</c:v>
                </c:pt>
                <c:pt idx="30">
                  <c:v>23.479239838852365</c:v>
                </c:pt>
                <c:pt idx="31">
                  <c:v>24.615371281618835</c:v>
                </c:pt>
                <c:pt idx="32">
                  <c:v>25.780321907417829</c:v>
                </c:pt>
                <c:pt idx="33">
                  <c:v>26.974620812365664</c:v>
                </c:pt>
                <c:pt idx="34">
                  <c:v>28.198817723120754</c:v>
                </c:pt>
                <c:pt idx="35">
                  <c:v>29.453483751607791</c:v>
                </c:pt>
                <c:pt idx="36">
                  <c:v>30.739212189835946</c:v>
                </c:pt>
                <c:pt idx="37">
                  <c:v>32.056619347047508</c:v>
                </c:pt>
                <c:pt idx="38">
                  <c:v>33.406345431587006</c:v>
                </c:pt>
                <c:pt idx="39">
                  <c:v>34.789055480046407</c:v>
                </c:pt>
                <c:pt idx="40">
                  <c:v>36.205440336420409</c:v>
                </c:pt>
                <c:pt idx="41">
                  <c:v>37.656217684197244</c:v>
                </c:pt>
                <c:pt idx="42">
                  <c:v>39.142133134516861</c:v>
                </c:pt>
                <c:pt idx="43">
                  <c:v>40.66396137375137</c:v>
                </c:pt>
                <c:pt idx="44">
                  <c:v>42.222507374102499</c:v>
                </c:pt>
                <c:pt idx="45">
                  <c:v>43.818607671070211</c:v>
                </c:pt>
                <c:pt idx="46">
                  <c:v>45.453131711926822</c:v>
                </c:pt>
                <c:pt idx="47">
                  <c:v>47.126983279633883</c:v>
                </c:pt>
                <c:pt idx="48">
                  <c:v>48.841101996966536</c:v>
                </c:pt>
                <c:pt idx="49">
                  <c:v>50.596464915965434</c:v>
                </c:pt>
                <c:pt idx="50">
                  <c:v>52.394088198220182</c:v>
                </c:pt>
                <c:pt idx="51">
                  <c:v>54.235028891905934</c:v>
                </c:pt>
                <c:pt idx="52">
                  <c:v>56.120386811946567</c:v>
                </c:pt>
                <c:pt idx="53">
                  <c:v>58.05130653017018</c:v>
                </c:pt>
                <c:pt idx="54">
                  <c:v>60.028979482856023</c:v>
                </c:pt>
                <c:pt idx="55">
                  <c:v>62.054646203653988</c:v>
                </c:pt>
                <c:pt idx="56">
                  <c:v>64.129598690489914</c:v>
                </c:pt>
                <c:pt idx="57">
                  <c:v>66.255182915759931</c:v>
                </c:pt>
                <c:pt idx="58">
                  <c:v>68.432801489868609</c:v>
                </c:pt>
                <c:pt idx="59">
                  <c:v>70.663916488986459</c:v>
                </c:pt>
                <c:pt idx="60">
                  <c:v>72.950052458799433</c:v>
                </c:pt>
                <c:pt idx="61">
                  <c:v>75.292799607002948</c:v>
                </c:pt>
                <c:pt idx="62">
                  <c:v>77.693817198365551</c:v>
                </c:pt>
                <c:pt idx="63">
                  <c:v>80.154837167364249</c:v>
                </c:pt>
                <c:pt idx="64">
                  <c:v>82.677667964680239</c:v>
                </c:pt>
                <c:pt idx="65">
                  <c:v>85.264198655259833</c:v>
                </c:pt>
                <c:pt idx="66">
                  <c:v>87.916403287198307</c:v>
                </c:pt>
                <c:pt idx="67">
                  <c:v>90.636345552413758</c:v>
                </c:pt>
                <c:pt idx="68">
                  <c:v>93.426183761958711</c:v>
                </c:pt>
                <c:pt idx="69">
                  <c:v>96.288176160890032</c:v>
                </c:pt>
                <c:pt idx="70">
                  <c:v>99.224686609905817</c:v>
                </c:pt>
                <c:pt idx="71">
                  <c:v>102.23819066347968</c:v>
                </c:pt>
                <c:pt idx="72">
                  <c:v>105.33128207701962</c:v>
                </c:pt>
                <c:pt idx="73">
                  <c:v>108.50667977866412</c:v>
                </c:pt>
                <c:pt idx="74">
                  <c:v>111.76723534475512</c:v>
                </c:pt>
                <c:pt idx="75">
                  <c:v>115.11594102182509</c:v>
                </c:pt>
                <c:pt idx="76">
                  <c:v>118.55593834215547</c:v>
                </c:pt>
                <c:pt idx="77">
                  <c:v>122.09052738465587</c:v>
                </c:pt>
                <c:pt idx="78">
                  <c:v>125.72317673804056</c:v>
                </c:pt>
                <c:pt idx="79">
                  <c:v>129.45753422910414</c:v>
                </c:pt>
                <c:pt idx="80">
                  <c:v>133.297438485405</c:v>
                </c:pt>
                <c:pt idx="81">
                  <c:v>137.24693140893896</c:v>
                </c:pt>
                <c:pt idx="82">
                  <c:v>141.31027164552859</c:v>
                </c:pt>
                <c:pt idx="83">
                  <c:v>145.491949143786</c:v>
                </c:pt>
                <c:pt idx="84">
                  <c:v>149.79670090775809</c:v>
                </c:pt>
                <c:pt idx="85">
                  <c:v>154.2295280588956</c:v>
                </c:pt>
                <c:pt idx="86">
                  <c:v>158.79571433597422</c:v>
                </c:pt>
                <c:pt idx="87">
                  <c:v>163.50084617624418</c:v>
                </c:pt>
                <c:pt idx="88">
                  <c:v>168.35083453764545</c:v>
                </c:pt>
                <c:pt idx="89">
                  <c:v>173.35193864066014</c:v>
                </c:pt>
                <c:pt idx="90">
                  <c:v>178.51079182962292</c:v>
                </c:pt>
                <c:pt idx="91">
                  <c:v>183.83442977744465</c:v>
                </c:pt>
                <c:pt idx="92">
                  <c:v>189.33032128516544</c:v>
                </c:pt>
                <c:pt idx="93">
                  <c:v>195.00640195906931</c:v>
                </c:pt>
                <c:pt idx="94">
                  <c:v>200.87111108385346</c:v>
                </c:pt>
                <c:pt idx="95">
                  <c:v>206.93343205128863</c:v>
                </c:pt>
                <c:pt idx="96">
                  <c:v>213.20293675076184</c:v>
                </c:pt>
                <c:pt idx="97">
                  <c:v>219.68983438206294</c:v>
                </c:pt>
                <c:pt idx="98">
                  <c:v>226.40502521294886</c:v>
                </c:pt>
                <c:pt idx="99">
                  <c:v>233.36015987579523</c:v>
                </c:pt>
                <c:pt idx="100">
                  <c:v>240.56770488071163</c:v>
                </c:pt>
              </c:numCache>
            </c:numRef>
          </c:yVal>
          <c:smooth val="0"/>
          <c:extLst>
            <c:ext xmlns:c16="http://schemas.microsoft.com/office/drawing/2014/chart" uri="{C3380CC4-5D6E-409C-BE32-E72D297353CC}">
              <c16:uniqueId val="{00000000-1567-B84C-B2AA-03963ECB3156}"/>
            </c:ext>
          </c:extLst>
        </c:ser>
        <c:ser>
          <c:idx val="1"/>
          <c:order val="1"/>
          <c:tx>
            <c:v>Bottom FET</c:v>
          </c:tx>
          <c:spPr>
            <a:ln w="25400">
              <a:solidFill>
                <a:srgbClr val="FF0000"/>
              </a:solidFill>
              <a:prstDash val="solid"/>
            </a:ln>
          </c:spPr>
          <c:marker>
            <c:symbol val="none"/>
          </c:marker>
          <c:xVal>
            <c:numRef>
              <c:f>'Power Calculations'!$H$9:$H$109</c:f>
              <c:numCache>
                <c:formatCode>General</c:formatCode>
                <c:ptCount val="101"/>
                <c:pt idx="0">
                  <c:v>0</c:v>
                </c:pt>
                <c:pt idx="1">
                  <c:v>0.3</c:v>
                </c:pt>
                <c:pt idx="2">
                  <c:v>0.6</c:v>
                </c:pt>
                <c:pt idx="3">
                  <c:v>0.89999999999999991</c:v>
                </c:pt>
                <c:pt idx="4">
                  <c:v>1.2</c:v>
                </c:pt>
                <c:pt idx="5">
                  <c:v>1.5</c:v>
                </c:pt>
                <c:pt idx="6">
                  <c:v>1.7999999999999998</c:v>
                </c:pt>
                <c:pt idx="7">
                  <c:v>2.1</c:v>
                </c:pt>
                <c:pt idx="8">
                  <c:v>2.4</c:v>
                </c:pt>
                <c:pt idx="9">
                  <c:v>2.6999999999999997</c:v>
                </c:pt>
                <c:pt idx="10">
                  <c:v>3</c:v>
                </c:pt>
                <c:pt idx="11">
                  <c:v>3.3</c:v>
                </c:pt>
                <c:pt idx="12">
                  <c:v>3.5999999999999996</c:v>
                </c:pt>
                <c:pt idx="13">
                  <c:v>3.9000000000000004</c:v>
                </c:pt>
                <c:pt idx="14">
                  <c:v>4.2</c:v>
                </c:pt>
                <c:pt idx="15">
                  <c:v>4.5</c:v>
                </c:pt>
                <c:pt idx="16">
                  <c:v>4.8</c:v>
                </c:pt>
                <c:pt idx="17">
                  <c:v>5.1000000000000005</c:v>
                </c:pt>
                <c:pt idx="18">
                  <c:v>5.3999999999999995</c:v>
                </c:pt>
                <c:pt idx="19">
                  <c:v>5.7</c:v>
                </c:pt>
                <c:pt idx="20">
                  <c:v>6</c:v>
                </c:pt>
                <c:pt idx="21">
                  <c:v>6.3</c:v>
                </c:pt>
                <c:pt idx="22">
                  <c:v>6.6</c:v>
                </c:pt>
                <c:pt idx="23">
                  <c:v>6.9</c:v>
                </c:pt>
                <c:pt idx="24">
                  <c:v>7.1999999999999993</c:v>
                </c:pt>
                <c:pt idx="25">
                  <c:v>7.5</c:v>
                </c:pt>
                <c:pt idx="26">
                  <c:v>7.8000000000000007</c:v>
                </c:pt>
                <c:pt idx="27">
                  <c:v>8.1000000000000014</c:v>
                </c:pt>
                <c:pt idx="28">
                  <c:v>8.4</c:v>
                </c:pt>
                <c:pt idx="29">
                  <c:v>8.6999999999999993</c:v>
                </c:pt>
                <c:pt idx="30">
                  <c:v>9</c:v>
                </c:pt>
                <c:pt idx="31">
                  <c:v>9.3000000000000007</c:v>
                </c:pt>
                <c:pt idx="32">
                  <c:v>9.6</c:v>
                </c:pt>
                <c:pt idx="33">
                  <c:v>9.9</c:v>
                </c:pt>
                <c:pt idx="34">
                  <c:v>10.200000000000001</c:v>
                </c:pt>
                <c:pt idx="35">
                  <c:v>10.5</c:v>
                </c:pt>
                <c:pt idx="36">
                  <c:v>10.799999999999999</c:v>
                </c:pt>
                <c:pt idx="37">
                  <c:v>11.1</c:v>
                </c:pt>
                <c:pt idx="38">
                  <c:v>11.4</c:v>
                </c:pt>
                <c:pt idx="39">
                  <c:v>11.700000000000001</c:v>
                </c:pt>
                <c:pt idx="40">
                  <c:v>12</c:v>
                </c:pt>
                <c:pt idx="41">
                  <c:v>12.299999999999999</c:v>
                </c:pt>
                <c:pt idx="42">
                  <c:v>12.6</c:v>
                </c:pt>
                <c:pt idx="43">
                  <c:v>12.9</c:v>
                </c:pt>
                <c:pt idx="44">
                  <c:v>13.2</c:v>
                </c:pt>
                <c:pt idx="45">
                  <c:v>13.5</c:v>
                </c:pt>
                <c:pt idx="46">
                  <c:v>13.8</c:v>
                </c:pt>
                <c:pt idx="47">
                  <c:v>14.1</c:v>
                </c:pt>
                <c:pt idx="48">
                  <c:v>14.399999999999999</c:v>
                </c:pt>
                <c:pt idx="49">
                  <c:v>14.7</c:v>
                </c:pt>
                <c:pt idx="50">
                  <c:v>15</c:v>
                </c:pt>
                <c:pt idx="51">
                  <c:v>15.3</c:v>
                </c:pt>
                <c:pt idx="52">
                  <c:v>15.600000000000001</c:v>
                </c:pt>
                <c:pt idx="53">
                  <c:v>15.9</c:v>
                </c:pt>
                <c:pt idx="54">
                  <c:v>16.200000000000003</c:v>
                </c:pt>
                <c:pt idx="55">
                  <c:v>16.5</c:v>
                </c:pt>
                <c:pt idx="56">
                  <c:v>16.8</c:v>
                </c:pt>
                <c:pt idx="57">
                  <c:v>17.099999999999998</c:v>
                </c:pt>
                <c:pt idx="58">
                  <c:v>17.399999999999999</c:v>
                </c:pt>
                <c:pt idx="59">
                  <c:v>17.7</c:v>
                </c:pt>
                <c:pt idx="60">
                  <c:v>18</c:v>
                </c:pt>
                <c:pt idx="61">
                  <c:v>18.3</c:v>
                </c:pt>
                <c:pt idx="62">
                  <c:v>18.600000000000001</c:v>
                </c:pt>
                <c:pt idx="63">
                  <c:v>18.899999999999999</c:v>
                </c:pt>
                <c:pt idx="64">
                  <c:v>19.2</c:v>
                </c:pt>
                <c:pt idx="65">
                  <c:v>19.5</c:v>
                </c:pt>
                <c:pt idx="66">
                  <c:v>19.8</c:v>
                </c:pt>
                <c:pt idx="67">
                  <c:v>20.100000000000001</c:v>
                </c:pt>
                <c:pt idx="68">
                  <c:v>20.400000000000002</c:v>
                </c:pt>
                <c:pt idx="69">
                  <c:v>20.7</c:v>
                </c:pt>
                <c:pt idx="70">
                  <c:v>21</c:v>
                </c:pt>
                <c:pt idx="71">
                  <c:v>21.299999999999997</c:v>
                </c:pt>
                <c:pt idx="72">
                  <c:v>21.599999999999998</c:v>
                </c:pt>
                <c:pt idx="73">
                  <c:v>21.9</c:v>
                </c:pt>
                <c:pt idx="74">
                  <c:v>22.2</c:v>
                </c:pt>
                <c:pt idx="75">
                  <c:v>22.5</c:v>
                </c:pt>
                <c:pt idx="76">
                  <c:v>22.8</c:v>
                </c:pt>
                <c:pt idx="77">
                  <c:v>23.1</c:v>
                </c:pt>
                <c:pt idx="78">
                  <c:v>23.400000000000002</c:v>
                </c:pt>
                <c:pt idx="79">
                  <c:v>23.700000000000003</c:v>
                </c:pt>
                <c:pt idx="80">
                  <c:v>24</c:v>
                </c:pt>
                <c:pt idx="81">
                  <c:v>24.3</c:v>
                </c:pt>
                <c:pt idx="82">
                  <c:v>24.599999999999998</c:v>
                </c:pt>
                <c:pt idx="83">
                  <c:v>24.9</c:v>
                </c:pt>
                <c:pt idx="84">
                  <c:v>25.2</c:v>
                </c:pt>
                <c:pt idx="85">
                  <c:v>25.5</c:v>
                </c:pt>
                <c:pt idx="86">
                  <c:v>25.8</c:v>
                </c:pt>
                <c:pt idx="87">
                  <c:v>26.1</c:v>
                </c:pt>
                <c:pt idx="88">
                  <c:v>26.4</c:v>
                </c:pt>
                <c:pt idx="89">
                  <c:v>26.7</c:v>
                </c:pt>
                <c:pt idx="90">
                  <c:v>27</c:v>
                </c:pt>
                <c:pt idx="91">
                  <c:v>27.3</c:v>
                </c:pt>
                <c:pt idx="92">
                  <c:v>27.6</c:v>
                </c:pt>
                <c:pt idx="93">
                  <c:v>27.900000000000002</c:v>
                </c:pt>
                <c:pt idx="94">
                  <c:v>28.2</c:v>
                </c:pt>
                <c:pt idx="95">
                  <c:v>28.5</c:v>
                </c:pt>
                <c:pt idx="96">
                  <c:v>28.799999999999997</c:v>
                </c:pt>
                <c:pt idx="97">
                  <c:v>29.099999999999998</c:v>
                </c:pt>
                <c:pt idx="98">
                  <c:v>29.4</c:v>
                </c:pt>
                <c:pt idx="99">
                  <c:v>29.7</c:v>
                </c:pt>
                <c:pt idx="100">
                  <c:v>30</c:v>
                </c:pt>
              </c:numCache>
            </c:numRef>
          </c:xVal>
          <c:yVal>
            <c:numRef>
              <c:f>'Power Calculations'!$AN$9:$AN$109</c:f>
              <c:numCache>
                <c:formatCode>General</c:formatCode>
                <c:ptCount val="101"/>
                <c:pt idx="0">
                  <c:v>4.9944640344746567</c:v>
                </c:pt>
                <c:pt idx="1">
                  <c:v>5.29739860084889</c:v>
                </c:pt>
                <c:pt idx="2">
                  <c:v>5.6039612391721842</c:v>
                </c:pt>
                <c:pt idx="3">
                  <c:v>5.9141634103224643</c:v>
                </c:pt>
                <c:pt idx="4">
                  <c:v>6.2280168766686197</c:v>
                </c:pt>
                <c:pt idx="5">
                  <c:v>6.5455337035291246</c:v>
                </c:pt>
                <c:pt idx="6">
                  <c:v>6.8667262606935813</c:v>
                </c:pt>
                <c:pt idx="7">
                  <c:v>7.1916072240075932</c:v>
                </c:pt>
                <c:pt idx="8">
                  <c:v>7.5201895770214344</c:v>
                </c:pt>
                <c:pt idx="9">
                  <c:v>7.8524866127028901</c:v>
                </c:pt>
                <c:pt idx="10">
                  <c:v>8.1885119352148266</c:v>
                </c:pt>
                <c:pt idx="11">
                  <c:v>8.528279461757899</c:v>
                </c:pt>
                <c:pt idx="12">
                  <c:v>8.8718034244789887</c:v>
                </c:pt>
                <c:pt idx="13">
                  <c:v>9.2190983724458864</c:v>
                </c:pt>
                <c:pt idx="14">
                  <c:v>9.5701791736888264</c:v>
                </c:pt>
                <c:pt idx="15">
                  <c:v>9.9250610173094103</c:v>
                </c:pt>
                <c:pt idx="16">
                  <c:v>10.283759415657633</c:v>
                </c:pt>
                <c:pt idx="17">
                  <c:v>10.646290206577595</c:v>
                </c:pt>
                <c:pt idx="18">
                  <c:v>11.012669555722624</c:v>
                </c:pt>
                <c:pt idx="19">
                  <c:v>11.38291395894051</c:v>
                </c:pt>
                <c:pt idx="20">
                  <c:v>11.757040244729561</c:v>
                </c:pt>
                <c:pt idx="21">
                  <c:v>12.135065576766294</c:v>
                </c:pt>
                <c:pt idx="22">
                  <c:v>12.517007456505535</c:v>
                </c:pt>
                <c:pt idx="23">
                  <c:v>12.902883725853719</c:v>
                </c:pt>
                <c:pt idx="24">
                  <c:v>13.292712569916304</c:v>
                </c:pt>
                <c:pt idx="25">
                  <c:v>13.686512519820162</c:v>
                </c:pt>
                <c:pt idx="26">
                  <c:v>14.084302455611814</c:v>
                </c:pt>
                <c:pt idx="27">
                  <c:v>14.486101609232524</c:v>
                </c:pt>
                <c:pt idx="28">
                  <c:v>14.891929567571216</c:v>
                </c:pt>
                <c:pt idx="29">
                  <c:v>15.30180627559616</c:v>
                </c:pt>
                <c:pt idx="30">
                  <c:v>15.715752039566578</c:v>
                </c:pt>
                <c:pt idx="31">
                  <c:v>16.133787530325129</c:v>
                </c:pt>
                <c:pt idx="32">
                  <c:v>16.555933786672476</c:v>
                </c:pt>
                <c:pt idx="33">
                  <c:v>16.982212218825048</c:v>
                </c:pt>
                <c:pt idx="34">
                  <c:v>17.412644611957134</c:v>
                </c:pt>
                <c:pt idx="35">
                  <c:v>17.847253129828609</c:v>
                </c:pt>
                <c:pt idx="36">
                  <c:v>18.286060318499466</c:v>
                </c:pt>
                <c:pt idx="37">
                  <c:v>18.72908911013252</c:v>
                </c:pt>
                <c:pt idx="38">
                  <c:v>19.176362826885487</c:v>
                </c:pt>
                <c:pt idx="39">
                  <c:v>19.627905184893983</c:v>
                </c:pt>
                <c:pt idx="40">
                  <c:v>20.08374029834669</c:v>
                </c:pt>
                <c:pt idx="41">
                  <c:v>20.543892683654221</c:v>
                </c:pt>
                <c:pt idx="42">
                  <c:v>21.008387263713164</c:v>
                </c:pt>
                <c:pt idx="43">
                  <c:v>21.477249372266805</c:v>
                </c:pt>
                <c:pt idx="44">
                  <c:v>21.950504758364108</c:v>
                </c:pt>
                <c:pt idx="45">
                  <c:v>22.428179590918649</c:v>
                </c:pt>
                <c:pt idx="46">
                  <c:v>22.910300463369033</c:v>
                </c:pt>
                <c:pt idx="47">
                  <c:v>23.396894398442626</c:v>
                </c:pt>
                <c:pt idx="48">
                  <c:v>23.887988853024289</c:v>
                </c:pt>
                <c:pt idx="49">
                  <c:v>24.383611723131967</c:v>
                </c:pt>
                <c:pt idx="50">
                  <c:v>24.883791349000909</c:v>
                </c:pt>
                <c:pt idx="51">
                  <c:v>25.388556520278545</c:v>
                </c:pt>
                <c:pt idx="52">
                  <c:v>25.897936481331897</c:v>
                </c:pt>
                <c:pt idx="53">
                  <c:v>26.411960936669477</c:v>
                </c:pt>
                <c:pt idx="54">
                  <c:v>26.930660056480011</c:v>
                </c:pt>
                <c:pt idx="55">
                  <c:v>27.45406448228961</c:v>
                </c:pt>
                <c:pt idx="56">
                  <c:v>27.982205332740218</c:v>
                </c:pt>
                <c:pt idx="57">
                  <c:v>28.515114209490921</c:v>
                </c:pt>
                <c:pt idx="58">
                  <c:v>29.052823203244959</c:v>
                </c:pt>
                <c:pt idx="59">
                  <c:v>29.595364899904403</c:v>
                </c:pt>
                <c:pt idx="60">
                  <c:v>30.14277238685515</c:v>
                </c:pt>
                <c:pt idx="61">
                  <c:v>30.695079259384684</c:v>
                </c:pt>
                <c:pt idx="62">
                  <c:v>31.252319627235085</c:v>
                </c:pt>
                <c:pt idx="63">
                  <c:v>31.814528121293943</c:v>
                </c:pt>
                <c:pt idx="64">
                  <c:v>32.381739900425913</c:v>
                </c:pt>
                <c:pt idx="65">
                  <c:v>32.953990658447637</c:v>
                </c:pt>
                <c:pt idx="66">
                  <c:v>33.531316631248856</c:v>
                </c:pt>
                <c:pt idx="67">
                  <c:v>34.113754604062656</c:v>
                </c:pt>
                <c:pt idx="68">
                  <c:v>34.701341918887799</c:v>
                </c:pt>
                <c:pt idx="69">
                  <c:v>35.294116482066315</c:v>
                </c:pt>
                <c:pt idx="70">
                  <c:v>35.892116772019406</c:v>
                </c:pt>
                <c:pt idx="71">
                  <c:v>36.49538184714477</c:v>
                </c:pt>
                <c:pt idx="72">
                  <c:v>37.103951353879133</c:v>
                </c:pt>
                <c:pt idx="73">
                  <c:v>37.717865534928791</c:v>
                </c:pt>
                <c:pt idx="74">
                  <c:v>38.337165237672103</c:v>
                </c:pt>
                <c:pt idx="75">
                  <c:v>38.961891922737443</c:v>
                </c:pt>
                <c:pt idx="76">
                  <c:v>39.592087672760137</c:v>
                </c:pt>
                <c:pt idx="77">
                  <c:v>40.227795201322358</c:v>
                </c:pt>
                <c:pt idx="78">
                  <c:v>40.869057862079863</c:v>
                </c:pt>
                <c:pt idx="79">
                  <c:v>41.51591965807944</c:v>
                </c:pt>
                <c:pt idx="80">
                  <c:v>42.168425251271188</c:v>
                </c:pt>
                <c:pt idx="81">
                  <c:v>42.826619972220193</c:v>
                </c:pt>
                <c:pt idx="82">
                  <c:v>43.490549830021287</c:v>
                </c:pt>
                <c:pt idx="83">
                  <c:v>44.160261522422005</c:v>
                </c:pt>
                <c:pt idx="84">
                  <c:v>44.835802446157771</c:v>
                </c:pt>
                <c:pt idx="85">
                  <c:v>45.517220707504428</c:v>
                </c:pt>
                <c:pt idx="86">
                  <c:v>46.204565133052647</c:v>
                </c:pt>
                <c:pt idx="87">
                  <c:v>46.897885280709303</c:v>
                </c:pt>
                <c:pt idx="88">
                  <c:v>47.597231450930813</c:v>
                </c:pt>
                <c:pt idx="89">
                  <c:v>48.302654698193834</c:v>
                </c:pt>
                <c:pt idx="90">
                  <c:v>49.014206842708475</c:v>
                </c:pt>
                <c:pt idx="91">
                  <c:v>49.73194048237967</c:v>
                </c:pt>
                <c:pt idx="92">
                  <c:v>50.455909005022384</c:v>
                </c:pt>
                <c:pt idx="93">
                  <c:v>51.186166600836437</c:v>
                </c:pt>
                <c:pt idx="94">
                  <c:v>51.922768275146936</c:v>
                </c:pt>
                <c:pt idx="95">
                  <c:v>52.665769861416521</c:v>
                </c:pt>
                <c:pt idx="96">
                  <c:v>53.415228034535644</c:v>
                </c:pt>
                <c:pt idx="97">
                  <c:v>54.171200324397553</c:v>
                </c:pt>
                <c:pt idx="98">
                  <c:v>54.933745129764453</c:v>
                </c:pt>
                <c:pt idx="99">
                  <c:v>55.702921732431896</c:v>
                </c:pt>
                <c:pt idx="100">
                  <c:v>56.478790311698447</c:v>
                </c:pt>
              </c:numCache>
            </c:numRef>
          </c:yVal>
          <c:smooth val="0"/>
          <c:extLst>
            <c:ext xmlns:c16="http://schemas.microsoft.com/office/drawing/2014/chart" uri="{C3380CC4-5D6E-409C-BE32-E72D297353CC}">
              <c16:uniqueId val="{00000001-1567-B84C-B2AA-03963ECB3156}"/>
            </c:ext>
          </c:extLst>
        </c:ser>
        <c:dLbls>
          <c:showLegendKey val="0"/>
          <c:showVal val="0"/>
          <c:showCatName val="0"/>
          <c:showSerName val="0"/>
          <c:showPercent val="0"/>
          <c:showBubbleSize val="0"/>
        </c:dLbls>
        <c:axId val="184009856"/>
        <c:axId val="184011776"/>
      </c:scatterChart>
      <c:valAx>
        <c:axId val="184009856"/>
        <c:scaling>
          <c:orientation val="minMax"/>
          <c:min val="0"/>
        </c:scaling>
        <c:delete val="0"/>
        <c:axPos val="b"/>
        <c:title>
          <c:tx>
            <c:rich>
              <a:bodyPr/>
              <a:lstStyle/>
              <a:p>
                <a:pPr>
                  <a:defRPr sz="925" b="1" i="0" u="none" strike="noStrike" baseline="0">
                    <a:solidFill>
                      <a:srgbClr val="000000"/>
                    </a:solidFill>
                    <a:latin typeface="Arial"/>
                    <a:ea typeface="Arial"/>
                    <a:cs typeface="Arial"/>
                  </a:defRPr>
                </a:pPr>
                <a:r>
                  <a:rPr lang="en-US"/>
                  <a:t>Iout (A)</a:t>
                </a:r>
              </a:p>
            </c:rich>
          </c:tx>
          <c:layout>
            <c:manualLayout>
              <c:xMode val="edge"/>
              <c:yMode val="edge"/>
              <c:x val="0.52774047357748588"/>
              <c:y val="0.9353554442058379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25" b="1" i="0" u="none" strike="noStrike" baseline="0">
                <a:solidFill>
                  <a:srgbClr val="000000"/>
                </a:solidFill>
                <a:latin typeface="Arial"/>
                <a:ea typeface="Arial"/>
                <a:cs typeface="Arial"/>
              </a:defRPr>
            </a:pPr>
            <a:endParaRPr lang="en-US"/>
          </a:p>
        </c:txPr>
        <c:crossAx val="184011776"/>
        <c:crosses val="autoZero"/>
        <c:crossBetween val="midCat"/>
      </c:valAx>
      <c:valAx>
        <c:axId val="184011776"/>
        <c:scaling>
          <c:orientation val="minMax"/>
        </c:scaling>
        <c:delete val="0"/>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Arial"/>
                    <a:ea typeface="Arial"/>
                    <a:cs typeface="Arial"/>
                  </a:defRPr>
                </a:pPr>
                <a:r>
                  <a:rPr lang="en-US"/>
                  <a:t>Temperature (DegC)</a:t>
                </a:r>
              </a:p>
            </c:rich>
          </c:tx>
          <c:layout>
            <c:manualLayout>
              <c:xMode val="edge"/>
              <c:yMode val="edge"/>
              <c:x val="7.03653585926928E-2"/>
              <c:y val="0.395960444338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25" b="1" i="0" u="none" strike="noStrike" baseline="0">
                <a:solidFill>
                  <a:srgbClr val="000000"/>
                </a:solidFill>
                <a:latin typeface="Arial"/>
                <a:ea typeface="Arial"/>
                <a:cs typeface="Arial"/>
              </a:defRPr>
            </a:pPr>
            <a:endParaRPr lang="en-US"/>
          </a:p>
        </c:txPr>
        <c:crossAx val="184009856"/>
        <c:crosses val="autoZero"/>
        <c:crossBetween val="midCat"/>
      </c:valAx>
      <c:spPr>
        <a:solidFill>
          <a:srgbClr val="C0C0C0"/>
        </a:solidFill>
        <a:ln w="12700">
          <a:solidFill>
            <a:srgbClr val="808080"/>
          </a:solidFill>
          <a:prstDash val="solid"/>
        </a:ln>
      </c:spPr>
    </c:plotArea>
    <c:legend>
      <c:legendPos val="t"/>
      <c:layout>
        <c:manualLayout>
          <c:xMode val="edge"/>
          <c:yMode val="edge"/>
          <c:x val="0.85385713118742423"/>
          <c:y val="1.0101010101010105E-2"/>
          <c:w val="0.14073085925152451"/>
          <c:h val="8.2828494922983206E-2"/>
        </c:manualLayout>
      </c:layout>
      <c:overlay val="0"/>
      <c:spPr>
        <a:solidFill>
          <a:srgbClr val="FFFFFF"/>
        </a:solidFill>
        <a:ln w="3175">
          <a:solidFill>
            <a:srgbClr val="000000"/>
          </a:solidFill>
          <a:prstDash val="solid"/>
        </a:ln>
      </c:spPr>
      <c:txPr>
        <a:bodyPr/>
        <a:lstStyle/>
        <a:p>
          <a:pPr>
            <a:defRPr sz="78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25" b="1" i="0" u="none" strike="noStrike" baseline="0">
                <a:solidFill>
                  <a:srgbClr val="000000"/>
                </a:solidFill>
                <a:latin typeface="Arial"/>
                <a:ea typeface="Arial"/>
                <a:cs typeface="Arial"/>
              </a:defRPr>
            </a:pPr>
            <a:r>
              <a:rPr lang="en-US"/>
              <a:t> FET Power Disipation</a:t>
            </a:r>
          </a:p>
        </c:rich>
      </c:tx>
      <c:layout>
        <c:manualLayout>
          <c:xMode val="edge"/>
          <c:yMode val="edge"/>
          <c:x val="0.39872611464968688"/>
          <c:y val="3.0241935483871732E-2"/>
        </c:manualLayout>
      </c:layout>
      <c:overlay val="0"/>
      <c:spPr>
        <a:noFill/>
        <a:ln w="25400">
          <a:noFill/>
        </a:ln>
      </c:spPr>
    </c:title>
    <c:autoTitleDeleted val="0"/>
    <c:plotArea>
      <c:layout>
        <c:manualLayout>
          <c:layoutTarget val="inner"/>
          <c:xMode val="edge"/>
          <c:yMode val="edge"/>
          <c:x val="8.6624203821656268E-2"/>
          <c:y val="0.15927435034411094"/>
          <c:w val="0.8471337579617837"/>
          <c:h val="0.70362972493790654"/>
        </c:manualLayout>
      </c:layout>
      <c:scatterChart>
        <c:scatterStyle val="lineMarker"/>
        <c:varyColors val="0"/>
        <c:ser>
          <c:idx val="2"/>
          <c:order val="0"/>
          <c:tx>
            <c:v>Top FET</c:v>
          </c:tx>
          <c:spPr>
            <a:ln w="25400">
              <a:solidFill>
                <a:srgbClr val="000080"/>
              </a:solidFill>
              <a:prstDash val="solid"/>
            </a:ln>
          </c:spPr>
          <c:marker>
            <c:symbol val="none"/>
          </c:marker>
          <c:xVal>
            <c:numRef>
              <c:f>'Power Calculations'!$H$9:$H$109</c:f>
              <c:numCache>
                <c:formatCode>General</c:formatCode>
                <c:ptCount val="101"/>
                <c:pt idx="0">
                  <c:v>0</c:v>
                </c:pt>
                <c:pt idx="1">
                  <c:v>0.3</c:v>
                </c:pt>
                <c:pt idx="2">
                  <c:v>0.6</c:v>
                </c:pt>
                <c:pt idx="3">
                  <c:v>0.89999999999999991</c:v>
                </c:pt>
                <c:pt idx="4">
                  <c:v>1.2</c:v>
                </c:pt>
                <c:pt idx="5">
                  <c:v>1.5</c:v>
                </c:pt>
                <c:pt idx="6">
                  <c:v>1.7999999999999998</c:v>
                </c:pt>
                <c:pt idx="7">
                  <c:v>2.1</c:v>
                </c:pt>
                <c:pt idx="8">
                  <c:v>2.4</c:v>
                </c:pt>
                <c:pt idx="9">
                  <c:v>2.6999999999999997</c:v>
                </c:pt>
                <c:pt idx="10">
                  <c:v>3</c:v>
                </c:pt>
                <c:pt idx="11">
                  <c:v>3.3</c:v>
                </c:pt>
                <c:pt idx="12">
                  <c:v>3.5999999999999996</c:v>
                </c:pt>
                <c:pt idx="13">
                  <c:v>3.9000000000000004</c:v>
                </c:pt>
                <c:pt idx="14">
                  <c:v>4.2</c:v>
                </c:pt>
                <c:pt idx="15">
                  <c:v>4.5</c:v>
                </c:pt>
                <c:pt idx="16">
                  <c:v>4.8</c:v>
                </c:pt>
                <c:pt idx="17">
                  <c:v>5.1000000000000005</c:v>
                </c:pt>
                <c:pt idx="18">
                  <c:v>5.3999999999999995</c:v>
                </c:pt>
                <c:pt idx="19">
                  <c:v>5.7</c:v>
                </c:pt>
                <c:pt idx="20">
                  <c:v>6</c:v>
                </c:pt>
                <c:pt idx="21">
                  <c:v>6.3</c:v>
                </c:pt>
                <c:pt idx="22">
                  <c:v>6.6</c:v>
                </c:pt>
                <c:pt idx="23">
                  <c:v>6.9</c:v>
                </c:pt>
                <c:pt idx="24">
                  <c:v>7.1999999999999993</c:v>
                </c:pt>
                <c:pt idx="25">
                  <c:v>7.5</c:v>
                </c:pt>
                <c:pt idx="26">
                  <c:v>7.8000000000000007</c:v>
                </c:pt>
                <c:pt idx="27">
                  <c:v>8.1000000000000014</c:v>
                </c:pt>
                <c:pt idx="28">
                  <c:v>8.4</c:v>
                </c:pt>
                <c:pt idx="29">
                  <c:v>8.6999999999999993</c:v>
                </c:pt>
                <c:pt idx="30">
                  <c:v>9</c:v>
                </c:pt>
                <c:pt idx="31">
                  <c:v>9.3000000000000007</c:v>
                </c:pt>
                <c:pt idx="32">
                  <c:v>9.6</c:v>
                </c:pt>
                <c:pt idx="33">
                  <c:v>9.9</c:v>
                </c:pt>
                <c:pt idx="34">
                  <c:v>10.200000000000001</c:v>
                </c:pt>
                <c:pt idx="35">
                  <c:v>10.5</c:v>
                </c:pt>
                <c:pt idx="36">
                  <c:v>10.799999999999999</c:v>
                </c:pt>
                <c:pt idx="37">
                  <c:v>11.1</c:v>
                </c:pt>
                <c:pt idx="38">
                  <c:v>11.4</c:v>
                </c:pt>
                <c:pt idx="39">
                  <c:v>11.700000000000001</c:v>
                </c:pt>
                <c:pt idx="40">
                  <c:v>12</c:v>
                </c:pt>
                <c:pt idx="41">
                  <c:v>12.299999999999999</c:v>
                </c:pt>
                <c:pt idx="42">
                  <c:v>12.6</c:v>
                </c:pt>
                <c:pt idx="43">
                  <c:v>12.9</c:v>
                </c:pt>
                <c:pt idx="44">
                  <c:v>13.2</c:v>
                </c:pt>
                <c:pt idx="45">
                  <c:v>13.5</c:v>
                </c:pt>
                <c:pt idx="46">
                  <c:v>13.8</c:v>
                </c:pt>
                <c:pt idx="47">
                  <c:v>14.1</c:v>
                </c:pt>
                <c:pt idx="48">
                  <c:v>14.399999999999999</c:v>
                </c:pt>
                <c:pt idx="49">
                  <c:v>14.7</c:v>
                </c:pt>
                <c:pt idx="50">
                  <c:v>15</c:v>
                </c:pt>
                <c:pt idx="51">
                  <c:v>15.3</c:v>
                </c:pt>
                <c:pt idx="52">
                  <c:v>15.600000000000001</c:v>
                </c:pt>
                <c:pt idx="53">
                  <c:v>15.9</c:v>
                </c:pt>
                <c:pt idx="54">
                  <c:v>16.200000000000003</c:v>
                </c:pt>
                <c:pt idx="55">
                  <c:v>16.5</c:v>
                </c:pt>
                <c:pt idx="56">
                  <c:v>16.8</c:v>
                </c:pt>
                <c:pt idx="57">
                  <c:v>17.099999999999998</c:v>
                </c:pt>
                <c:pt idx="58">
                  <c:v>17.399999999999999</c:v>
                </c:pt>
                <c:pt idx="59">
                  <c:v>17.7</c:v>
                </c:pt>
                <c:pt idx="60">
                  <c:v>18</c:v>
                </c:pt>
                <c:pt idx="61">
                  <c:v>18.3</c:v>
                </c:pt>
                <c:pt idx="62">
                  <c:v>18.600000000000001</c:v>
                </c:pt>
                <c:pt idx="63">
                  <c:v>18.899999999999999</c:v>
                </c:pt>
                <c:pt idx="64">
                  <c:v>19.2</c:v>
                </c:pt>
                <c:pt idx="65">
                  <c:v>19.5</c:v>
                </c:pt>
                <c:pt idx="66">
                  <c:v>19.8</c:v>
                </c:pt>
                <c:pt idx="67">
                  <c:v>20.100000000000001</c:v>
                </c:pt>
                <c:pt idx="68">
                  <c:v>20.400000000000002</c:v>
                </c:pt>
                <c:pt idx="69">
                  <c:v>20.7</c:v>
                </c:pt>
                <c:pt idx="70">
                  <c:v>21</c:v>
                </c:pt>
                <c:pt idx="71">
                  <c:v>21.299999999999997</c:v>
                </c:pt>
                <c:pt idx="72">
                  <c:v>21.599999999999998</c:v>
                </c:pt>
                <c:pt idx="73">
                  <c:v>21.9</c:v>
                </c:pt>
                <c:pt idx="74">
                  <c:v>22.2</c:v>
                </c:pt>
                <c:pt idx="75">
                  <c:v>22.5</c:v>
                </c:pt>
                <c:pt idx="76">
                  <c:v>22.8</c:v>
                </c:pt>
                <c:pt idx="77">
                  <c:v>23.1</c:v>
                </c:pt>
                <c:pt idx="78">
                  <c:v>23.400000000000002</c:v>
                </c:pt>
                <c:pt idx="79">
                  <c:v>23.700000000000003</c:v>
                </c:pt>
                <c:pt idx="80">
                  <c:v>24</c:v>
                </c:pt>
                <c:pt idx="81">
                  <c:v>24.3</c:v>
                </c:pt>
                <c:pt idx="82">
                  <c:v>24.599999999999998</c:v>
                </c:pt>
                <c:pt idx="83">
                  <c:v>24.9</c:v>
                </c:pt>
                <c:pt idx="84">
                  <c:v>25.2</c:v>
                </c:pt>
                <c:pt idx="85">
                  <c:v>25.5</c:v>
                </c:pt>
                <c:pt idx="86">
                  <c:v>25.8</c:v>
                </c:pt>
                <c:pt idx="87">
                  <c:v>26.1</c:v>
                </c:pt>
                <c:pt idx="88">
                  <c:v>26.4</c:v>
                </c:pt>
                <c:pt idx="89">
                  <c:v>26.7</c:v>
                </c:pt>
                <c:pt idx="90">
                  <c:v>27</c:v>
                </c:pt>
                <c:pt idx="91">
                  <c:v>27.3</c:v>
                </c:pt>
                <c:pt idx="92">
                  <c:v>27.6</c:v>
                </c:pt>
                <c:pt idx="93">
                  <c:v>27.900000000000002</c:v>
                </c:pt>
                <c:pt idx="94">
                  <c:v>28.2</c:v>
                </c:pt>
                <c:pt idx="95">
                  <c:v>28.5</c:v>
                </c:pt>
                <c:pt idx="96">
                  <c:v>28.799999999999997</c:v>
                </c:pt>
                <c:pt idx="97">
                  <c:v>29.099999999999998</c:v>
                </c:pt>
                <c:pt idx="98">
                  <c:v>29.4</c:v>
                </c:pt>
                <c:pt idx="99">
                  <c:v>29.7</c:v>
                </c:pt>
                <c:pt idx="100">
                  <c:v>30</c:v>
                </c:pt>
              </c:numCache>
            </c:numRef>
          </c:xVal>
          <c:yVal>
            <c:numRef>
              <c:f>'Power Calculations'!$Y$9:$Y$109</c:f>
              <c:numCache>
                <c:formatCode>General</c:formatCode>
                <c:ptCount val="101"/>
                <c:pt idx="0">
                  <c:v>6.757916984457589E-2</c:v>
                </c:pt>
                <c:pt idx="1">
                  <c:v>7.321004574682298E-2</c:v>
                </c:pt>
                <c:pt idx="2">
                  <c:v>7.9244084185043709E-2</c:v>
                </c:pt>
                <c:pt idx="3">
                  <c:v>8.5683022598071923E-2</c:v>
                </c:pt>
                <c:pt idx="4">
                  <c:v>9.2528793144484256E-2</c:v>
                </c:pt>
                <c:pt idx="5">
                  <c:v>9.9783524556497569E-2</c:v>
                </c:pt>
                <c:pt idx="6">
                  <c:v>0.10744954423211218</c:v>
                </c:pt>
                <c:pt idx="7">
                  <c:v>0.11552938056967504</c:v>
                </c:pt>
                <c:pt idx="8">
                  <c:v>0.1240257655495898</c:v>
                </c:pt>
                <c:pt idx="9">
                  <c:v>0.13294163756847349</c:v>
                </c:pt>
                <c:pt idx="10">
                  <c:v>0.14228014453164622</c:v>
                </c:pt>
                <c:pt idx="11">
                  <c:v>0.15204464721045152</c:v>
                </c:pt>
                <c:pt idx="12">
                  <c:v>0.16223872287153471</c:v>
                </c:pt>
                <c:pt idx="13">
                  <c:v>0.17286616918586634</c:v>
                </c:pt>
                <c:pt idx="14">
                  <c:v>0.18393100842597893</c:v>
                </c:pt>
                <c:pt idx="15">
                  <c:v>0.19543749196060389</c:v>
                </c:pt>
                <c:pt idx="16">
                  <c:v>0.20739010505664116</c:v>
                </c:pt>
                <c:pt idx="17">
                  <c:v>0.22249727080067691</c:v>
                </c:pt>
                <c:pt idx="18">
                  <c:v>0.23852533822444608</c:v>
                </c:pt>
                <c:pt idx="19">
                  <c:v>0.25502413420561482</c:v>
                </c:pt>
                <c:pt idx="20">
                  <c:v>0.27199995127489052</c:v>
                </c:pt>
                <c:pt idx="21">
                  <c:v>0.28945935543983137</c:v>
                </c:pt>
                <c:pt idx="22">
                  <c:v>0.30740919384731846</c:v>
                </c:pt>
                <c:pt idx="23">
                  <c:v>0.3258566028691483</c:v>
                </c:pt>
                <c:pt idx="24">
                  <c:v>0.34480901662989566</c:v>
                </c:pt>
                <c:pt idx="25">
                  <c:v>0.36427417599748813</c:v>
                </c:pt>
                <c:pt idx="26">
                  <c:v>0.384260138058302</c:v>
                </c:pt>
                <c:pt idx="27">
                  <c:v>0.40477528610006214</c:v>
                </c:pt>
                <c:pt idx="28">
                  <c:v>0.4258283401273808</c:v>
                </c:pt>
                <c:pt idx="29">
                  <c:v>0.44742836793643315</c:v>
                </c:pt>
                <c:pt idx="30">
                  <c:v>0.46958479677704729</c:v>
                </c:pt>
                <c:pt idx="31">
                  <c:v>0.49230742563237667</c:v>
                </c:pt>
                <c:pt idx="32">
                  <c:v>0.51560643814835661</c:v>
                </c:pt>
                <c:pt idx="33">
                  <c:v>0.53949241624731326</c:v>
                </c:pt>
                <c:pt idx="34">
                  <c:v>0.56397635446241512</c:v>
                </c:pt>
                <c:pt idx="35">
                  <c:v>0.58906967503215579</c:v>
                </c:pt>
                <c:pt idx="36">
                  <c:v>0.61478424379671892</c:v>
                </c:pt>
                <c:pt idx="37">
                  <c:v>0.64113238694095021</c:v>
                </c:pt>
                <c:pt idx="38">
                  <c:v>0.66812690863174007</c:v>
                </c:pt>
                <c:pt idx="39">
                  <c:v>0.69578110960092809</c:v>
                </c:pt>
                <c:pt idx="40">
                  <c:v>0.72410880672840816</c:v>
                </c:pt>
                <c:pt idx="41">
                  <c:v>0.75312435368394492</c:v>
                </c:pt>
                <c:pt idx="42">
                  <c:v>0.7828426626903372</c:v>
                </c:pt>
                <c:pt idx="43">
                  <c:v>0.81327922747502746</c:v>
                </c:pt>
                <c:pt idx="44">
                  <c:v>0.84445014748204994</c:v>
                </c:pt>
                <c:pt idx="45">
                  <c:v>0.87637215342140418</c:v>
                </c:pt>
                <c:pt idx="46">
                  <c:v>0.90906263423853639</c:v>
                </c:pt>
                <c:pt idx="47">
                  <c:v>0.94253966559267766</c:v>
                </c:pt>
                <c:pt idx="48">
                  <c:v>0.9768220399393307</c:v>
                </c:pt>
                <c:pt idx="49">
                  <c:v>1.0119292983193087</c:v>
                </c:pt>
                <c:pt idx="50">
                  <c:v>1.0478817639644036</c:v>
                </c:pt>
                <c:pt idx="51">
                  <c:v>1.0847005778381187</c:v>
                </c:pt>
                <c:pt idx="52">
                  <c:v>1.1224077362389313</c:v>
                </c:pt>
                <c:pt idx="53">
                  <c:v>1.1610261306034035</c:v>
                </c:pt>
                <c:pt idx="54">
                  <c:v>1.2005795896571205</c:v>
                </c:pt>
                <c:pt idx="55">
                  <c:v>1.2410929240730797</c:v>
                </c:pt>
                <c:pt idx="56">
                  <c:v>1.2825919738097982</c:v>
                </c:pt>
                <c:pt idx="57">
                  <c:v>1.3251036583151985</c:v>
                </c:pt>
                <c:pt idx="58">
                  <c:v>1.3686560297973722</c:v>
                </c:pt>
                <c:pt idx="59">
                  <c:v>1.4132783297797291</c:v>
                </c:pt>
                <c:pt idx="60">
                  <c:v>1.4590010491759886</c:v>
                </c:pt>
                <c:pt idx="61">
                  <c:v>1.5058559921400589</c:v>
                </c:pt>
                <c:pt idx="62">
                  <c:v>1.5538763439673111</c:v>
                </c:pt>
                <c:pt idx="63">
                  <c:v>1.6030967433472849</c:v>
                </c:pt>
                <c:pt idx="64">
                  <c:v>1.6535533592936049</c:v>
                </c:pt>
                <c:pt idx="65">
                  <c:v>1.7052839731051967</c:v>
                </c:pt>
                <c:pt idx="66">
                  <c:v>1.7583280657439662</c:v>
                </c:pt>
                <c:pt idx="67">
                  <c:v>1.8127269110482751</c:v>
                </c:pt>
                <c:pt idx="68">
                  <c:v>1.8685236752391743</c:v>
                </c:pt>
                <c:pt idx="69">
                  <c:v>1.9257635232178008</c:v>
                </c:pt>
                <c:pt idx="70">
                  <c:v>1.9844937321981164</c:v>
                </c:pt>
                <c:pt idx="71">
                  <c:v>2.0447638132695936</c:v>
                </c:pt>
                <c:pt idx="72">
                  <c:v>2.1066256415403926</c:v>
                </c:pt>
                <c:pt idx="73">
                  <c:v>2.1701335955732826</c:v>
                </c:pt>
                <c:pt idx="74">
                  <c:v>2.2353447068951025</c:v>
                </c:pt>
                <c:pt idx="75">
                  <c:v>2.3023188204365019</c:v>
                </c:pt>
                <c:pt idx="76">
                  <c:v>2.3711187668431095</c:v>
                </c:pt>
                <c:pt idx="77">
                  <c:v>2.4418105476931173</c:v>
                </c:pt>
                <c:pt idx="78">
                  <c:v>2.5144635347608113</c:v>
                </c:pt>
                <c:pt idx="79">
                  <c:v>2.5891506845820831</c:v>
                </c:pt>
                <c:pt idx="80">
                  <c:v>2.6659487697080997</c:v>
                </c:pt>
                <c:pt idx="81">
                  <c:v>2.7449386281787795</c:v>
                </c:pt>
                <c:pt idx="82">
                  <c:v>2.8262054329105717</c:v>
                </c:pt>
                <c:pt idx="83">
                  <c:v>2.9098389828757201</c:v>
                </c:pt>
                <c:pt idx="84">
                  <c:v>2.9959340181551619</c:v>
                </c:pt>
                <c:pt idx="85">
                  <c:v>3.0845905611779116</c:v>
                </c:pt>
                <c:pt idx="86">
                  <c:v>3.1759142867194847</c:v>
                </c:pt>
                <c:pt idx="87">
                  <c:v>3.2700169235248837</c:v>
                </c:pt>
                <c:pt idx="88">
                  <c:v>3.3670166907529091</c:v>
                </c:pt>
                <c:pt idx="89">
                  <c:v>3.4670387728132028</c:v>
                </c:pt>
                <c:pt idx="90">
                  <c:v>3.5702158365924586</c:v>
                </c:pt>
                <c:pt idx="91">
                  <c:v>3.6766885955488928</c:v>
                </c:pt>
                <c:pt idx="92">
                  <c:v>3.7866064257033085</c:v>
                </c:pt>
                <c:pt idx="93">
                  <c:v>3.9001280391813862</c:v>
                </c:pt>
                <c:pt idx="94">
                  <c:v>4.0174222216770694</c:v>
                </c:pt>
                <c:pt idx="95">
                  <c:v>4.1386686410257729</c:v>
                </c:pt>
                <c:pt idx="96">
                  <c:v>4.2640587350152366</c:v>
                </c:pt>
                <c:pt idx="97">
                  <c:v>4.3937966876412586</c:v>
                </c:pt>
                <c:pt idx="98">
                  <c:v>4.528100504258977</c:v>
                </c:pt>
                <c:pt idx="99">
                  <c:v>4.6672031975159047</c:v>
                </c:pt>
                <c:pt idx="100">
                  <c:v>4.8113540976142328</c:v>
                </c:pt>
              </c:numCache>
            </c:numRef>
          </c:yVal>
          <c:smooth val="0"/>
          <c:extLst>
            <c:ext xmlns:c16="http://schemas.microsoft.com/office/drawing/2014/chart" uri="{C3380CC4-5D6E-409C-BE32-E72D297353CC}">
              <c16:uniqueId val="{00000000-32D4-B740-AB59-332F89A2A2C0}"/>
            </c:ext>
          </c:extLst>
        </c:ser>
        <c:ser>
          <c:idx val="3"/>
          <c:order val="1"/>
          <c:tx>
            <c:v>Bottom FET</c:v>
          </c:tx>
          <c:spPr>
            <a:ln w="25400">
              <a:solidFill>
                <a:srgbClr val="FF0000"/>
              </a:solidFill>
              <a:prstDash val="solid"/>
            </a:ln>
          </c:spPr>
          <c:marker>
            <c:symbol val="none"/>
          </c:marker>
          <c:xVal>
            <c:numRef>
              <c:f>'Power Calculations'!$H$9:$H$109</c:f>
              <c:numCache>
                <c:formatCode>General</c:formatCode>
                <c:ptCount val="101"/>
                <c:pt idx="0">
                  <c:v>0</c:v>
                </c:pt>
                <c:pt idx="1">
                  <c:v>0.3</c:v>
                </c:pt>
                <c:pt idx="2">
                  <c:v>0.6</c:v>
                </c:pt>
                <c:pt idx="3">
                  <c:v>0.89999999999999991</c:v>
                </c:pt>
                <c:pt idx="4">
                  <c:v>1.2</c:v>
                </c:pt>
                <c:pt idx="5">
                  <c:v>1.5</c:v>
                </c:pt>
                <c:pt idx="6">
                  <c:v>1.7999999999999998</c:v>
                </c:pt>
                <c:pt idx="7">
                  <c:v>2.1</c:v>
                </c:pt>
                <c:pt idx="8">
                  <c:v>2.4</c:v>
                </c:pt>
                <c:pt idx="9">
                  <c:v>2.6999999999999997</c:v>
                </c:pt>
                <c:pt idx="10">
                  <c:v>3</c:v>
                </c:pt>
                <c:pt idx="11">
                  <c:v>3.3</c:v>
                </c:pt>
                <c:pt idx="12">
                  <c:v>3.5999999999999996</c:v>
                </c:pt>
                <c:pt idx="13">
                  <c:v>3.9000000000000004</c:v>
                </c:pt>
                <c:pt idx="14">
                  <c:v>4.2</c:v>
                </c:pt>
                <c:pt idx="15">
                  <c:v>4.5</c:v>
                </c:pt>
                <c:pt idx="16">
                  <c:v>4.8</c:v>
                </c:pt>
                <c:pt idx="17">
                  <c:v>5.1000000000000005</c:v>
                </c:pt>
                <c:pt idx="18">
                  <c:v>5.3999999999999995</c:v>
                </c:pt>
                <c:pt idx="19">
                  <c:v>5.7</c:v>
                </c:pt>
                <c:pt idx="20">
                  <c:v>6</c:v>
                </c:pt>
                <c:pt idx="21">
                  <c:v>6.3</c:v>
                </c:pt>
                <c:pt idx="22">
                  <c:v>6.6</c:v>
                </c:pt>
                <c:pt idx="23">
                  <c:v>6.9</c:v>
                </c:pt>
                <c:pt idx="24">
                  <c:v>7.1999999999999993</c:v>
                </c:pt>
                <c:pt idx="25">
                  <c:v>7.5</c:v>
                </c:pt>
                <c:pt idx="26">
                  <c:v>7.8000000000000007</c:v>
                </c:pt>
                <c:pt idx="27">
                  <c:v>8.1000000000000014</c:v>
                </c:pt>
                <c:pt idx="28">
                  <c:v>8.4</c:v>
                </c:pt>
                <c:pt idx="29">
                  <c:v>8.6999999999999993</c:v>
                </c:pt>
                <c:pt idx="30">
                  <c:v>9</c:v>
                </c:pt>
                <c:pt idx="31">
                  <c:v>9.3000000000000007</c:v>
                </c:pt>
                <c:pt idx="32">
                  <c:v>9.6</c:v>
                </c:pt>
                <c:pt idx="33">
                  <c:v>9.9</c:v>
                </c:pt>
                <c:pt idx="34">
                  <c:v>10.200000000000001</c:v>
                </c:pt>
                <c:pt idx="35">
                  <c:v>10.5</c:v>
                </c:pt>
                <c:pt idx="36">
                  <c:v>10.799999999999999</c:v>
                </c:pt>
                <c:pt idx="37">
                  <c:v>11.1</c:v>
                </c:pt>
                <c:pt idx="38">
                  <c:v>11.4</c:v>
                </c:pt>
                <c:pt idx="39">
                  <c:v>11.700000000000001</c:v>
                </c:pt>
                <c:pt idx="40">
                  <c:v>12</c:v>
                </c:pt>
                <c:pt idx="41">
                  <c:v>12.299999999999999</c:v>
                </c:pt>
                <c:pt idx="42">
                  <c:v>12.6</c:v>
                </c:pt>
                <c:pt idx="43">
                  <c:v>12.9</c:v>
                </c:pt>
                <c:pt idx="44">
                  <c:v>13.2</c:v>
                </c:pt>
                <c:pt idx="45">
                  <c:v>13.5</c:v>
                </c:pt>
                <c:pt idx="46">
                  <c:v>13.8</c:v>
                </c:pt>
                <c:pt idx="47">
                  <c:v>14.1</c:v>
                </c:pt>
                <c:pt idx="48">
                  <c:v>14.399999999999999</c:v>
                </c:pt>
                <c:pt idx="49">
                  <c:v>14.7</c:v>
                </c:pt>
                <c:pt idx="50">
                  <c:v>15</c:v>
                </c:pt>
                <c:pt idx="51">
                  <c:v>15.3</c:v>
                </c:pt>
                <c:pt idx="52">
                  <c:v>15.600000000000001</c:v>
                </c:pt>
                <c:pt idx="53">
                  <c:v>15.9</c:v>
                </c:pt>
                <c:pt idx="54">
                  <c:v>16.200000000000003</c:v>
                </c:pt>
                <c:pt idx="55">
                  <c:v>16.5</c:v>
                </c:pt>
                <c:pt idx="56">
                  <c:v>16.8</c:v>
                </c:pt>
                <c:pt idx="57">
                  <c:v>17.099999999999998</c:v>
                </c:pt>
                <c:pt idx="58">
                  <c:v>17.399999999999999</c:v>
                </c:pt>
                <c:pt idx="59">
                  <c:v>17.7</c:v>
                </c:pt>
                <c:pt idx="60">
                  <c:v>18</c:v>
                </c:pt>
                <c:pt idx="61">
                  <c:v>18.3</c:v>
                </c:pt>
                <c:pt idx="62">
                  <c:v>18.600000000000001</c:v>
                </c:pt>
                <c:pt idx="63">
                  <c:v>18.899999999999999</c:v>
                </c:pt>
                <c:pt idx="64">
                  <c:v>19.2</c:v>
                </c:pt>
                <c:pt idx="65">
                  <c:v>19.5</c:v>
                </c:pt>
                <c:pt idx="66">
                  <c:v>19.8</c:v>
                </c:pt>
                <c:pt idx="67">
                  <c:v>20.100000000000001</c:v>
                </c:pt>
                <c:pt idx="68">
                  <c:v>20.400000000000002</c:v>
                </c:pt>
                <c:pt idx="69">
                  <c:v>20.7</c:v>
                </c:pt>
                <c:pt idx="70">
                  <c:v>21</c:v>
                </c:pt>
                <c:pt idx="71">
                  <c:v>21.299999999999997</c:v>
                </c:pt>
                <c:pt idx="72">
                  <c:v>21.599999999999998</c:v>
                </c:pt>
                <c:pt idx="73">
                  <c:v>21.9</c:v>
                </c:pt>
                <c:pt idx="74">
                  <c:v>22.2</c:v>
                </c:pt>
                <c:pt idx="75">
                  <c:v>22.5</c:v>
                </c:pt>
                <c:pt idx="76">
                  <c:v>22.8</c:v>
                </c:pt>
                <c:pt idx="77">
                  <c:v>23.1</c:v>
                </c:pt>
                <c:pt idx="78">
                  <c:v>23.400000000000002</c:v>
                </c:pt>
                <c:pt idx="79">
                  <c:v>23.700000000000003</c:v>
                </c:pt>
                <c:pt idx="80">
                  <c:v>24</c:v>
                </c:pt>
                <c:pt idx="81">
                  <c:v>24.3</c:v>
                </c:pt>
                <c:pt idx="82">
                  <c:v>24.599999999999998</c:v>
                </c:pt>
                <c:pt idx="83">
                  <c:v>24.9</c:v>
                </c:pt>
                <c:pt idx="84">
                  <c:v>25.2</c:v>
                </c:pt>
                <c:pt idx="85">
                  <c:v>25.5</c:v>
                </c:pt>
                <c:pt idx="86">
                  <c:v>25.8</c:v>
                </c:pt>
                <c:pt idx="87">
                  <c:v>26.1</c:v>
                </c:pt>
                <c:pt idx="88">
                  <c:v>26.4</c:v>
                </c:pt>
                <c:pt idx="89">
                  <c:v>26.7</c:v>
                </c:pt>
                <c:pt idx="90">
                  <c:v>27</c:v>
                </c:pt>
                <c:pt idx="91">
                  <c:v>27.3</c:v>
                </c:pt>
                <c:pt idx="92">
                  <c:v>27.6</c:v>
                </c:pt>
                <c:pt idx="93">
                  <c:v>27.900000000000002</c:v>
                </c:pt>
                <c:pt idx="94">
                  <c:v>28.2</c:v>
                </c:pt>
                <c:pt idx="95">
                  <c:v>28.5</c:v>
                </c:pt>
                <c:pt idx="96">
                  <c:v>28.799999999999997</c:v>
                </c:pt>
                <c:pt idx="97">
                  <c:v>29.099999999999998</c:v>
                </c:pt>
                <c:pt idx="98">
                  <c:v>29.4</c:v>
                </c:pt>
                <c:pt idx="99">
                  <c:v>29.7</c:v>
                </c:pt>
                <c:pt idx="100">
                  <c:v>30</c:v>
                </c:pt>
              </c:numCache>
            </c:numRef>
          </c:xVal>
          <c:yVal>
            <c:numRef>
              <c:f>'Power Calculations'!$AC$9:$AC$109</c:f>
              <c:numCache>
                <c:formatCode>General</c:formatCode>
                <c:ptCount val="101"/>
                <c:pt idx="0">
                  <c:v>9.988928068949314E-2</c:v>
                </c:pt>
                <c:pt idx="1">
                  <c:v>0.10594797201697781</c:v>
                </c:pt>
                <c:pt idx="2">
                  <c:v>0.11207922478344369</c:v>
                </c:pt>
                <c:pt idx="3">
                  <c:v>0.11828326820644929</c:v>
                </c:pt>
                <c:pt idx="4">
                  <c:v>0.1245603375333724</c:v>
                </c:pt>
                <c:pt idx="5">
                  <c:v>0.13091067407058249</c:v>
                </c:pt>
                <c:pt idx="6">
                  <c:v>0.13733452521387163</c:v>
                </c:pt>
                <c:pt idx="7">
                  <c:v>0.14383214448015186</c:v>
                </c:pt>
                <c:pt idx="8">
                  <c:v>0.15040379154042868</c:v>
                </c:pt>
                <c:pt idx="9">
                  <c:v>0.1570497322540578</c:v>
                </c:pt>
                <c:pt idx="10">
                  <c:v>0.16377023870429652</c:v>
                </c:pt>
                <c:pt idx="11">
                  <c:v>0.17056558923515799</c:v>
                </c:pt>
                <c:pt idx="12">
                  <c:v>0.17743606848957977</c:v>
                </c:pt>
                <c:pt idx="13">
                  <c:v>0.18438196744891774</c:v>
                </c:pt>
                <c:pt idx="14">
                  <c:v>0.19140358347377653</c:v>
                </c:pt>
                <c:pt idx="15">
                  <c:v>0.19850122034618822</c:v>
                </c:pt>
                <c:pt idx="16">
                  <c:v>0.20567518831315265</c:v>
                </c:pt>
                <c:pt idx="17">
                  <c:v>0.2129258041315519</c:v>
                </c:pt>
                <c:pt idx="18">
                  <c:v>0.2202533911144525</c:v>
                </c:pt>
                <c:pt idx="19">
                  <c:v>0.22765827917881018</c:v>
                </c:pt>
                <c:pt idx="20">
                  <c:v>0.23514080489459122</c:v>
                </c:pt>
                <c:pt idx="21">
                  <c:v>0.2427013115353259</c:v>
                </c:pt>
                <c:pt idx="22">
                  <c:v>0.25034014913011071</c:v>
                </c:pt>
                <c:pt idx="23">
                  <c:v>0.2580576745170744</c:v>
                </c:pt>
                <c:pt idx="24">
                  <c:v>0.26585425139832608</c:v>
                </c:pt>
                <c:pt idx="25">
                  <c:v>0.27373025039640325</c:v>
                </c:pt>
                <c:pt idx="26">
                  <c:v>0.28168604911223627</c:v>
                </c:pt>
                <c:pt idx="27">
                  <c:v>0.28972203218465048</c:v>
                </c:pt>
                <c:pt idx="28">
                  <c:v>0.29783859135142432</c:v>
                </c:pt>
                <c:pt idx="29">
                  <c:v>0.30603612551192322</c:v>
                </c:pt>
                <c:pt idx="30">
                  <c:v>0.31431504079133155</c:v>
                </c:pt>
                <c:pt idx="31">
                  <c:v>0.32267575060650261</c:v>
                </c:pt>
                <c:pt idx="32">
                  <c:v>0.33111867573344955</c:v>
                </c:pt>
                <c:pt idx="33">
                  <c:v>0.33964424437650093</c:v>
                </c:pt>
                <c:pt idx="34">
                  <c:v>0.34825289223914269</c:v>
                </c:pt>
                <c:pt idx="35">
                  <c:v>0.35694506259657216</c:v>
                </c:pt>
                <c:pt idx="36">
                  <c:v>0.36572120636998934</c:v>
                </c:pt>
                <c:pt idx="37">
                  <c:v>0.37458178220265037</c:v>
                </c:pt>
                <c:pt idx="38">
                  <c:v>0.38352725653770975</c:v>
                </c:pt>
                <c:pt idx="39">
                  <c:v>0.39255810369787969</c:v>
                </c:pt>
                <c:pt idx="40">
                  <c:v>0.40167480596693378</c:v>
                </c:pt>
                <c:pt idx="41">
                  <c:v>0.41087785367308438</c:v>
                </c:pt>
                <c:pt idx="42">
                  <c:v>0.42016774527426332</c:v>
                </c:pt>
                <c:pt idx="43">
                  <c:v>0.42954498744533609</c:v>
                </c:pt>
                <c:pt idx="44">
                  <c:v>0.43901009516728218</c:v>
                </c:pt>
                <c:pt idx="45">
                  <c:v>0.44856359181837296</c:v>
                </c:pt>
                <c:pt idx="46">
                  <c:v>0.45820600926738064</c:v>
                </c:pt>
                <c:pt idx="47">
                  <c:v>0.46793788796885255</c:v>
                </c:pt>
                <c:pt idx="48">
                  <c:v>0.47775977706048578</c:v>
                </c:pt>
                <c:pt idx="49">
                  <c:v>0.48767223446263935</c:v>
                </c:pt>
                <c:pt idx="50">
                  <c:v>0.49767582698001817</c:v>
                </c:pt>
                <c:pt idx="51">
                  <c:v>0.50777113040557087</c:v>
                </c:pt>
                <c:pt idx="52">
                  <c:v>0.51795872962663791</c:v>
                </c:pt>
                <c:pt idx="53">
                  <c:v>0.52823921873338953</c:v>
                </c:pt>
                <c:pt idx="54">
                  <c:v>0.53861320112960021</c:v>
                </c:pt>
                <c:pt idx="55">
                  <c:v>0.54908128964579217</c:v>
                </c:pt>
                <c:pt idx="56">
                  <c:v>0.55964410665480435</c:v>
                </c:pt>
                <c:pt idx="57">
                  <c:v>0.57030228418981843</c:v>
                </c:pt>
                <c:pt idx="58">
                  <c:v>0.58105646406489919</c:v>
                </c:pt>
                <c:pt idx="59">
                  <c:v>0.59190729799808806</c:v>
                </c:pt>
                <c:pt idx="60">
                  <c:v>0.60285544773710298</c:v>
                </c:pt>
                <c:pt idx="61">
                  <c:v>0.61390158518769367</c:v>
                </c:pt>
                <c:pt idx="62">
                  <c:v>0.62504639254470173</c:v>
                </c:pt>
                <c:pt idx="63">
                  <c:v>0.63629056242587889</c:v>
                </c:pt>
                <c:pt idx="64">
                  <c:v>0.6476347980085182</c:v>
                </c:pt>
                <c:pt idx="65">
                  <c:v>0.65907981316895281</c:v>
                </c:pt>
                <c:pt idx="66">
                  <c:v>0.67062633262497717</c:v>
                </c:pt>
                <c:pt idx="67">
                  <c:v>0.68227509208125314</c:v>
                </c:pt>
                <c:pt idx="68">
                  <c:v>0.69402683837775592</c:v>
                </c:pt>
                <c:pt idx="69">
                  <c:v>0.70588232964132624</c:v>
                </c:pt>
                <c:pt idx="70">
                  <c:v>0.71784233544038811</c:v>
                </c:pt>
                <c:pt idx="71">
                  <c:v>0.7299076369428954</c:v>
                </c:pt>
                <c:pt idx="72">
                  <c:v>0.74207902707758266</c:v>
                </c:pt>
                <c:pt idx="73">
                  <c:v>0.75435731069857581</c:v>
                </c:pt>
                <c:pt idx="74">
                  <c:v>0.7667433047534421</c:v>
                </c:pt>
                <c:pt idx="75">
                  <c:v>0.77923783845474881</c:v>
                </c:pt>
                <c:pt idx="76">
                  <c:v>0.79184175345520269</c:v>
                </c:pt>
                <c:pt idx="77">
                  <c:v>0.80455590402644717</c:v>
                </c:pt>
                <c:pt idx="78">
                  <c:v>0.81738115724159732</c:v>
                </c:pt>
                <c:pt idx="79">
                  <c:v>0.83031839316158873</c:v>
                </c:pt>
                <c:pt idx="80">
                  <c:v>0.84336850502542382</c:v>
                </c:pt>
                <c:pt idx="81">
                  <c:v>0.85653239944440385</c:v>
                </c:pt>
                <c:pt idx="82">
                  <c:v>0.86981099660042571</c:v>
                </c:pt>
                <c:pt idx="83">
                  <c:v>0.88320523044844013</c:v>
                </c:pt>
                <c:pt idx="84">
                  <c:v>0.89671604892315537</c:v>
                </c:pt>
                <c:pt idx="85">
                  <c:v>0.9103444141500886</c:v>
                </c:pt>
                <c:pt idx="86">
                  <c:v>0.92409130266105288</c:v>
                </c:pt>
                <c:pt idx="87">
                  <c:v>0.93795770561418601</c:v>
                </c:pt>
                <c:pt idx="88">
                  <c:v>0.95194462901861621</c:v>
                </c:pt>
                <c:pt idx="89">
                  <c:v>0.96605309396387673</c:v>
                </c:pt>
                <c:pt idx="90">
                  <c:v>0.98028413685416949</c:v>
                </c:pt>
                <c:pt idx="91">
                  <c:v>0.99463880964759344</c:v>
                </c:pt>
                <c:pt idx="92">
                  <c:v>1.0091181801004476</c:v>
                </c:pt>
                <c:pt idx="93">
                  <c:v>1.0237233320167287</c:v>
                </c:pt>
                <c:pt idx="94">
                  <c:v>1.0384553655029387</c:v>
                </c:pt>
                <c:pt idx="95">
                  <c:v>1.0533153972283305</c:v>
                </c:pt>
                <c:pt idx="96">
                  <c:v>1.0683045606907129</c:v>
                </c:pt>
                <c:pt idx="97">
                  <c:v>1.083424006487951</c:v>
                </c:pt>
                <c:pt idx="98">
                  <c:v>1.0986749025952891</c:v>
                </c:pt>
                <c:pt idx="99">
                  <c:v>1.114058434648638</c:v>
                </c:pt>
                <c:pt idx="100">
                  <c:v>1.1295758062339689</c:v>
                </c:pt>
              </c:numCache>
            </c:numRef>
          </c:yVal>
          <c:smooth val="0"/>
          <c:extLst>
            <c:ext xmlns:c16="http://schemas.microsoft.com/office/drawing/2014/chart" uri="{C3380CC4-5D6E-409C-BE32-E72D297353CC}">
              <c16:uniqueId val="{00000001-32D4-B740-AB59-332F89A2A2C0}"/>
            </c:ext>
          </c:extLst>
        </c:ser>
        <c:ser>
          <c:idx val="0"/>
          <c:order val="2"/>
          <c:tx>
            <c:v>Inductor Loss</c:v>
          </c:tx>
          <c:spPr>
            <a:ln w="38100">
              <a:solidFill>
                <a:srgbClr val="FF6600"/>
              </a:solidFill>
              <a:prstDash val="solid"/>
            </a:ln>
          </c:spPr>
          <c:marker>
            <c:symbol val="none"/>
          </c:marker>
          <c:xVal>
            <c:numRef>
              <c:f>'Power Calculations'!$H$9:$H$109</c:f>
              <c:numCache>
                <c:formatCode>General</c:formatCode>
                <c:ptCount val="101"/>
                <c:pt idx="0">
                  <c:v>0</c:v>
                </c:pt>
                <c:pt idx="1">
                  <c:v>0.3</c:v>
                </c:pt>
                <c:pt idx="2">
                  <c:v>0.6</c:v>
                </c:pt>
                <c:pt idx="3">
                  <c:v>0.89999999999999991</c:v>
                </c:pt>
                <c:pt idx="4">
                  <c:v>1.2</c:v>
                </c:pt>
                <c:pt idx="5">
                  <c:v>1.5</c:v>
                </c:pt>
                <c:pt idx="6">
                  <c:v>1.7999999999999998</c:v>
                </c:pt>
                <c:pt idx="7">
                  <c:v>2.1</c:v>
                </c:pt>
                <c:pt idx="8">
                  <c:v>2.4</c:v>
                </c:pt>
                <c:pt idx="9">
                  <c:v>2.6999999999999997</c:v>
                </c:pt>
                <c:pt idx="10">
                  <c:v>3</c:v>
                </c:pt>
                <c:pt idx="11">
                  <c:v>3.3</c:v>
                </c:pt>
                <c:pt idx="12">
                  <c:v>3.5999999999999996</c:v>
                </c:pt>
                <c:pt idx="13">
                  <c:v>3.9000000000000004</c:v>
                </c:pt>
                <c:pt idx="14">
                  <c:v>4.2</c:v>
                </c:pt>
                <c:pt idx="15">
                  <c:v>4.5</c:v>
                </c:pt>
                <c:pt idx="16">
                  <c:v>4.8</c:v>
                </c:pt>
                <c:pt idx="17">
                  <c:v>5.1000000000000005</c:v>
                </c:pt>
                <c:pt idx="18">
                  <c:v>5.3999999999999995</c:v>
                </c:pt>
                <c:pt idx="19">
                  <c:v>5.7</c:v>
                </c:pt>
                <c:pt idx="20">
                  <c:v>6</c:v>
                </c:pt>
                <c:pt idx="21">
                  <c:v>6.3</c:v>
                </c:pt>
                <c:pt idx="22">
                  <c:v>6.6</c:v>
                </c:pt>
                <c:pt idx="23">
                  <c:v>6.9</c:v>
                </c:pt>
                <c:pt idx="24">
                  <c:v>7.1999999999999993</c:v>
                </c:pt>
                <c:pt idx="25">
                  <c:v>7.5</c:v>
                </c:pt>
                <c:pt idx="26">
                  <c:v>7.8000000000000007</c:v>
                </c:pt>
                <c:pt idx="27">
                  <c:v>8.1000000000000014</c:v>
                </c:pt>
                <c:pt idx="28">
                  <c:v>8.4</c:v>
                </c:pt>
                <c:pt idx="29">
                  <c:v>8.6999999999999993</c:v>
                </c:pt>
                <c:pt idx="30">
                  <c:v>9</c:v>
                </c:pt>
                <c:pt idx="31">
                  <c:v>9.3000000000000007</c:v>
                </c:pt>
                <c:pt idx="32">
                  <c:v>9.6</c:v>
                </c:pt>
                <c:pt idx="33">
                  <c:v>9.9</c:v>
                </c:pt>
                <c:pt idx="34">
                  <c:v>10.200000000000001</c:v>
                </c:pt>
                <c:pt idx="35">
                  <c:v>10.5</c:v>
                </c:pt>
                <c:pt idx="36">
                  <c:v>10.799999999999999</c:v>
                </c:pt>
                <c:pt idx="37">
                  <c:v>11.1</c:v>
                </c:pt>
                <c:pt idx="38">
                  <c:v>11.4</c:v>
                </c:pt>
                <c:pt idx="39">
                  <c:v>11.700000000000001</c:v>
                </c:pt>
                <c:pt idx="40">
                  <c:v>12</c:v>
                </c:pt>
                <c:pt idx="41">
                  <c:v>12.299999999999999</c:v>
                </c:pt>
                <c:pt idx="42">
                  <c:v>12.6</c:v>
                </c:pt>
                <c:pt idx="43">
                  <c:v>12.9</c:v>
                </c:pt>
                <c:pt idx="44">
                  <c:v>13.2</c:v>
                </c:pt>
                <c:pt idx="45">
                  <c:v>13.5</c:v>
                </c:pt>
                <c:pt idx="46">
                  <c:v>13.8</c:v>
                </c:pt>
                <c:pt idx="47">
                  <c:v>14.1</c:v>
                </c:pt>
                <c:pt idx="48">
                  <c:v>14.399999999999999</c:v>
                </c:pt>
                <c:pt idx="49">
                  <c:v>14.7</c:v>
                </c:pt>
                <c:pt idx="50">
                  <c:v>15</c:v>
                </c:pt>
                <c:pt idx="51">
                  <c:v>15.3</c:v>
                </c:pt>
                <c:pt idx="52">
                  <c:v>15.600000000000001</c:v>
                </c:pt>
                <c:pt idx="53">
                  <c:v>15.9</c:v>
                </c:pt>
                <c:pt idx="54">
                  <c:v>16.200000000000003</c:v>
                </c:pt>
                <c:pt idx="55">
                  <c:v>16.5</c:v>
                </c:pt>
                <c:pt idx="56">
                  <c:v>16.8</c:v>
                </c:pt>
                <c:pt idx="57">
                  <c:v>17.099999999999998</c:v>
                </c:pt>
                <c:pt idx="58">
                  <c:v>17.399999999999999</c:v>
                </c:pt>
                <c:pt idx="59">
                  <c:v>17.7</c:v>
                </c:pt>
                <c:pt idx="60">
                  <c:v>18</c:v>
                </c:pt>
                <c:pt idx="61">
                  <c:v>18.3</c:v>
                </c:pt>
                <c:pt idx="62">
                  <c:v>18.600000000000001</c:v>
                </c:pt>
                <c:pt idx="63">
                  <c:v>18.899999999999999</c:v>
                </c:pt>
                <c:pt idx="64">
                  <c:v>19.2</c:v>
                </c:pt>
                <c:pt idx="65">
                  <c:v>19.5</c:v>
                </c:pt>
                <c:pt idx="66">
                  <c:v>19.8</c:v>
                </c:pt>
                <c:pt idx="67">
                  <c:v>20.100000000000001</c:v>
                </c:pt>
                <c:pt idx="68">
                  <c:v>20.400000000000002</c:v>
                </c:pt>
                <c:pt idx="69">
                  <c:v>20.7</c:v>
                </c:pt>
                <c:pt idx="70">
                  <c:v>21</c:v>
                </c:pt>
                <c:pt idx="71">
                  <c:v>21.299999999999997</c:v>
                </c:pt>
                <c:pt idx="72">
                  <c:v>21.599999999999998</c:v>
                </c:pt>
                <c:pt idx="73">
                  <c:v>21.9</c:v>
                </c:pt>
                <c:pt idx="74">
                  <c:v>22.2</c:v>
                </c:pt>
                <c:pt idx="75">
                  <c:v>22.5</c:v>
                </c:pt>
                <c:pt idx="76">
                  <c:v>22.8</c:v>
                </c:pt>
                <c:pt idx="77">
                  <c:v>23.1</c:v>
                </c:pt>
                <c:pt idx="78">
                  <c:v>23.400000000000002</c:v>
                </c:pt>
                <c:pt idx="79">
                  <c:v>23.700000000000003</c:v>
                </c:pt>
                <c:pt idx="80">
                  <c:v>24</c:v>
                </c:pt>
                <c:pt idx="81">
                  <c:v>24.3</c:v>
                </c:pt>
                <c:pt idx="82">
                  <c:v>24.599999999999998</c:v>
                </c:pt>
                <c:pt idx="83">
                  <c:v>24.9</c:v>
                </c:pt>
                <c:pt idx="84">
                  <c:v>25.2</c:v>
                </c:pt>
                <c:pt idx="85">
                  <c:v>25.5</c:v>
                </c:pt>
                <c:pt idx="86">
                  <c:v>25.8</c:v>
                </c:pt>
                <c:pt idx="87">
                  <c:v>26.1</c:v>
                </c:pt>
                <c:pt idx="88">
                  <c:v>26.4</c:v>
                </c:pt>
                <c:pt idx="89">
                  <c:v>26.7</c:v>
                </c:pt>
                <c:pt idx="90">
                  <c:v>27</c:v>
                </c:pt>
                <c:pt idx="91">
                  <c:v>27.3</c:v>
                </c:pt>
                <c:pt idx="92">
                  <c:v>27.6</c:v>
                </c:pt>
                <c:pt idx="93">
                  <c:v>27.900000000000002</c:v>
                </c:pt>
                <c:pt idx="94">
                  <c:v>28.2</c:v>
                </c:pt>
                <c:pt idx="95">
                  <c:v>28.5</c:v>
                </c:pt>
                <c:pt idx="96">
                  <c:v>28.799999999999997</c:v>
                </c:pt>
                <c:pt idx="97">
                  <c:v>29.099999999999998</c:v>
                </c:pt>
                <c:pt idx="98">
                  <c:v>29.4</c:v>
                </c:pt>
                <c:pt idx="99">
                  <c:v>29.7</c:v>
                </c:pt>
                <c:pt idx="100">
                  <c:v>30</c:v>
                </c:pt>
              </c:numCache>
            </c:numRef>
          </c:xVal>
          <c:yVal>
            <c:numRef>
              <c:f>'Power Calculations'!$N$9:$N$109</c:f>
              <c:numCache>
                <c:formatCode>0.00E+00</c:formatCode>
                <c:ptCount val="101"/>
                <c:pt idx="0">
                  <c:v>2.4922783535877339E-3</c:v>
                </c:pt>
                <c:pt idx="1">
                  <c:v>2.5217342424224136E-3</c:v>
                </c:pt>
                <c:pt idx="2">
                  <c:v>2.6088142297568603E-3</c:v>
                </c:pt>
                <c:pt idx="3">
                  <c:v>2.7535207237814135E-3</c:v>
                </c:pt>
                <c:pt idx="4">
                  <c:v>2.9558577264151191E-3</c:v>
                </c:pt>
                <c:pt idx="5">
                  <c:v>3.2158308335824273E-3</c:v>
                </c:pt>
                <c:pt idx="6">
                  <c:v>3.533447235600114E-3</c:v>
                </c:pt>
                <c:pt idx="7">
                  <c:v>3.9087157176744885E-3</c:v>
                </c:pt>
                <c:pt idx="8">
                  <c:v>4.3416466605089464E-3</c:v>
                </c:pt>
                <c:pt idx="9">
                  <c:v>4.8322520410219493E-3</c:v>
                </c:pt>
                <c:pt idx="10">
                  <c:v>5.3805454331755159E-3</c:v>
                </c:pt>
                <c:pt idx="11">
                  <c:v>5.9865420089143528E-3</c:v>
                </c:pt>
                <c:pt idx="12">
                  <c:v>6.6502585392156964E-3</c:v>
                </c:pt>
                <c:pt idx="13">
                  <c:v>7.3717133952500907E-3</c:v>
                </c:pt>
                <c:pt idx="14">
                  <c:v>8.1509265496531418E-3</c:v>
                </c:pt>
                <c:pt idx="15">
                  <c:v>8.987919577908508E-3</c:v>
                </c:pt>
                <c:pt idx="16">
                  <c:v>9.8827156598422262E-3</c:v>
                </c:pt>
                <c:pt idx="17">
                  <c:v>1.0835339581228669E-2</c:v>
                </c:pt>
                <c:pt idx="18">
                  <c:v>1.1845817735508187E-2</c:v>
                </c:pt>
                <c:pt idx="19">
                  <c:v>1.2914178125616845E-2</c:v>
                </c:pt>
                <c:pt idx="20">
                  <c:v>1.4040450365928327E-2</c:v>
                </c:pt>
                <c:pt idx="21">
                  <c:v>1.5224665684308327E-2</c:v>
                </c:pt>
                <c:pt idx="22">
                  <c:v>1.6466856924281775E-2</c:v>
                </c:pt>
                <c:pt idx="23">
                  <c:v>1.7767058547312985E-2</c:v>
                </c:pt>
                <c:pt idx="24">
                  <c:v>1.9125306635199187E-2</c:v>
                </c:pt>
                <c:pt idx="25">
                  <c:v>2.0541638892577731E-2</c:v>
                </c:pt>
                <c:pt idx="26">
                  <c:v>2.2016094649547232E-2</c:v>
                </c:pt>
                <c:pt idx="27">
                  <c:v>2.3548714864402933E-2</c:v>
                </c:pt>
                <c:pt idx="28">
                  <c:v>2.5139542126486898E-2</c:v>
                </c:pt>
                <c:pt idx="29">
                  <c:v>2.6788620659153127E-2</c:v>
                </c:pt>
                <c:pt idx="30">
                  <c:v>2.8495996322848136E-2</c:v>
                </c:pt>
                <c:pt idx="31">
                  <c:v>3.0261716618307295E-2</c:v>
                </c:pt>
                <c:pt idx="32">
                  <c:v>3.2085830689867471E-2</c:v>
                </c:pt>
                <c:pt idx="33">
                  <c:v>3.3968389328896349E-2</c:v>
                </c:pt>
                <c:pt idx="34">
                  <c:v>3.5909444977338834E-2</c:v>
                </c:pt>
                <c:pt idx="35">
                  <c:v>3.790905173138099E-2</c:v>
                </c:pt>
                <c:pt idx="36">
                  <c:v>3.9967265345232185E-2</c:v>
                </c:pt>
                <c:pt idx="37">
                  <c:v>4.2084143235025649E-2</c:v>
                </c:pt>
                <c:pt idx="38">
                  <c:v>4.4259744482838162E-2</c:v>
                </c:pt>
                <c:pt idx="39">
                  <c:v>4.6494129840829353E-2</c:v>
                </c:pt>
                <c:pt idx="40">
                  <c:v>4.8787361735501078E-2</c:v>
                </c:pt>
                <c:pt idx="41">
                  <c:v>5.1139504272077592E-2</c:v>
                </c:pt>
                <c:pt idx="42">
                  <c:v>5.3550623239006903E-2</c:v>
                </c:pt>
                <c:pt idx="43">
                  <c:v>5.6020786112584028E-2</c:v>
                </c:pt>
                <c:pt idx="44">
                  <c:v>5.8550062061696745E-2</c:v>
                </c:pt>
                <c:pt idx="45">
                  <c:v>6.1138521952694432E-2</c:v>
                </c:pt>
                <c:pt idx="46">
                  <c:v>6.3786238354380673E-2</c:v>
                </c:pt>
                <c:pt idx="47">
                  <c:v>6.6493285543130207E-2</c:v>
                </c:pt>
                <c:pt idx="48">
                  <c:v>6.9259739508131052E-2</c:v>
                </c:pt>
                <c:pt idx="49">
                  <c:v>7.2085677956752386E-2</c:v>
                </c:pt>
                <c:pt idx="50">
                  <c:v>7.4971180320038758E-2</c:v>
                </c:pt>
                <c:pt idx="51">
                  <c:v>7.7916327758331946E-2</c:v>
                </c:pt>
                <c:pt idx="52">
                  <c:v>8.0921203167020117E-2</c:v>
                </c:pt>
                <c:pt idx="53">
                  <c:v>8.3985891182416492E-2</c:v>
                </c:pt>
                <c:pt idx="54">
                  <c:v>8.7110478187766877E-2</c:v>
                </c:pt>
                <c:pt idx="55">
                  <c:v>9.0295052319387864E-2</c:v>
                </c:pt>
                <c:pt idx="56">
                  <c:v>9.3539703472936192E-2</c:v>
                </c:pt>
                <c:pt idx="57">
                  <c:v>9.6844523309809957E-2</c:v>
                </c:pt>
                <c:pt idx="58">
                  <c:v>0.1002096052636825</c:v>
                </c:pt>
                <c:pt idx="59">
                  <c:v>0.1036350445471705</c:v>
                </c:pt>
                <c:pt idx="60">
                  <c:v>0.10712093815863623</c:v>
                </c:pt>
                <c:pt idx="61">
                  <c:v>0.11066738488912567</c:v>
                </c:pt>
                <c:pt idx="62">
                  <c:v>0.11427448532944258</c:v>
                </c:pt>
                <c:pt idx="63">
                  <c:v>0.11794234187736076</c:v>
                </c:pt>
                <c:pt idx="64">
                  <c:v>0.12167105874497409</c:v>
                </c:pt>
                <c:pt idx="65">
                  <c:v>0.1254607419661862</c:v>
                </c:pt>
                <c:pt idx="66">
                  <c:v>0.12931149940434039</c:v>
                </c:pt>
                <c:pt idx="67">
                  <c:v>0.13322344075999135</c:v>
                </c:pt>
                <c:pt idx="68">
                  <c:v>0.1371966775788189</c:v>
                </c:pt>
                <c:pt idx="69">
                  <c:v>0.14123132325968571</c:v>
                </c:pt>
                <c:pt idx="70">
                  <c:v>0.14532749306283974</c:v>
                </c:pt>
                <c:pt idx="71">
                  <c:v>0.14948530411826186</c:v>
                </c:pt>
                <c:pt idx="72">
                  <c:v>0.15370487543416128</c:v>
                </c:pt>
                <c:pt idx="73">
                  <c:v>0.15798632790561851</c:v>
                </c:pt>
                <c:pt idx="74">
                  <c:v>0.16232978432337772</c:v>
                </c:pt>
                <c:pt idx="75">
                  <c:v>0.16673536938278977</c:v>
                </c:pt>
                <c:pt idx="76">
                  <c:v>0.17120320969290709</c:v>
                </c:pt>
                <c:pt idx="77">
                  <c:v>0.17573343378573097</c:v>
                </c:pt>
                <c:pt idx="78">
                  <c:v>0.18032617212561405</c:v>
                </c:pt>
                <c:pt idx="79">
                  <c:v>0.18498155711881767</c:v>
                </c:pt>
                <c:pt idx="80">
                  <c:v>0.18969972312322597</c:v>
                </c:pt>
                <c:pt idx="81">
                  <c:v>0.19448080645821961</c:v>
                </c:pt>
                <c:pt idx="82">
                  <c:v>0.19932494541470733</c:v>
                </c:pt>
                <c:pt idx="83">
                  <c:v>0.20423228026532</c:v>
                </c:pt>
                <c:pt idx="84">
                  <c:v>0.20920295327476621</c:v>
                </c:pt>
                <c:pt idx="85">
                  <c:v>0.21423710871035245</c:v>
                </c:pt>
                <c:pt idx="86">
                  <c:v>0.21933489285266833</c:v>
                </c:pt>
                <c:pt idx="87">
                  <c:v>0.22449645400643867</c:v>
                </c:pt>
                <c:pt idx="88">
                  <c:v>0.22972194251154462</c:v>
                </c:pt>
                <c:pt idx="89">
                  <c:v>0.235011510754214</c:v>
                </c:pt>
                <c:pt idx="90">
                  <c:v>0.24036531317838392</c:v>
                </c:pt>
                <c:pt idx="91">
                  <c:v>0.245783506297236</c:v>
                </c:pt>
                <c:pt idx="92">
                  <c:v>0.25126624870490694</c:v>
                </c:pt>
                <c:pt idx="93">
                  <c:v>0.25681370108837548</c:v>
                </c:pt>
                <c:pt idx="94">
                  <c:v>0.26242602623952765</c:v>
                </c:pt>
                <c:pt idx="95">
                  <c:v>0.26810338906740178</c:v>
                </c:pt>
                <c:pt idx="96">
                  <c:v>0.27384595661061523</c:v>
                </c:pt>
                <c:pt idx="97">
                  <c:v>0.27965389804997504</c:v>
                </c:pt>
                <c:pt idx="98">
                  <c:v>0.28552738472127354</c:v>
                </c:pt>
                <c:pt idx="99">
                  <c:v>0.29146659012827114</c:v>
                </c:pt>
                <c:pt idx="100">
                  <c:v>0.29747168995586826</c:v>
                </c:pt>
              </c:numCache>
            </c:numRef>
          </c:yVal>
          <c:smooth val="0"/>
          <c:extLst>
            <c:ext xmlns:c16="http://schemas.microsoft.com/office/drawing/2014/chart" uri="{C3380CC4-5D6E-409C-BE32-E72D297353CC}">
              <c16:uniqueId val="{00000002-32D4-B740-AB59-332F89A2A2C0}"/>
            </c:ext>
          </c:extLst>
        </c:ser>
        <c:dLbls>
          <c:showLegendKey val="0"/>
          <c:showVal val="0"/>
          <c:showCatName val="0"/>
          <c:showSerName val="0"/>
          <c:showPercent val="0"/>
          <c:showBubbleSize val="0"/>
        </c:dLbls>
        <c:axId val="184579200"/>
        <c:axId val="184581120"/>
      </c:scatterChart>
      <c:valAx>
        <c:axId val="184579200"/>
        <c:scaling>
          <c:orientation val="minMax"/>
          <c:min val="0"/>
        </c:scaling>
        <c:delete val="0"/>
        <c:axPos val="b"/>
        <c:title>
          <c:tx>
            <c:rich>
              <a:bodyPr/>
              <a:lstStyle/>
              <a:p>
                <a:pPr>
                  <a:defRPr sz="975" b="1" i="0" u="none" strike="noStrike" baseline="0">
                    <a:solidFill>
                      <a:srgbClr val="000000"/>
                    </a:solidFill>
                    <a:latin typeface="Arial"/>
                    <a:ea typeface="Arial"/>
                    <a:cs typeface="Arial"/>
                  </a:defRPr>
                </a:pPr>
                <a:r>
                  <a:rPr lang="en-US"/>
                  <a:t>Iout (A)</a:t>
                </a:r>
              </a:p>
            </c:rich>
          </c:tx>
          <c:layout>
            <c:manualLayout>
              <c:xMode val="edge"/>
              <c:yMode val="edge"/>
              <c:x val="0.47898089171975411"/>
              <c:y val="0.925404072474819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75" b="1" i="0" u="none" strike="noStrike" baseline="0">
                <a:solidFill>
                  <a:srgbClr val="000000"/>
                </a:solidFill>
                <a:latin typeface="Arial"/>
                <a:ea typeface="Arial"/>
                <a:cs typeface="Arial"/>
              </a:defRPr>
            </a:pPr>
            <a:endParaRPr lang="en-US"/>
          </a:p>
        </c:txPr>
        <c:crossAx val="184581120"/>
        <c:crosses val="autoZero"/>
        <c:crossBetween val="midCat"/>
      </c:valAx>
      <c:valAx>
        <c:axId val="184581120"/>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a:ea typeface="Arial"/>
                    <a:cs typeface="Arial"/>
                  </a:defRPr>
                </a:pPr>
                <a:r>
                  <a:rPr lang="en-US"/>
                  <a:t>Power Disipation (W)</a:t>
                </a:r>
              </a:p>
            </c:rich>
          </c:tx>
          <c:layout>
            <c:manualLayout>
              <c:xMode val="edge"/>
              <c:yMode val="edge"/>
              <c:x val="1.9108280254777267E-2"/>
              <c:y val="0.3729842943019265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75" b="1" i="0" u="none" strike="noStrike" baseline="0">
                <a:solidFill>
                  <a:srgbClr val="000000"/>
                </a:solidFill>
                <a:latin typeface="Arial"/>
                <a:ea typeface="Arial"/>
                <a:cs typeface="Arial"/>
              </a:defRPr>
            </a:pPr>
            <a:endParaRPr lang="en-US"/>
          </a:p>
        </c:txPr>
        <c:crossAx val="184579200"/>
        <c:crosses val="autoZero"/>
        <c:crossBetween val="midCat"/>
      </c:valAx>
      <c:spPr>
        <a:solidFill>
          <a:srgbClr val="C0C0C0"/>
        </a:solidFill>
        <a:ln w="12700">
          <a:solidFill>
            <a:srgbClr val="808080"/>
          </a:solidFill>
          <a:prstDash val="solid"/>
        </a:ln>
      </c:spPr>
    </c:plotArea>
    <c:legend>
      <c:legendPos val="r"/>
      <c:layout>
        <c:manualLayout>
          <c:xMode val="edge"/>
          <c:yMode val="edge"/>
          <c:x val="0.84585987261148066"/>
          <c:y val="1.0080645161290319E-2"/>
          <c:w val="0.14904458598726408"/>
          <c:h val="0.1290324697316062"/>
        </c:manualLayout>
      </c:layout>
      <c:overlay val="0"/>
      <c:spPr>
        <a:solidFill>
          <a:srgbClr val="FFFFFF"/>
        </a:solidFill>
        <a:ln w="3175">
          <a:solidFill>
            <a:srgbClr val="000000"/>
          </a:solidFill>
          <a:prstDash val="solid"/>
        </a:ln>
      </c:spPr>
      <c:txPr>
        <a:bodyPr/>
        <a:lstStyle/>
        <a:p>
          <a:pPr>
            <a:defRPr sz="8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a:t> Overall Efficiency</a:t>
            </a:r>
          </a:p>
        </c:rich>
      </c:tx>
      <c:layout>
        <c:manualLayout>
          <c:xMode val="edge"/>
          <c:yMode val="edge"/>
          <c:x val="0.41192468827576079"/>
          <c:y val="3.0241935483871732E-2"/>
        </c:manualLayout>
      </c:layout>
      <c:overlay val="0"/>
      <c:spPr>
        <a:noFill/>
        <a:ln w="25400">
          <a:noFill/>
        </a:ln>
      </c:spPr>
    </c:title>
    <c:autoTitleDeleted val="0"/>
    <c:plotArea>
      <c:layout>
        <c:manualLayout>
          <c:layoutTarget val="inner"/>
          <c:xMode val="edge"/>
          <c:yMode val="edge"/>
          <c:x val="0.12330639622818776"/>
          <c:y val="0.15927435034411094"/>
          <c:w val="0.80758914452747144"/>
          <c:h val="0.72983942815909986"/>
        </c:manualLayout>
      </c:layout>
      <c:scatterChart>
        <c:scatterStyle val="lineMarker"/>
        <c:varyColors val="0"/>
        <c:ser>
          <c:idx val="0"/>
          <c:order val="0"/>
          <c:tx>
            <c:v>Efficiency</c:v>
          </c:tx>
          <c:spPr>
            <a:ln w="38100">
              <a:solidFill>
                <a:srgbClr val="000080"/>
              </a:solidFill>
              <a:prstDash val="solid"/>
            </a:ln>
          </c:spPr>
          <c:marker>
            <c:symbol val="none"/>
          </c:marker>
          <c:xVal>
            <c:numRef>
              <c:f>'Power Calculations'!$H$9:$H$109</c:f>
              <c:numCache>
                <c:formatCode>General</c:formatCode>
                <c:ptCount val="101"/>
                <c:pt idx="0">
                  <c:v>0</c:v>
                </c:pt>
                <c:pt idx="1">
                  <c:v>0.3</c:v>
                </c:pt>
                <c:pt idx="2">
                  <c:v>0.6</c:v>
                </c:pt>
                <c:pt idx="3">
                  <c:v>0.89999999999999991</c:v>
                </c:pt>
                <c:pt idx="4">
                  <c:v>1.2</c:v>
                </c:pt>
                <c:pt idx="5">
                  <c:v>1.5</c:v>
                </c:pt>
                <c:pt idx="6">
                  <c:v>1.7999999999999998</c:v>
                </c:pt>
                <c:pt idx="7">
                  <c:v>2.1</c:v>
                </c:pt>
                <c:pt idx="8">
                  <c:v>2.4</c:v>
                </c:pt>
                <c:pt idx="9">
                  <c:v>2.6999999999999997</c:v>
                </c:pt>
                <c:pt idx="10">
                  <c:v>3</c:v>
                </c:pt>
                <c:pt idx="11">
                  <c:v>3.3</c:v>
                </c:pt>
                <c:pt idx="12">
                  <c:v>3.5999999999999996</c:v>
                </c:pt>
                <c:pt idx="13">
                  <c:v>3.9000000000000004</c:v>
                </c:pt>
                <c:pt idx="14">
                  <c:v>4.2</c:v>
                </c:pt>
                <c:pt idx="15">
                  <c:v>4.5</c:v>
                </c:pt>
                <c:pt idx="16">
                  <c:v>4.8</c:v>
                </c:pt>
                <c:pt idx="17">
                  <c:v>5.1000000000000005</c:v>
                </c:pt>
                <c:pt idx="18">
                  <c:v>5.3999999999999995</c:v>
                </c:pt>
                <c:pt idx="19">
                  <c:v>5.7</c:v>
                </c:pt>
                <c:pt idx="20">
                  <c:v>6</c:v>
                </c:pt>
                <c:pt idx="21">
                  <c:v>6.3</c:v>
                </c:pt>
                <c:pt idx="22">
                  <c:v>6.6</c:v>
                </c:pt>
                <c:pt idx="23">
                  <c:v>6.9</c:v>
                </c:pt>
                <c:pt idx="24">
                  <c:v>7.1999999999999993</c:v>
                </c:pt>
                <c:pt idx="25">
                  <c:v>7.5</c:v>
                </c:pt>
                <c:pt idx="26">
                  <c:v>7.8000000000000007</c:v>
                </c:pt>
                <c:pt idx="27">
                  <c:v>8.1000000000000014</c:v>
                </c:pt>
                <c:pt idx="28">
                  <c:v>8.4</c:v>
                </c:pt>
                <c:pt idx="29">
                  <c:v>8.6999999999999993</c:v>
                </c:pt>
                <c:pt idx="30">
                  <c:v>9</c:v>
                </c:pt>
                <c:pt idx="31">
                  <c:v>9.3000000000000007</c:v>
                </c:pt>
                <c:pt idx="32">
                  <c:v>9.6</c:v>
                </c:pt>
                <c:pt idx="33">
                  <c:v>9.9</c:v>
                </c:pt>
                <c:pt idx="34">
                  <c:v>10.200000000000001</c:v>
                </c:pt>
                <c:pt idx="35">
                  <c:v>10.5</c:v>
                </c:pt>
                <c:pt idx="36">
                  <c:v>10.799999999999999</c:v>
                </c:pt>
                <c:pt idx="37">
                  <c:v>11.1</c:v>
                </c:pt>
                <c:pt idx="38">
                  <c:v>11.4</c:v>
                </c:pt>
                <c:pt idx="39">
                  <c:v>11.700000000000001</c:v>
                </c:pt>
                <c:pt idx="40">
                  <c:v>12</c:v>
                </c:pt>
                <c:pt idx="41">
                  <c:v>12.299999999999999</c:v>
                </c:pt>
                <c:pt idx="42">
                  <c:v>12.6</c:v>
                </c:pt>
                <c:pt idx="43">
                  <c:v>12.9</c:v>
                </c:pt>
                <c:pt idx="44">
                  <c:v>13.2</c:v>
                </c:pt>
                <c:pt idx="45">
                  <c:v>13.5</c:v>
                </c:pt>
                <c:pt idx="46">
                  <c:v>13.8</c:v>
                </c:pt>
                <c:pt idx="47">
                  <c:v>14.1</c:v>
                </c:pt>
                <c:pt idx="48">
                  <c:v>14.399999999999999</c:v>
                </c:pt>
                <c:pt idx="49">
                  <c:v>14.7</c:v>
                </c:pt>
                <c:pt idx="50">
                  <c:v>15</c:v>
                </c:pt>
                <c:pt idx="51">
                  <c:v>15.3</c:v>
                </c:pt>
                <c:pt idx="52">
                  <c:v>15.600000000000001</c:v>
                </c:pt>
                <c:pt idx="53">
                  <c:v>15.9</c:v>
                </c:pt>
                <c:pt idx="54">
                  <c:v>16.200000000000003</c:v>
                </c:pt>
                <c:pt idx="55">
                  <c:v>16.5</c:v>
                </c:pt>
                <c:pt idx="56">
                  <c:v>16.8</c:v>
                </c:pt>
                <c:pt idx="57">
                  <c:v>17.099999999999998</c:v>
                </c:pt>
                <c:pt idx="58">
                  <c:v>17.399999999999999</c:v>
                </c:pt>
                <c:pt idx="59">
                  <c:v>17.7</c:v>
                </c:pt>
                <c:pt idx="60">
                  <c:v>18</c:v>
                </c:pt>
                <c:pt idx="61">
                  <c:v>18.3</c:v>
                </c:pt>
                <c:pt idx="62">
                  <c:v>18.600000000000001</c:v>
                </c:pt>
                <c:pt idx="63">
                  <c:v>18.899999999999999</c:v>
                </c:pt>
                <c:pt idx="64">
                  <c:v>19.2</c:v>
                </c:pt>
                <c:pt idx="65">
                  <c:v>19.5</c:v>
                </c:pt>
                <c:pt idx="66">
                  <c:v>19.8</c:v>
                </c:pt>
                <c:pt idx="67">
                  <c:v>20.100000000000001</c:v>
                </c:pt>
                <c:pt idx="68">
                  <c:v>20.400000000000002</c:v>
                </c:pt>
                <c:pt idx="69">
                  <c:v>20.7</c:v>
                </c:pt>
                <c:pt idx="70">
                  <c:v>21</c:v>
                </c:pt>
                <c:pt idx="71">
                  <c:v>21.299999999999997</c:v>
                </c:pt>
                <c:pt idx="72">
                  <c:v>21.599999999999998</c:v>
                </c:pt>
                <c:pt idx="73">
                  <c:v>21.9</c:v>
                </c:pt>
                <c:pt idx="74">
                  <c:v>22.2</c:v>
                </c:pt>
                <c:pt idx="75">
                  <c:v>22.5</c:v>
                </c:pt>
                <c:pt idx="76">
                  <c:v>22.8</c:v>
                </c:pt>
                <c:pt idx="77">
                  <c:v>23.1</c:v>
                </c:pt>
                <c:pt idx="78">
                  <c:v>23.400000000000002</c:v>
                </c:pt>
                <c:pt idx="79">
                  <c:v>23.700000000000003</c:v>
                </c:pt>
                <c:pt idx="80">
                  <c:v>24</c:v>
                </c:pt>
                <c:pt idx="81">
                  <c:v>24.3</c:v>
                </c:pt>
                <c:pt idx="82">
                  <c:v>24.599999999999998</c:v>
                </c:pt>
                <c:pt idx="83">
                  <c:v>24.9</c:v>
                </c:pt>
                <c:pt idx="84">
                  <c:v>25.2</c:v>
                </c:pt>
                <c:pt idx="85">
                  <c:v>25.5</c:v>
                </c:pt>
                <c:pt idx="86">
                  <c:v>25.8</c:v>
                </c:pt>
                <c:pt idx="87">
                  <c:v>26.1</c:v>
                </c:pt>
                <c:pt idx="88">
                  <c:v>26.4</c:v>
                </c:pt>
                <c:pt idx="89">
                  <c:v>26.7</c:v>
                </c:pt>
                <c:pt idx="90">
                  <c:v>27</c:v>
                </c:pt>
                <c:pt idx="91">
                  <c:v>27.3</c:v>
                </c:pt>
                <c:pt idx="92">
                  <c:v>27.6</c:v>
                </c:pt>
                <c:pt idx="93">
                  <c:v>27.900000000000002</c:v>
                </c:pt>
                <c:pt idx="94">
                  <c:v>28.2</c:v>
                </c:pt>
                <c:pt idx="95">
                  <c:v>28.5</c:v>
                </c:pt>
                <c:pt idx="96">
                  <c:v>28.799999999999997</c:v>
                </c:pt>
                <c:pt idx="97">
                  <c:v>29.099999999999998</c:v>
                </c:pt>
                <c:pt idx="98">
                  <c:v>29.4</c:v>
                </c:pt>
                <c:pt idx="99">
                  <c:v>29.7</c:v>
                </c:pt>
                <c:pt idx="100">
                  <c:v>30</c:v>
                </c:pt>
              </c:numCache>
            </c:numRef>
          </c:xVal>
          <c:yVal>
            <c:numRef>
              <c:f>'Power Calculations'!$AL$9:$AL$109</c:f>
              <c:numCache>
                <c:formatCode>0.00%</c:formatCode>
                <c:ptCount val="101"/>
                <c:pt idx="0">
                  <c:v>0</c:v>
                </c:pt>
                <c:pt idx="1">
                  <c:v>0.63834718818892044</c:v>
                </c:pt>
                <c:pt idx="2">
                  <c:v>0.77738776283798772</c:v>
                </c:pt>
                <c:pt idx="3">
                  <c:v>0.83816298894175034</c:v>
                </c:pt>
                <c:pt idx="4">
                  <c:v>0.87218953901731855</c:v>
                </c:pt>
                <c:pt idx="5">
                  <c:v>0.89390606739040313</c:v>
                </c:pt>
                <c:pt idx="6">
                  <c:v>0.90894400585087998</c:v>
                </c:pt>
                <c:pt idx="7">
                  <c:v>0.91995425444592482</c:v>
                </c:pt>
                <c:pt idx="8">
                  <c:v>0.92834862347045588</c:v>
                </c:pt>
                <c:pt idx="9">
                  <c:v>0.93494805192196839</c:v>
                </c:pt>
                <c:pt idx="10">
                  <c:v>0.94026243815535071</c:v>
                </c:pt>
                <c:pt idx="11">
                  <c:v>0.9446252002185771</c:v>
                </c:pt>
                <c:pt idx="12">
                  <c:v>0.94826354375322941</c:v>
                </c:pt>
                <c:pt idx="13">
                  <c:v>0.9513376325133639</c:v>
                </c:pt>
                <c:pt idx="14">
                  <c:v>0.95396361457628576</c:v>
                </c:pt>
                <c:pt idx="15">
                  <c:v>0.9562277682038155</c:v>
                </c:pt>
                <c:pt idx="16">
                  <c:v>0.95819552165662136</c:v>
                </c:pt>
                <c:pt idx="17">
                  <c:v>0.9598450271847937</c:v>
                </c:pt>
                <c:pt idx="18">
                  <c:v>0.961284096157905</c:v>
                </c:pt>
                <c:pt idx="19">
                  <c:v>0.96255584490620527</c:v>
                </c:pt>
                <c:pt idx="20">
                  <c:v>0.96368457451014311</c:v>
                </c:pt>
                <c:pt idx="21">
                  <c:v>0.96469006556814374</c:v>
                </c:pt>
                <c:pt idx="22">
                  <c:v>0.96558858116680313</c:v>
                </c:pt>
                <c:pt idx="23">
                  <c:v>0.96639361411434288</c:v>
                </c:pt>
                <c:pt idx="24">
                  <c:v>0.96711645140912295</c:v>
                </c:pt>
                <c:pt idx="25">
                  <c:v>0.96776660605062448</c:v>
                </c:pt>
                <c:pt idx="26">
                  <c:v>0.96835215119180806</c:v>
                </c:pt>
                <c:pt idx="27">
                  <c:v>0.9688799814620862</c:v>
                </c:pt>
                <c:pt idx="28">
                  <c:v>0.9693560193283457</c:v>
                </c:pt>
                <c:pt idx="29">
                  <c:v>0.96978537952128752</c:v>
                </c:pt>
                <c:pt idx="30">
                  <c:v>0.97017250114092357</c:v>
                </c:pt>
                <c:pt idx="31">
                  <c:v>0.9705212546159192</c:v>
                </c:pt>
                <c:pt idx="32">
                  <c:v>0.97083502892710383</c:v>
                </c:pt>
                <c:pt idx="33">
                  <c:v>0.97111680321466542</c:v>
                </c:pt>
                <c:pt idx="34">
                  <c:v>0.97136920593414866</c:v>
                </c:pt>
                <c:pt idx="35">
                  <c:v>0.9715945640137239</c:v>
                </c:pt>
                <c:pt idx="36">
                  <c:v>0.97179494392811094</c:v>
                </c:pt>
                <c:pt idx="37">
                  <c:v>0.97197218619623782</c:v>
                </c:pt>
                <c:pt idx="38">
                  <c:v>0.97212793449678181</c:v>
                </c:pt>
                <c:pt idx="39">
                  <c:v>0.97226366035405065</c:v>
                </c:pt>
                <c:pt idx="40">
                  <c:v>0.97238068415862922</c:v>
                </c:pt>
                <c:pt idx="41">
                  <c:v>0.97248019313993217</c:v>
                </c:pt>
                <c:pt idx="42">
                  <c:v>0.97256325679168454</c:v>
                </c:pt>
                <c:pt idx="43">
                  <c:v>0.97263084015923007</c:v>
                </c:pt>
                <c:pt idx="44">
                  <c:v>0.97268381532406523</c:v>
                </c:pt>
                <c:pt idx="45">
                  <c:v>0.97272297136201857</c:v>
                </c:pt>
                <c:pt idx="46">
                  <c:v>0.97274902300392019</c:v>
                </c:pt>
                <c:pt idx="47">
                  <c:v>0.9727626181890332</c:v>
                </c:pt>
                <c:pt idx="48">
                  <c:v>0.9727643446701022</c:v>
                </c:pt>
                <c:pt idx="49">
                  <c:v>0.97275473580314609</c:v>
                </c:pt>
                <c:pt idx="50">
                  <c:v>0.97273427563399351</c:v>
                </c:pt>
                <c:pt idx="51">
                  <c:v>0.97270340337609218</c:v>
                </c:pt>
                <c:pt idx="52">
                  <c:v>0.9726625173596618</c:v>
                </c:pt>
                <c:pt idx="53">
                  <c:v>0.97261197852021009</c:v>
                </c:pt>
                <c:pt idx="54">
                  <c:v>0.97255211348437653</c:v>
                </c:pt>
                <c:pt idx="55">
                  <c:v>0.97248321730262099</c:v>
                </c:pt>
                <c:pt idx="56">
                  <c:v>0.9724055558711785</c:v>
                </c:pt>
                <c:pt idx="57">
                  <c:v>0.97231936807969954</c:v>
                </c:pt>
                <c:pt idx="58">
                  <c:v>0.97222486771590522</c:v>
                </c:pt>
                <c:pt idx="59">
                  <c:v>0.97212224515426682</c:v>
                </c:pt>
                <c:pt idx="60">
                  <c:v>0.97201166885201762</c:v>
                </c:pt>
                <c:pt idx="61">
                  <c:v>0.97189328667264507</c:v>
                </c:pt>
                <c:pt idx="62">
                  <c:v>0.97176722705428831</c:v>
                </c:pt>
                <c:pt idx="63">
                  <c:v>0.97163360003811394</c:v>
                </c:pt>
                <c:pt idx="64">
                  <c:v>0.97149249816971028</c:v>
                </c:pt>
                <c:pt idx="65">
                  <c:v>0.97134399728476706</c:v>
                </c:pt>
                <c:pt idx="66">
                  <c:v>0.97118815718875173</c:v>
                </c:pt>
                <c:pt idx="67">
                  <c:v>0.9710250222389426</c:v>
                </c:pt>
                <c:pt idx="68">
                  <c:v>0.97085462183596238</c:v>
                </c:pt>
                <c:pt idx="69">
                  <c:v>0.97067697083089466</c:v>
                </c:pt>
                <c:pt idx="70">
                  <c:v>0.97049206985310132</c:v>
                </c:pt>
                <c:pt idx="71">
                  <c:v>0.97029990556299284</c:v>
                </c:pt>
                <c:pt idx="72">
                  <c:v>0.97010045083322372</c:v>
                </c:pt>
                <c:pt idx="73">
                  <c:v>0.96989366486104478</c:v>
                </c:pt>
                <c:pt idx="74">
                  <c:v>0.96967949321388958</c:v>
                </c:pt>
                <c:pt idx="75">
                  <c:v>0.96945786780962151</c:v>
                </c:pt>
                <c:pt idx="76">
                  <c:v>0.96922870683227513</c:v>
                </c:pt>
                <c:pt idx="77">
                  <c:v>0.96899191458354073</c:v>
                </c:pt>
                <c:pt idx="78">
                  <c:v>0.9687473812696662</c:v>
                </c:pt>
                <c:pt idx="79">
                  <c:v>0.96849498272288714</c:v>
                </c:pt>
                <c:pt idx="80">
                  <c:v>0.96823458005592788</c:v>
                </c:pt>
                <c:pt idx="81">
                  <c:v>0.96796601924752323</c:v>
                </c:pt>
                <c:pt idx="82">
                  <c:v>0.96768913065631745</c:v>
                </c:pt>
                <c:pt idx="83">
                  <c:v>0.96740372845985623</c:v>
                </c:pt>
                <c:pt idx="84">
                  <c:v>0.96710961001472207</c:v>
                </c:pt>
                <c:pt idx="85">
                  <c:v>0.96680655513313785</c:v>
                </c:pt>
                <c:pt idx="86">
                  <c:v>0.96649432527059387</c:v>
                </c:pt>
                <c:pt idx="87">
                  <c:v>0.96617266261820078</c:v>
                </c:pt>
                <c:pt idx="88">
                  <c:v>0.96584128909254241</c:v>
                </c:pt>
                <c:pt idx="89">
                  <c:v>0.9654999052147768</c:v>
                </c:pt>
                <c:pt idx="90">
                  <c:v>0.96514818886958653</c:v>
                </c:pt>
                <c:pt idx="91">
                  <c:v>0.96478579393330977</c:v>
                </c:pt>
                <c:pt idx="92">
                  <c:v>0.96441234875914661</c:v>
                </c:pt>
                <c:pt idx="93">
                  <c:v>0.96402745450572735</c:v>
                </c:pt>
                <c:pt idx="94">
                  <c:v>0.9636306832935011</c:v>
                </c:pt>
                <c:pt idx="95">
                  <c:v>0.96322157617134452</c:v>
                </c:pt>
                <c:pt idx="96">
                  <c:v>0.96279964087342562</c:v>
                </c:pt>
                <c:pt idx="97">
                  <c:v>0.9623643493436822</c:v>
                </c:pt>
                <c:pt idx="98">
                  <c:v>0.96191513500219439</c:v>
                </c:pt>
                <c:pt idx="99">
                  <c:v>0.96145138972420541</c:v>
                </c:pt>
                <c:pt idx="100">
                  <c:v>0.96097246049848128</c:v>
                </c:pt>
              </c:numCache>
            </c:numRef>
          </c:yVal>
          <c:smooth val="0"/>
          <c:extLst>
            <c:ext xmlns:c16="http://schemas.microsoft.com/office/drawing/2014/chart" uri="{C3380CC4-5D6E-409C-BE32-E72D297353CC}">
              <c16:uniqueId val="{00000000-50DB-0345-99B0-147845314D26}"/>
            </c:ext>
          </c:extLst>
        </c:ser>
        <c:dLbls>
          <c:showLegendKey val="0"/>
          <c:showVal val="0"/>
          <c:showCatName val="0"/>
          <c:showSerName val="0"/>
          <c:showPercent val="0"/>
          <c:showBubbleSize val="0"/>
        </c:dLbls>
        <c:axId val="184609792"/>
        <c:axId val="184312960"/>
      </c:scatterChart>
      <c:valAx>
        <c:axId val="184609792"/>
        <c:scaling>
          <c:orientation val="minMax"/>
          <c:min val="0"/>
        </c:scaling>
        <c:delete val="0"/>
        <c:axPos val="b"/>
        <c:title>
          <c:tx>
            <c:rich>
              <a:bodyPr/>
              <a:lstStyle/>
              <a:p>
                <a:pPr>
                  <a:defRPr sz="1025" b="1" i="0" u="none" strike="noStrike" baseline="0">
                    <a:solidFill>
                      <a:srgbClr val="000000"/>
                    </a:solidFill>
                    <a:latin typeface="Arial"/>
                    <a:ea typeface="Arial"/>
                    <a:cs typeface="Arial"/>
                  </a:defRPr>
                </a:pPr>
                <a:r>
                  <a:rPr lang="en-US"/>
                  <a:t>Iout (A)</a:t>
                </a:r>
              </a:p>
            </c:rich>
          </c:tx>
          <c:layout>
            <c:manualLayout>
              <c:xMode val="edge"/>
              <c:yMode val="edge"/>
              <c:x val="0.49051561644225661"/>
              <c:y val="0.9435492337651399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25" b="1" i="0" u="none" strike="noStrike" baseline="0">
                <a:solidFill>
                  <a:srgbClr val="000000"/>
                </a:solidFill>
                <a:latin typeface="Arial"/>
                <a:ea typeface="Arial"/>
                <a:cs typeface="Arial"/>
              </a:defRPr>
            </a:pPr>
            <a:endParaRPr lang="en-US"/>
          </a:p>
        </c:txPr>
        <c:crossAx val="184312960"/>
        <c:crosses val="autoZero"/>
        <c:crossBetween val="midCat"/>
      </c:valAx>
      <c:valAx>
        <c:axId val="184312960"/>
        <c:scaling>
          <c:orientation val="minMax"/>
          <c:min val="0.5"/>
        </c:scaling>
        <c:delete val="0"/>
        <c:axPos val="l"/>
        <c:majorGridlines>
          <c:spPr>
            <a:ln w="3175">
              <a:solidFill>
                <a:srgbClr val="000000"/>
              </a:solidFill>
              <a:prstDash val="solid"/>
            </a:ln>
          </c:spPr>
        </c:majorGridlines>
        <c:title>
          <c:tx>
            <c:rich>
              <a:bodyPr/>
              <a:lstStyle/>
              <a:p>
                <a:pPr>
                  <a:defRPr sz="1025" b="1" i="0" u="none" strike="noStrike" baseline="0">
                    <a:solidFill>
                      <a:srgbClr val="000000"/>
                    </a:solidFill>
                    <a:latin typeface="Arial"/>
                    <a:ea typeface="Arial"/>
                    <a:cs typeface="Arial"/>
                  </a:defRPr>
                </a:pPr>
                <a:r>
                  <a:rPr lang="en-US"/>
                  <a:t>Efficiency (%)</a:t>
                </a:r>
              </a:p>
            </c:rich>
          </c:tx>
          <c:layout>
            <c:manualLayout>
              <c:xMode val="edge"/>
              <c:yMode val="edge"/>
              <c:x val="6.7750677506775965E-3"/>
              <c:y val="0.42741977817289623"/>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025" b="1" i="0" u="none" strike="noStrike" baseline="0">
                <a:solidFill>
                  <a:srgbClr val="000000"/>
                </a:solidFill>
                <a:latin typeface="Arial"/>
                <a:ea typeface="Arial"/>
                <a:cs typeface="Arial"/>
              </a:defRPr>
            </a:pPr>
            <a:endParaRPr lang="en-US"/>
          </a:p>
        </c:txPr>
        <c:crossAx val="184609792"/>
        <c:crosses val="autoZero"/>
        <c:crossBetween val="midCat"/>
      </c:valAx>
      <c:spPr>
        <a:solidFill>
          <a:srgbClr val="C0C0C0"/>
        </a:solidFill>
        <a:ln w="12700">
          <a:solidFill>
            <a:srgbClr val="808080"/>
          </a:solidFill>
          <a:prstDash val="solid"/>
        </a:ln>
      </c:spPr>
    </c:plotArea>
    <c:legend>
      <c:legendPos val="r"/>
      <c:layout>
        <c:manualLayout>
          <c:xMode val="edge"/>
          <c:yMode val="edge"/>
          <c:x val="0.85636970175475957"/>
          <c:y val="3.6290322580645677E-2"/>
          <c:w val="0.11788632112042907"/>
          <c:h val="4.2338709677419352E-2"/>
        </c:manualLayout>
      </c:layout>
      <c:overlay val="0"/>
      <c:spPr>
        <a:solidFill>
          <a:srgbClr val="FFFFFF"/>
        </a:solidFill>
        <a:ln w="3175">
          <a:solidFill>
            <a:srgbClr val="000000"/>
          </a:solidFill>
          <a:prstDash val="solid"/>
        </a:ln>
      </c:spPr>
      <c:txPr>
        <a:bodyPr/>
        <a:lstStyle/>
        <a:p>
          <a:pPr>
            <a:defRPr sz="78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c:printSettings>
</c:chartSpace>
</file>

<file path=xl/ctrlProps/ctrlProp1.xml><?xml version="1.0" encoding="utf-8"?>
<formControlPr xmlns="http://schemas.microsoft.com/office/spreadsheetml/2009/9/main" objectType="Spin" dx="16" fmlaLink="$E$59" inc="5" max="150" min="10" page="10" val="105"/>
</file>

<file path=xl/ctrlProps/ctrlProp2.xml><?xml version="1.0" encoding="utf-8"?>
<formControlPr xmlns="http://schemas.microsoft.com/office/spreadsheetml/2009/9/main" objectType="Spin" dx="16" fmlaLink="$E$64" max="100" min="1" page="10" val="8"/>
</file>

<file path=xl/ctrlProps/ctrlProp3.xml><?xml version="1.0" encoding="utf-8"?>
<formControlPr xmlns="http://schemas.microsoft.com/office/spreadsheetml/2009/9/main" objectType="Spin" dx="16" fmlaLink="$E$65" max="100" min="1" page="10" val="18"/>
</file>

<file path=xl/ctrlProps/ctrlProp4.xml><?xml version="1.0" encoding="utf-8"?>
<formControlPr xmlns="http://schemas.microsoft.com/office/spreadsheetml/2009/9/main" objectType="Spin" dx="16" fmlaLink="$E$66" inc="10" max="1000" min="100" page="10" val="1000"/>
</file>

<file path=xl/ctrlProps/ctrlProp5.xml><?xml version="1.0" encoding="utf-8"?>
<formControlPr xmlns="http://schemas.microsoft.com/office/spreadsheetml/2009/9/main" objectType="Spin" dx="16" fmlaLink="$E$67" inc="10" max="1000" min="100" page="10" val="900"/>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image" Target="../media/image5.jpg"/><Relationship Id="rId2" Type="http://schemas.openxmlformats.org/officeDocument/2006/relationships/chart" Target="../charts/chart1.xml"/><Relationship Id="rId1" Type="http://schemas.openxmlformats.org/officeDocument/2006/relationships/image" Target="../media/image1.jpeg"/><Relationship Id="rId6" Type="http://schemas.openxmlformats.org/officeDocument/2006/relationships/image" Target="../media/image4.jpg"/><Relationship Id="rId5" Type="http://schemas.openxmlformats.org/officeDocument/2006/relationships/image" Target="../media/image3.jpg"/><Relationship Id="rId4"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_rels/drawing4.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jpeg"/><Relationship Id="rId1" Type="http://schemas.openxmlformats.org/officeDocument/2006/relationships/image" Target="../media/image8.jpeg"/><Relationship Id="rId4" Type="http://schemas.openxmlformats.org/officeDocument/2006/relationships/image" Target="../media/image11.jpeg"/></Relationships>
</file>

<file path=xl/drawings/_rels/drawing6.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_rels/drawing7.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editAs="oneCell">
    <xdr:from>
      <xdr:col>6</xdr:col>
      <xdr:colOff>149547</xdr:colOff>
      <xdr:row>6</xdr:row>
      <xdr:rowOff>38100</xdr:rowOff>
    </xdr:from>
    <xdr:to>
      <xdr:col>16</xdr:col>
      <xdr:colOff>2253239</xdr:colOff>
      <xdr:row>35</xdr:row>
      <xdr:rowOff>123824</xdr:rowOff>
    </xdr:to>
    <xdr:pic>
      <xdr:nvPicPr>
        <xdr:cNvPr id="72" name="Picture 71" descr="Schematic5.jpg">
          <a:extLst>
            <a:ext uri="{FF2B5EF4-FFF2-40B4-BE49-F238E27FC236}">
              <a16:creationId xmlns:a16="http://schemas.microsoft.com/office/drawing/2014/main" id="{00000000-0008-0000-0000-000048000000}"/>
            </a:ext>
          </a:extLst>
        </xdr:cNvPr>
        <xdr:cNvPicPr>
          <a:picLocks noChangeAspect="1"/>
        </xdr:cNvPicPr>
      </xdr:nvPicPr>
      <xdr:blipFill>
        <a:blip xmlns:r="http://schemas.openxmlformats.org/officeDocument/2006/relationships" r:embed="rId1" cstate="print"/>
        <a:stretch>
          <a:fillRect/>
        </a:stretch>
      </xdr:blipFill>
      <xdr:spPr>
        <a:xfrm>
          <a:off x="3639161" y="1605395"/>
          <a:ext cx="8866442" cy="5367770"/>
        </a:xfrm>
        <a:prstGeom prst="rect">
          <a:avLst/>
        </a:prstGeom>
      </xdr:spPr>
    </xdr:pic>
    <xdr:clientData/>
  </xdr:twoCellAnchor>
  <xdr:twoCellAnchor editAs="absolute">
    <xdr:from>
      <xdr:col>6</xdr:col>
      <xdr:colOff>257175</xdr:colOff>
      <xdr:row>41</xdr:row>
      <xdr:rowOff>95250</xdr:rowOff>
    </xdr:from>
    <xdr:to>
      <xdr:col>16</xdr:col>
      <xdr:colOff>2139362</xdr:colOff>
      <xdr:row>65</xdr:row>
      <xdr:rowOff>88681</xdr:rowOff>
    </xdr:to>
    <xdr:graphicFrame macro="">
      <xdr:nvGraphicFramePr>
        <xdr:cNvPr id="65" name="Chart 12">
          <a:extLst>
            <a:ext uri="{FF2B5EF4-FFF2-40B4-BE49-F238E27FC236}">
              <a16:creationId xmlns:a16="http://schemas.microsoft.com/office/drawing/2014/main" id="{00000000-0008-0000-00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773728</xdr:colOff>
      <xdr:row>57</xdr:row>
      <xdr:rowOff>103326</xdr:rowOff>
    </xdr:from>
    <xdr:to>
      <xdr:col>11</xdr:col>
      <xdr:colOff>2580</xdr:colOff>
      <xdr:row>58</xdr:row>
      <xdr:rowOff>148077</xdr:rowOff>
    </xdr:to>
    <xdr:sp macro="" textlink="'Variable Management'!A231">
      <xdr:nvSpPr>
        <xdr:cNvPr id="2071" name="Text Box 23">
          <a:extLst>
            <a:ext uri="{FF2B5EF4-FFF2-40B4-BE49-F238E27FC236}">
              <a16:creationId xmlns:a16="http://schemas.microsoft.com/office/drawing/2014/main" id="{00000000-0008-0000-0000-000017080000}"/>
            </a:ext>
          </a:extLst>
        </xdr:cNvPr>
        <xdr:cNvSpPr txBox="1">
          <a:spLocks noChangeArrowheads="1" noTextEdit="1"/>
        </xdr:cNvSpPr>
      </xdr:nvSpPr>
      <xdr:spPr bwMode="auto">
        <a:xfrm>
          <a:off x="4831378" y="11104701"/>
          <a:ext cx="2067302" cy="216201"/>
        </a:xfrm>
        <a:prstGeom prst="rect">
          <a:avLst/>
        </a:prstGeom>
        <a:solidFill>
          <a:schemeClr val="bg1"/>
        </a:solidFill>
        <a:ln w="9525">
          <a:noFill/>
          <a:miter lim="800000"/>
          <a:headEnd/>
          <a:tailEnd/>
        </a:ln>
      </xdr:spPr>
      <xdr:txBody>
        <a:bodyPr vertOverflow="clip" wrap="square" lIns="27432" tIns="22860" rIns="0" bIns="22860" anchor="ctr" upright="1"/>
        <a:lstStyle/>
        <a:p>
          <a:pPr algn="l" rtl="0">
            <a:defRPr sz="1000"/>
          </a:pPr>
          <a:fld id="{10952A97-D9C5-44B7-89A3-65441574648A}" type="TxLink">
            <a:rPr lang="en-US" sz="1050" b="1" i="0" u="none" strike="noStrike" baseline="0">
              <a:solidFill>
                <a:srgbClr val="FF0000"/>
              </a:solidFill>
              <a:latin typeface="Arial"/>
              <a:cs typeface="Arial"/>
            </a:rPr>
            <a:pPr algn="l" rtl="0">
              <a:defRPr sz="1000"/>
            </a:pPr>
            <a:t>Crossover Frequency = 120 kHz</a:t>
          </a:fld>
          <a:endParaRPr lang="en-US" sz="1050" b="1" i="0" u="none" strike="noStrike" baseline="0">
            <a:solidFill>
              <a:srgbClr val="FF0000"/>
            </a:solidFill>
            <a:latin typeface="Arial"/>
            <a:cs typeface="Arial"/>
          </a:endParaRPr>
        </a:p>
      </xdr:txBody>
    </xdr:sp>
    <xdr:clientData/>
  </xdr:twoCellAnchor>
  <xdr:twoCellAnchor>
    <xdr:from>
      <xdr:col>8</xdr:col>
      <xdr:colOff>3680</xdr:colOff>
      <xdr:row>59</xdr:row>
      <xdr:rowOff>99562</xdr:rowOff>
    </xdr:from>
    <xdr:to>
      <xdr:col>9</xdr:col>
      <xdr:colOff>774288</xdr:colOff>
      <xdr:row>60</xdr:row>
      <xdr:rowOff>172264</xdr:rowOff>
    </xdr:to>
    <xdr:sp macro="" textlink="'Variable Management'!A232">
      <xdr:nvSpPr>
        <xdr:cNvPr id="2072" name="Text Box 24">
          <a:extLst>
            <a:ext uri="{FF2B5EF4-FFF2-40B4-BE49-F238E27FC236}">
              <a16:creationId xmlns:a16="http://schemas.microsoft.com/office/drawing/2014/main" id="{00000000-0008-0000-0000-000018080000}"/>
            </a:ext>
          </a:extLst>
        </xdr:cNvPr>
        <xdr:cNvSpPr txBox="1">
          <a:spLocks noChangeArrowheads="1" noTextEdit="1"/>
        </xdr:cNvSpPr>
      </xdr:nvSpPr>
      <xdr:spPr bwMode="auto">
        <a:xfrm>
          <a:off x="4851905" y="11443837"/>
          <a:ext cx="1380208" cy="244152"/>
        </a:xfrm>
        <a:prstGeom prst="rect">
          <a:avLst/>
        </a:prstGeom>
        <a:solidFill>
          <a:schemeClr val="bg1"/>
        </a:solidFill>
        <a:ln w="9525">
          <a:noFill/>
          <a:miter lim="800000"/>
          <a:headEnd/>
          <a:tailEnd/>
        </a:ln>
      </xdr:spPr>
      <xdr:txBody>
        <a:bodyPr vertOverflow="clip" wrap="square" lIns="27432" tIns="22860" rIns="0" bIns="22860" anchor="ctr" upright="1"/>
        <a:lstStyle/>
        <a:p>
          <a:pPr algn="l" rtl="0">
            <a:defRPr sz="1000"/>
          </a:pPr>
          <a:fld id="{95DD25AA-EC3B-4C80-B80E-8DC148525216}" type="TxLink">
            <a:rPr lang="en-US" sz="1050" b="1" i="0" u="none" strike="noStrike" baseline="0">
              <a:solidFill>
                <a:srgbClr val="002060"/>
              </a:solidFill>
              <a:latin typeface="Arial"/>
              <a:cs typeface="Arial"/>
            </a:rPr>
            <a:pPr algn="l" rtl="0">
              <a:defRPr sz="1000"/>
            </a:pPr>
            <a:t>Phase Margin = 67°</a:t>
          </a:fld>
          <a:endParaRPr lang="en-US" sz="1050" b="1" i="0" u="none" strike="noStrike" baseline="0">
            <a:solidFill>
              <a:srgbClr val="002060"/>
            </a:solidFill>
            <a:latin typeface="Arial"/>
            <a:cs typeface="Arial"/>
          </a:endParaRPr>
        </a:p>
      </xdr:txBody>
    </xdr:sp>
    <xdr:clientData/>
  </xdr:twoCellAnchor>
  <xdr:twoCellAnchor>
    <xdr:from>
      <xdr:col>6</xdr:col>
      <xdr:colOff>337037</xdr:colOff>
      <xdr:row>78</xdr:row>
      <xdr:rowOff>0</xdr:rowOff>
    </xdr:from>
    <xdr:to>
      <xdr:col>16</xdr:col>
      <xdr:colOff>2154115</xdr:colOff>
      <xdr:row>104</xdr:row>
      <xdr:rowOff>77932</xdr:rowOff>
    </xdr:to>
    <xdr:graphicFrame macro="">
      <xdr:nvGraphicFramePr>
        <xdr:cNvPr id="22339318" name="Chart 253">
          <a:extLst>
            <a:ext uri="{FF2B5EF4-FFF2-40B4-BE49-F238E27FC236}">
              <a16:creationId xmlns:a16="http://schemas.microsoft.com/office/drawing/2014/main" id="{00000000-0008-0000-0000-0000F6DE54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246536</xdr:colOff>
      <xdr:row>12</xdr:row>
      <xdr:rowOff>170370</xdr:rowOff>
    </xdr:from>
    <xdr:to>
      <xdr:col>6</xdr:col>
      <xdr:colOff>509471</xdr:colOff>
      <xdr:row>13</xdr:row>
      <xdr:rowOff>139834</xdr:rowOff>
    </xdr:to>
    <xdr:sp macro="" textlink="">
      <xdr:nvSpPr>
        <xdr:cNvPr id="2272" name="Text Box 224">
          <a:extLst>
            <a:ext uri="{FF2B5EF4-FFF2-40B4-BE49-F238E27FC236}">
              <a16:creationId xmlns:a16="http://schemas.microsoft.com/office/drawing/2014/main" id="{00000000-0008-0000-0000-0000E0080000}"/>
            </a:ext>
          </a:extLst>
        </xdr:cNvPr>
        <xdr:cNvSpPr txBox="1">
          <a:spLocks noChangeArrowheads="1"/>
        </xdr:cNvSpPr>
      </xdr:nvSpPr>
      <xdr:spPr bwMode="auto">
        <a:xfrm>
          <a:off x="3726824" y="2764101"/>
          <a:ext cx="262935" cy="218579"/>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000" b="0" i="0" strike="noStrike">
              <a:solidFill>
                <a:srgbClr val="000000"/>
              </a:solidFill>
              <a:latin typeface="Arial" pitchFamily="34" charset="0"/>
              <a:cs typeface="Arial" pitchFamily="34" charset="0"/>
            </a:rPr>
            <a:t>C</a:t>
          </a:r>
          <a:r>
            <a:rPr lang="en-US" sz="1000" b="0" i="0" strike="noStrike" baseline="-25000">
              <a:solidFill>
                <a:srgbClr val="000000"/>
              </a:solidFill>
              <a:latin typeface="Arial" pitchFamily="34" charset="0"/>
              <a:cs typeface="Arial" pitchFamily="34" charset="0"/>
            </a:rPr>
            <a:t>C3</a:t>
          </a:r>
        </a:p>
      </xdr:txBody>
    </xdr:sp>
    <xdr:clientData/>
  </xdr:twoCellAnchor>
  <xdr:twoCellAnchor>
    <xdr:from>
      <xdr:col>7</xdr:col>
      <xdr:colOff>464135</xdr:colOff>
      <xdr:row>10</xdr:row>
      <xdr:rowOff>132617</xdr:rowOff>
    </xdr:from>
    <xdr:to>
      <xdr:col>8</xdr:col>
      <xdr:colOff>17310</xdr:colOff>
      <xdr:row>11</xdr:row>
      <xdr:rowOff>139333</xdr:rowOff>
    </xdr:to>
    <xdr:sp macro="" textlink="">
      <xdr:nvSpPr>
        <xdr:cNvPr id="2273" name="Text Box 225">
          <a:extLst>
            <a:ext uri="{FF2B5EF4-FFF2-40B4-BE49-F238E27FC236}">
              <a16:creationId xmlns:a16="http://schemas.microsoft.com/office/drawing/2014/main" id="{00000000-0008-0000-0000-0000E1080000}"/>
            </a:ext>
          </a:extLst>
        </xdr:cNvPr>
        <xdr:cNvSpPr txBox="1">
          <a:spLocks noChangeArrowheads="1"/>
        </xdr:cNvSpPr>
      </xdr:nvSpPr>
      <xdr:spPr bwMode="auto">
        <a:xfrm>
          <a:off x="4521785" y="2380517"/>
          <a:ext cx="343750" cy="206741"/>
        </a:xfrm>
        <a:prstGeom prst="rect">
          <a:avLst/>
        </a:prstGeom>
        <a:noFill/>
        <a:ln w="9525">
          <a:noFill/>
          <a:miter lim="800000"/>
          <a:headEnd/>
          <a:tailEnd/>
        </a:ln>
      </xdr:spPr>
      <xdr:txBody>
        <a:bodyPr vertOverflow="clip" wrap="square" lIns="27432" tIns="27432" rIns="0" bIns="0" anchor="ctr" upright="1"/>
        <a:lstStyle/>
        <a:p>
          <a:pPr algn="ctr" rtl="0">
            <a:defRPr sz="1000"/>
          </a:pPr>
          <a:r>
            <a:rPr lang="en-US" sz="1000" b="0" i="0" strike="noStrike">
              <a:solidFill>
                <a:srgbClr val="000000"/>
              </a:solidFill>
              <a:latin typeface="Arial" pitchFamily="34" charset="0"/>
              <a:cs typeface="Arial" pitchFamily="34" charset="0"/>
            </a:rPr>
            <a:t>R</a:t>
          </a:r>
          <a:r>
            <a:rPr lang="en-US" sz="1000" b="0" i="0" strike="noStrike" baseline="-25000">
              <a:solidFill>
                <a:srgbClr val="000000"/>
              </a:solidFill>
              <a:latin typeface="Arial" pitchFamily="34" charset="0"/>
              <a:cs typeface="Arial" pitchFamily="34" charset="0"/>
            </a:rPr>
            <a:t>FB1</a:t>
          </a:r>
        </a:p>
      </xdr:txBody>
    </xdr:sp>
    <xdr:clientData/>
  </xdr:twoCellAnchor>
  <xdr:twoCellAnchor>
    <xdr:from>
      <xdr:col>6</xdr:col>
      <xdr:colOff>301722</xdr:colOff>
      <xdr:row>10</xdr:row>
      <xdr:rowOff>26379</xdr:rowOff>
    </xdr:from>
    <xdr:to>
      <xdr:col>6</xdr:col>
      <xdr:colOff>566834</xdr:colOff>
      <xdr:row>11</xdr:row>
      <xdr:rowOff>73209</xdr:rowOff>
    </xdr:to>
    <xdr:sp macro="" textlink="">
      <xdr:nvSpPr>
        <xdr:cNvPr id="2275" name="Text Box 227">
          <a:extLst>
            <a:ext uri="{FF2B5EF4-FFF2-40B4-BE49-F238E27FC236}">
              <a16:creationId xmlns:a16="http://schemas.microsoft.com/office/drawing/2014/main" id="{00000000-0008-0000-0000-0000E3080000}"/>
            </a:ext>
          </a:extLst>
        </xdr:cNvPr>
        <xdr:cNvSpPr txBox="1">
          <a:spLocks noChangeArrowheads="1"/>
        </xdr:cNvSpPr>
      </xdr:nvSpPr>
      <xdr:spPr bwMode="auto">
        <a:xfrm>
          <a:off x="3787872" y="2274279"/>
          <a:ext cx="265112" cy="246855"/>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000" b="0" i="0" strike="noStrike">
              <a:solidFill>
                <a:srgbClr val="000000"/>
              </a:solidFill>
              <a:latin typeface="Arial" pitchFamily="34" charset="0"/>
              <a:cs typeface="Arial" pitchFamily="34" charset="0"/>
            </a:rPr>
            <a:t>R</a:t>
          </a:r>
          <a:r>
            <a:rPr lang="en-US" sz="1000" b="0" i="0" strike="noStrike" baseline="-25000">
              <a:solidFill>
                <a:srgbClr val="000000"/>
              </a:solidFill>
              <a:latin typeface="Arial" pitchFamily="34" charset="0"/>
              <a:cs typeface="Arial" pitchFamily="34" charset="0"/>
            </a:rPr>
            <a:t>C2</a:t>
          </a:r>
        </a:p>
      </xdr:txBody>
    </xdr:sp>
    <xdr:clientData/>
  </xdr:twoCellAnchor>
  <xdr:twoCellAnchor>
    <xdr:from>
      <xdr:col>16</xdr:col>
      <xdr:colOff>1578130</xdr:colOff>
      <xdr:row>17</xdr:row>
      <xdr:rowOff>17484</xdr:rowOff>
    </xdr:from>
    <xdr:to>
      <xdr:col>16</xdr:col>
      <xdr:colOff>1997230</xdr:colOff>
      <xdr:row>18</xdr:row>
      <xdr:rowOff>47052</xdr:rowOff>
    </xdr:to>
    <xdr:sp macro="" textlink="">
      <xdr:nvSpPr>
        <xdr:cNvPr id="2276" name="Text Box 228">
          <a:extLst>
            <a:ext uri="{FF2B5EF4-FFF2-40B4-BE49-F238E27FC236}">
              <a16:creationId xmlns:a16="http://schemas.microsoft.com/office/drawing/2014/main" id="{00000000-0008-0000-0000-0000E4080000}"/>
            </a:ext>
          </a:extLst>
        </xdr:cNvPr>
        <xdr:cNvSpPr txBox="1">
          <a:spLocks noChangeArrowheads="1"/>
        </xdr:cNvSpPr>
      </xdr:nvSpPr>
      <xdr:spPr bwMode="auto">
        <a:xfrm>
          <a:off x="11807980" y="3570309"/>
          <a:ext cx="419100" cy="201018"/>
        </a:xfrm>
        <a:prstGeom prst="rect">
          <a:avLst/>
        </a:prstGeom>
        <a:noFill/>
        <a:ln w="9525">
          <a:noFill/>
          <a:miter lim="800000"/>
          <a:headEnd/>
          <a:tailEnd/>
        </a:ln>
      </xdr:spPr>
      <xdr:txBody>
        <a:bodyPr vertOverflow="clip" wrap="square" lIns="27432" tIns="27432" rIns="0" bIns="0" anchor="ctr" upright="1"/>
        <a:lstStyle/>
        <a:p>
          <a:pPr algn="l" rtl="0">
            <a:defRPr sz="1000"/>
          </a:pPr>
          <a:r>
            <a:rPr lang="en-US" sz="1000" b="0" i="0" strike="noStrike">
              <a:solidFill>
                <a:srgbClr val="000000"/>
              </a:solidFill>
              <a:latin typeface="Arial" pitchFamily="34" charset="0"/>
              <a:cs typeface="Arial" pitchFamily="34" charset="0"/>
            </a:rPr>
            <a:t>C</a:t>
          </a:r>
          <a:r>
            <a:rPr lang="en-US" sz="1000" b="0" i="0" strike="noStrike" baseline="-25000">
              <a:solidFill>
                <a:srgbClr val="000000"/>
              </a:solidFill>
              <a:latin typeface="Arial" pitchFamily="34" charset="0"/>
              <a:cs typeface="Arial" pitchFamily="34" charset="0"/>
            </a:rPr>
            <a:t>OUT</a:t>
          </a:r>
        </a:p>
      </xdr:txBody>
    </xdr:sp>
    <xdr:clientData/>
  </xdr:twoCellAnchor>
  <xdr:twoCellAnchor>
    <xdr:from>
      <xdr:col>16</xdr:col>
      <xdr:colOff>1544764</xdr:colOff>
      <xdr:row>8</xdr:row>
      <xdr:rowOff>126959</xdr:rowOff>
    </xdr:from>
    <xdr:to>
      <xdr:col>16</xdr:col>
      <xdr:colOff>2020600</xdr:colOff>
      <xdr:row>10</xdr:row>
      <xdr:rowOff>44715</xdr:rowOff>
    </xdr:to>
    <xdr:sp macro="" textlink="">
      <xdr:nvSpPr>
        <xdr:cNvPr id="2279" name="Text Box 231">
          <a:extLst>
            <a:ext uri="{FF2B5EF4-FFF2-40B4-BE49-F238E27FC236}">
              <a16:creationId xmlns:a16="http://schemas.microsoft.com/office/drawing/2014/main" id="{00000000-0008-0000-0000-0000E7080000}"/>
            </a:ext>
          </a:extLst>
        </xdr:cNvPr>
        <xdr:cNvSpPr txBox="1">
          <a:spLocks noChangeArrowheads="1"/>
        </xdr:cNvSpPr>
      </xdr:nvSpPr>
      <xdr:spPr bwMode="auto">
        <a:xfrm>
          <a:off x="11784139" y="2047834"/>
          <a:ext cx="475836" cy="267006"/>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000" b="0" i="0" strike="noStrike">
              <a:solidFill>
                <a:srgbClr val="000000"/>
              </a:solidFill>
              <a:latin typeface="Arial" pitchFamily="34" charset="0"/>
              <a:cs typeface="Arial" pitchFamily="34" charset="0"/>
            </a:rPr>
            <a:t>R</a:t>
          </a:r>
          <a:r>
            <a:rPr lang="en-US" sz="1000" b="0" i="0" strike="noStrike" baseline="-25000">
              <a:solidFill>
                <a:srgbClr val="000000"/>
              </a:solidFill>
              <a:latin typeface="Arial" pitchFamily="34" charset="0"/>
              <a:cs typeface="Arial" pitchFamily="34" charset="0"/>
            </a:rPr>
            <a:t>ISET</a:t>
          </a:r>
        </a:p>
      </xdr:txBody>
    </xdr:sp>
    <xdr:clientData/>
  </xdr:twoCellAnchor>
  <xdr:twoCellAnchor>
    <xdr:from>
      <xdr:col>16</xdr:col>
      <xdr:colOff>1008203</xdr:colOff>
      <xdr:row>10</xdr:row>
      <xdr:rowOff>152437</xdr:rowOff>
    </xdr:from>
    <xdr:to>
      <xdr:col>16</xdr:col>
      <xdr:colOff>1216288</xdr:colOff>
      <xdr:row>11</xdr:row>
      <xdr:rowOff>166525</xdr:rowOff>
    </xdr:to>
    <xdr:sp macro="" textlink="">
      <xdr:nvSpPr>
        <xdr:cNvPr id="2281" name="Text Box 233">
          <a:extLst>
            <a:ext uri="{FF2B5EF4-FFF2-40B4-BE49-F238E27FC236}">
              <a16:creationId xmlns:a16="http://schemas.microsoft.com/office/drawing/2014/main" id="{00000000-0008-0000-0000-0000E9080000}"/>
            </a:ext>
          </a:extLst>
        </xdr:cNvPr>
        <xdr:cNvSpPr txBox="1">
          <a:spLocks noChangeArrowheads="1"/>
        </xdr:cNvSpPr>
      </xdr:nvSpPr>
      <xdr:spPr bwMode="auto">
        <a:xfrm>
          <a:off x="11221934" y="2379822"/>
          <a:ext cx="208085" cy="211915"/>
        </a:xfrm>
        <a:prstGeom prst="rect">
          <a:avLst/>
        </a:prstGeom>
        <a:noFill/>
        <a:ln w="9525">
          <a:noFill/>
          <a:miter lim="800000"/>
          <a:headEnd/>
          <a:tailEnd/>
        </a:ln>
      </xdr:spPr>
      <xdr:txBody>
        <a:bodyPr vertOverflow="clip" wrap="square" lIns="27432" tIns="27432" rIns="0" bIns="0" anchor="ctr" upright="1"/>
        <a:lstStyle/>
        <a:p>
          <a:pPr algn="l" rtl="0">
            <a:defRPr sz="1000"/>
          </a:pPr>
          <a:r>
            <a:rPr lang="en-US" sz="1000" b="0" i="0" strike="noStrike">
              <a:solidFill>
                <a:srgbClr val="000000"/>
              </a:solidFill>
              <a:latin typeface="Arial" pitchFamily="34" charset="0"/>
              <a:cs typeface="Arial" pitchFamily="34" charset="0"/>
            </a:rPr>
            <a:t>C</a:t>
          </a:r>
          <a:r>
            <a:rPr lang="en-US" sz="1000" b="0" i="0" strike="noStrike" baseline="-25000">
              <a:solidFill>
                <a:srgbClr val="000000"/>
              </a:solidFill>
              <a:latin typeface="Arial" pitchFamily="34" charset="0"/>
              <a:cs typeface="Arial" pitchFamily="34" charset="0"/>
            </a:rPr>
            <a:t>S</a:t>
          </a:r>
        </a:p>
      </xdr:txBody>
    </xdr:sp>
    <xdr:clientData/>
  </xdr:twoCellAnchor>
  <xdr:twoCellAnchor>
    <xdr:from>
      <xdr:col>16</xdr:col>
      <xdr:colOff>320311</xdr:colOff>
      <xdr:row>11</xdr:row>
      <xdr:rowOff>10002</xdr:rowOff>
    </xdr:from>
    <xdr:to>
      <xdr:col>16</xdr:col>
      <xdr:colOff>564172</xdr:colOff>
      <xdr:row>12</xdr:row>
      <xdr:rowOff>58657</xdr:rowOff>
    </xdr:to>
    <xdr:sp macro="" textlink="">
      <xdr:nvSpPr>
        <xdr:cNvPr id="2282" name="Text Box 234">
          <a:extLst>
            <a:ext uri="{FF2B5EF4-FFF2-40B4-BE49-F238E27FC236}">
              <a16:creationId xmlns:a16="http://schemas.microsoft.com/office/drawing/2014/main" id="{00000000-0008-0000-0000-0000EA080000}"/>
            </a:ext>
          </a:extLst>
        </xdr:cNvPr>
        <xdr:cNvSpPr txBox="1">
          <a:spLocks noChangeArrowheads="1"/>
        </xdr:cNvSpPr>
      </xdr:nvSpPr>
      <xdr:spPr bwMode="auto">
        <a:xfrm>
          <a:off x="10534042" y="2435214"/>
          <a:ext cx="243861" cy="217174"/>
        </a:xfrm>
        <a:prstGeom prst="rect">
          <a:avLst/>
        </a:prstGeom>
        <a:noFill/>
        <a:ln w="9525">
          <a:noFill/>
          <a:miter lim="800000"/>
          <a:headEnd/>
          <a:tailEnd/>
        </a:ln>
      </xdr:spPr>
      <xdr:txBody>
        <a:bodyPr vertOverflow="clip" wrap="square" lIns="27432" tIns="27432" rIns="0" bIns="0" anchor="ctr" upright="1"/>
        <a:lstStyle/>
        <a:p>
          <a:pPr algn="l" rtl="0">
            <a:defRPr sz="1000"/>
          </a:pPr>
          <a:r>
            <a:rPr lang="en-US" sz="1000" b="0" i="0" strike="noStrike">
              <a:solidFill>
                <a:srgbClr val="000000"/>
              </a:solidFill>
              <a:latin typeface="Arial" pitchFamily="34" charset="0"/>
              <a:cs typeface="Arial" pitchFamily="34" charset="0"/>
            </a:rPr>
            <a:t>R</a:t>
          </a:r>
          <a:r>
            <a:rPr lang="en-US" sz="1000" b="0" i="0" strike="noStrike" baseline="-25000">
              <a:solidFill>
                <a:srgbClr val="000000"/>
              </a:solidFill>
              <a:latin typeface="Arial" pitchFamily="34" charset="0"/>
              <a:cs typeface="Arial" pitchFamily="34" charset="0"/>
            </a:rPr>
            <a:t>S</a:t>
          </a:r>
        </a:p>
      </xdr:txBody>
    </xdr:sp>
    <xdr:clientData/>
  </xdr:twoCellAnchor>
  <xdr:twoCellAnchor>
    <xdr:from>
      <xdr:col>16</xdr:col>
      <xdr:colOff>213163</xdr:colOff>
      <xdr:row>14</xdr:row>
      <xdr:rowOff>124598</xdr:rowOff>
    </xdr:from>
    <xdr:to>
      <xdr:col>16</xdr:col>
      <xdr:colOff>555544</xdr:colOff>
      <xdr:row>16</xdr:row>
      <xdr:rowOff>59041</xdr:rowOff>
    </xdr:to>
    <xdr:sp macro="" textlink="">
      <xdr:nvSpPr>
        <xdr:cNvPr id="2283" name="Text Box 235">
          <a:extLst>
            <a:ext uri="{FF2B5EF4-FFF2-40B4-BE49-F238E27FC236}">
              <a16:creationId xmlns:a16="http://schemas.microsoft.com/office/drawing/2014/main" id="{00000000-0008-0000-0000-0000EB080000}"/>
            </a:ext>
          </a:extLst>
        </xdr:cNvPr>
        <xdr:cNvSpPr txBox="1">
          <a:spLocks noChangeArrowheads="1"/>
        </xdr:cNvSpPr>
      </xdr:nvSpPr>
      <xdr:spPr bwMode="auto">
        <a:xfrm>
          <a:off x="10452538" y="3188473"/>
          <a:ext cx="342381" cy="283693"/>
        </a:xfrm>
        <a:prstGeom prst="rect">
          <a:avLst/>
        </a:prstGeom>
        <a:noFill/>
        <a:ln w="9525">
          <a:noFill/>
          <a:miter lim="800000"/>
          <a:headEnd/>
          <a:tailEnd/>
        </a:ln>
      </xdr:spPr>
      <xdr:txBody>
        <a:bodyPr vertOverflow="clip" wrap="square" lIns="27432" tIns="27432" rIns="0" bIns="0" anchor="ctr" upright="1"/>
        <a:lstStyle/>
        <a:p>
          <a:pPr algn="l" rtl="0">
            <a:defRPr sz="1000"/>
          </a:pPr>
          <a:r>
            <a:rPr lang="en-US" sz="1000" b="0" i="0" strike="noStrike">
              <a:solidFill>
                <a:srgbClr val="000000"/>
              </a:solidFill>
              <a:latin typeface="Arial" pitchFamily="34" charset="0"/>
              <a:cs typeface="Arial" pitchFamily="34" charset="0"/>
            </a:rPr>
            <a:t>L</a:t>
          </a:r>
          <a:r>
            <a:rPr lang="en-US" sz="1000" b="0" i="0" strike="noStrike" baseline="-25000">
              <a:solidFill>
                <a:srgbClr val="000000"/>
              </a:solidFill>
              <a:latin typeface="Arial" pitchFamily="34" charset="0"/>
              <a:cs typeface="Arial" pitchFamily="34" charset="0"/>
            </a:rPr>
            <a:t>OUT</a:t>
          </a:r>
        </a:p>
      </xdr:txBody>
    </xdr:sp>
    <xdr:clientData/>
  </xdr:twoCellAnchor>
  <xdr:twoCellAnchor>
    <xdr:from>
      <xdr:col>10</xdr:col>
      <xdr:colOff>327021</xdr:colOff>
      <xdr:row>9</xdr:row>
      <xdr:rowOff>21565</xdr:rowOff>
    </xdr:from>
    <xdr:to>
      <xdr:col>11</xdr:col>
      <xdr:colOff>124120</xdr:colOff>
      <xdr:row>10</xdr:row>
      <xdr:rowOff>65592</xdr:rowOff>
    </xdr:to>
    <xdr:sp macro="" textlink="">
      <xdr:nvSpPr>
        <xdr:cNvPr id="2291" name="Text Box 243">
          <a:extLst>
            <a:ext uri="{FF2B5EF4-FFF2-40B4-BE49-F238E27FC236}">
              <a16:creationId xmlns:a16="http://schemas.microsoft.com/office/drawing/2014/main" id="{00000000-0008-0000-0000-0000F3080000}"/>
            </a:ext>
          </a:extLst>
        </xdr:cNvPr>
        <xdr:cNvSpPr txBox="1">
          <a:spLocks noChangeArrowheads="1"/>
        </xdr:cNvSpPr>
      </xdr:nvSpPr>
      <xdr:spPr bwMode="auto">
        <a:xfrm>
          <a:off x="6606194" y="2080430"/>
          <a:ext cx="405234" cy="212547"/>
        </a:xfrm>
        <a:prstGeom prst="rect">
          <a:avLst/>
        </a:prstGeom>
        <a:noFill/>
        <a:ln w="9525">
          <a:noFill/>
          <a:miter lim="800000"/>
          <a:headEnd/>
          <a:tailEnd/>
        </a:ln>
      </xdr:spPr>
      <xdr:txBody>
        <a:bodyPr vertOverflow="clip" wrap="square" lIns="27432" tIns="27432" rIns="0" bIns="0" anchor="t" upright="1"/>
        <a:lstStyle/>
        <a:p>
          <a:pPr algn="r" rtl="0">
            <a:defRPr sz="1000"/>
          </a:pPr>
          <a:r>
            <a:rPr lang="en-US" sz="1000" b="0" i="0" strike="noStrike">
              <a:solidFill>
                <a:srgbClr val="000000"/>
              </a:solidFill>
              <a:latin typeface="Arial" pitchFamily="34" charset="0"/>
              <a:cs typeface="Arial" pitchFamily="34" charset="0"/>
            </a:rPr>
            <a:t>100pF</a:t>
          </a:r>
        </a:p>
      </xdr:txBody>
    </xdr:sp>
    <xdr:clientData/>
  </xdr:twoCellAnchor>
  <xdr:twoCellAnchor>
    <xdr:from>
      <xdr:col>15</xdr:col>
      <xdr:colOff>380990</xdr:colOff>
      <xdr:row>17</xdr:row>
      <xdr:rowOff>113522</xdr:rowOff>
    </xdr:from>
    <xdr:to>
      <xdr:col>16</xdr:col>
      <xdr:colOff>30153</xdr:colOff>
      <xdr:row>18</xdr:row>
      <xdr:rowOff>146324</xdr:rowOff>
    </xdr:to>
    <xdr:sp macro="" textlink="">
      <xdr:nvSpPr>
        <xdr:cNvPr id="2292" name="Text Box 244">
          <a:extLst>
            <a:ext uri="{FF2B5EF4-FFF2-40B4-BE49-F238E27FC236}">
              <a16:creationId xmlns:a16="http://schemas.microsoft.com/office/drawing/2014/main" id="{00000000-0008-0000-0000-0000F4080000}"/>
            </a:ext>
          </a:extLst>
        </xdr:cNvPr>
        <xdr:cNvSpPr txBox="1">
          <a:spLocks noChangeArrowheads="1"/>
        </xdr:cNvSpPr>
      </xdr:nvSpPr>
      <xdr:spPr bwMode="auto">
        <a:xfrm>
          <a:off x="9934565" y="3666347"/>
          <a:ext cx="325438" cy="204252"/>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000" b="0" i="0" strike="noStrike">
              <a:solidFill>
                <a:srgbClr val="000000"/>
              </a:solidFill>
              <a:latin typeface="Arial" pitchFamily="34" charset="0"/>
              <a:cs typeface="Arial" pitchFamily="34" charset="0"/>
            </a:rPr>
            <a:t>C</a:t>
          </a:r>
          <a:r>
            <a:rPr lang="en-US" sz="1000" b="0" i="0" strike="noStrike" baseline="-25000">
              <a:solidFill>
                <a:srgbClr val="000000"/>
              </a:solidFill>
              <a:latin typeface="Arial" pitchFamily="34" charset="0"/>
              <a:cs typeface="Arial" pitchFamily="34" charset="0"/>
            </a:rPr>
            <a:t>IN</a:t>
          </a:r>
        </a:p>
      </xdr:txBody>
    </xdr:sp>
    <xdr:clientData/>
  </xdr:twoCellAnchor>
  <xdr:twoCellAnchor>
    <xdr:from>
      <xdr:col>13</xdr:col>
      <xdr:colOff>497804</xdr:colOff>
      <xdr:row>30</xdr:row>
      <xdr:rowOff>653</xdr:rowOff>
    </xdr:from>
    <xdr:to>
      <xdr:col>14</xdr:col>
      <xdr:colOff>212315</xdr:colOff>
      <xdr:row>31</xdr:row>
      <xdr:rowOff>53848</xdr:rowOff>
    </xdr:to>
    <xdr:sp macro="" textlink="">
      <xdr:nvSpPr>
        <xdr:cNvPr id="2293" name="Text Box 245">
          <a:extLst>
            <a:ext uri="{FF2B5EF4-FFF2-40B4-BE49-F238E27FC236}">
              <a16:creationId xmlns:a16="http://schemas.microsoft.com/office/drawing/2014/main" id="{00000000-0008-0000-0000-0000F5080000}"/>
            </a:ext>
          </a:extLst>
        </xdr:cNvPr>
        <xdr:cNvSpPr txBox="1">
          <a:spLocks noChangeArrowheads="1"/>
        </xdr:cNvSpPr>
      </xdr:nvSpPr>
      <xdr:spPr bwMode="auto">
        <a:xfrm>
          <a:off x="8870279" y="5934728"/>
          <a:ext cx="324111" cy="224645"/>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000" b="0" i="0" strike="noStrike">
              <a:solidFill>
                <a:srgbClr val="000000"/>
              </a:solidFill>
              <a:latin typeface="Arial" pitchFamily="34" charset="0"/>
              <a:cs typeface="Arial" pitchFamily="34" charset="0"/>
            </a:rPr>
            <a:t>R</a:t>
          </a:r>
          <a:r>
            <a:rPr lang="en-US" sz="1000" b="0" i="0" strike="noStrike" baseline="-25000">
              <a:solidFill>
                <a:srgbClr val="000000"/>
              </a:solidFill>
              <a:latin typeface="Arial" pitchFamily="34" charset="0"/>
              <a:cs typeface="Arial" pitchFamily="34" charset="0"/>
            </a:rPr>
            <a:t>VIN</a:t>
          </a:r>
        </a:p>
      </xdr:txBody>
    </xdr:sp>
    <xdr:clientData/>
  </xdr:twoCellAnchor>
  <xdr:twoCellAnchor>
    <xdr:from>
      <xdr:col>12</xdr:col>
      <xdr:colOff>356798</xdr:colOff>
      <xdr:row>30</xdr:row>
      <xdr:rowOff>38905</xdr:rowOff>
    </xdr:from>
    <xdr:to>
      <xdr:col>13</xdr:col>
      <xdr:colOff>71658</xdr:colOff>
      <xdr:row>31</xdr:row>
      <xdr:rowOff>68873</xdr:rowOff>
    </xdr:to>
    <xdr:sp macro="" textlink="">
      <xdr:nvSpPr>
        <xdr:cNvPr id="2294" name="Text Box 246">
          <a:extLst>
            <a:ext uri="{FF2B5EF4-FFF2-40B4-BE49-F238E27FC236}">
              <a16:creationId xmlns:a16="http://schemas.microsoft.com/office/drawing/2014/main" id="{00000000-0008-0000-0000-0000F6080000}"/>
            </a:ext>
          </a:extLst>
        </xdr:cNvPr>
        <xdr:cNvSpPr txBox="1">
          <a:spLocks noChangeArrowheads="1"/>
        </xdr:cNvSpPr>
      </xdr:nvSpPr>
      <xdr:spPr bwMode="auto">
        <a:xfrm>
          <a:off x="8087923" y="6039655"/>
          <a:ext cx="326048" cy="204593"/>
        </a:xfrm>
        <a:prstGeom prst="rect">
          <a:avLst/>
        </a:prstGeom>
        <a:noFill/>
        <a:ln w="9525">
          <a:noFill/>
          <a:miter lim="800000"/>
          <a:headEnd/>
          <a:tailEnd/>
        </a:ln>
      </xdr:spPr>
      <xdr:txBody>
        <a:bodyPr vertOverflow="clip" wrap="square" lIns="27432" tIns="27432" rIns="0" bIns="0" anchor="ctr" upright="1"/>
        <a:lstStyle/>
        <a:p>
          <a:pPr algn="ctr" rtl="0">
            <a:defRPr sz="1000"/>
          </a:pPr>
          <a:r>
            <a:rPr lang="en-US" sz="1000" b="0" i="0" strike="noStrike">
              <a:solidFill>
                <a:srgbClr val="000000"/>
              </a:solidFill>
              <a:latin typeface="Arial" pitchFamily="34" charset="0"/>
              <a:cs typeface="Arial" pitchFamily="34" charset="0"/>
            </a:rPr>
            <a:t>C</a:t>
          </a:r>
          <a:r>
            <a:rPr lang="en-US" sz="1000" b="0" i="0" strike="noStrike" baseline="-25000">
              <a:solidFill>
                <a:srgbClr val="000000"/>
              </a:solidFill>
              <a:latin typeface="Arial" pitchFamily="34" charset="0"/>
              <a:cs typeface="Arial" pitchFamily="34" charset="0"/>
            </a:rPr>
            <a:t>VIN</a:t>
          </a:r>
        </a:p>
      </xdr:txBody>
    </xdr:sp>
    <xdr:clientData/>
  </xdr:twoCellAnchor>
  <xdr:twoCellAnchor>
    <xdr:from>
      <xdr:col>14</xdr:col>
      <xdr:colOff>3175</xdr:colOff>
      <xdr:row>9</xdr:row>
      <xdr:rowOff>108115</xdr:rowOff>
    </xdr:from>
    <xdr:to>
      <xdr:col>14</xdr:col>
      <xdr:colOff>411286</xdr:colOff>
      <xdr:row>10</xdr:row>
      <xdr:rowOff>175380</xdr:rowOff>
    </xdr:to>
    <xdr:sp macro="" textlink="">
      <xdr:nvSpPr>
        <xdr:cNvPr id="2296" name="Text Box 248">
          <a:extLst>
            <a:ext uri="{FF2B5EF4-FFF2-40B4-BE49-F238E27FC236}">
              <a16:creationId xmlns:a16="http://schemas.microsoft.com/office/drawing/2014/main" id="{00000000-0008-0000-0000-0000F8080000}"/>
            </a:ext>
          </a:extLst>
        </xdr:cNvPr>
        <xdr:cNvSpPr txBox="1">
          <a:spLocks noChangeArrowheads="1"/>
        </xdr:cNvSpPr>
      </xdr:nvSpPr>
      <xdr:spPr bwMode="auto">
        <a:xfrm>
          <a:off x="8956675" y="2203615"/>
          <a:ext cx="408111" cy="241890"/>
        </a:xfrm>
        <a:prstGeom prst="rect">
          <a:avLst/>
        </a:prstGeom>
        <a:noFill/>
        <a:ln w="9525">
          <a:noFill/>
          <a:miter lim="800000"/>
          <a:headEnd/>
          <a:tailEnd/>
        </a:ln>
      </xdr:spPr>
      <xdr:txBody>
        <a:bodyPr vertOverflow="clip" wrap="square" lIns="27432" tIns="27432" rIns="0" bIns="0" anchor="ctr" upright="1"/>
        <a:lstStyle/>
        <a:p>
          <a:pPr algn="l" rtl="0">
            <a:defRPr sz="1000"/>
          </a:pPr>
          <a:r>
            <a:rPr lang="en-US" sz="1000" b="0" i="0" strike="noStrike">
              <a:solidFill>
                <a:srgbClr val="000000"/>
              </a:solidFill>
              <a:latin typeface="Arial" pitchFamily="34" charset="0"/>
              <a:cs typeface="Arial" pitchFamily="34" charset="0"/>
            </a:rPr>
            <a:t>D</a:t>
          </a:r>
          <a:r>
            <a:rPr lang="en-US" sz="1000" b="0" i="0" strike="noStrike" baseline="-25000">
              <a:solidFill>
                <a:srgbClr val="000000"/>
              </a:solidFill>
              <a:latin typeface="Arial" pitchFamily="34" charset="0"/>
              <a:cs typeface="Arial" pitchFamily="34" charset="0"/>
            </a:rPr>
            <a:t>BOOT</a:t>
          </a:r>
        </a:p>
      </xdr:txBody>
    </xdr:sp>
    <xdr:clientData/>
  </xdr:twoCellAnchor>
  <xdr:twoCellAnchor>
    <xdr:from>
      <xdr:col>14</xdr:col>
      <xdr:colOff>79442</xdr:colOff>
      <xdr:row>21</xdr:row>
      <xdr:rowOff>106916</xdr:rowOff>
    </xdr:from>
    <xdr:to>
      <xdr:col>14</xdr:col>
      <xdr:colOff>451755</xdr:colOff>
      <xdr:row>22</xdr:row>
      <xdr:rowOff>145873</xdr:rowOff>
    </xdr:to>
    <xdr:sp macro="" textlink="">
      <xdr:nvSpPr>
        <xdr:cNvPr id="2297" name="Text Box 249">
          <a:extLst>
            <a:ext uri="{FF2B5EF4-FFF2-40B4-BE49-F238E27FC236}">
              <a16:creationId xmlns:a16="http://schemas.microsoft.com/office/drawing/2014/main" id="{00000000-0008-0000-0000-0000F9080000}"/>
            </a:ext>
          </a:extLst>
        </xdr:cNvPr>
        <xdr:cNvSpPr txBox="1">
          <a:spLocks noChangeArrowheads="1"/>
        </xdr:cNvSpPr>
      </xdr:nvSpPr>
      <xdr:spPr bwMode="auto">
        <a:xfrm>
          <a:off x="9010961" y="4378512"/>
          <a:ext cx="372313" cy="207476"/>
        </a:xfrm>
        <a:prstGeom prst="rect">
          <a:avLst/>
        </a:prstGeom>
        <a:noFill/>
        <a:ln w="9525">
          <a:noFill/>
          <a:miter lim="800000"/>
          <a:headEnd/>
          <a:tailEnd/>
        </a:ln>
      </xdr:spPr>
      <xdr:txBody>
        <a:bodyPr vertOverflow="clip" wrap="square" lIns="27432" tIns="27432" rIns="0" bIns="0" anchor="ctr" upright="1"/>
        <a:lstStyle/>
        <a:p>
          <a:pPr algn="l" rtl="0">
            <a:defRPr sz="1000"/>
          </a:pPr>
          <a:r>
            <a:rPr lang="en-US" sz="1000" b="0" i="0" strike="noStrike">
              <a:solidFill>
                <a:srgbClr val="000000"/>
              </a:solidFill>
              <a:latin typeface="Arial" pitchFamily="34" charset="0"/>
              <a:cs typeface="Arial" pitchFamily="34" charset="0"/>
            </a:rPr>
            <a:t>C</a:t>
          </a:r>
          <a:r>
            <a:rPr lang="en-US" sz="1000" b="0" i="0" strike="noStrike" baseline="-25000">
              <a:solidFill>
                <a:srgbClr val="000000"/>
              </a:solidFill>
              <a:latin typeface="Arial" pitchFamily="34" charset="0"/>
              <a:cs typeface="Arial" pitchFamily="34" charset="0"/>
            </a:rPr>
            <a:t>VDD</a:t>
          </a:r>
        </a:p>
      </xdr:txBody>
    </xdr:sp>
    <xdr:clientData/>
  </xdr:twoCellAnchor>
  <xdr:twoCellAnchor>
    <xdr:from>
      <xdr:col>16</xdr:col>
      <xdr:colOff>358603</xdr:colOff>
      <xdr:row>8</xdr:row>
      <xdr:rowOff>97644</xdr:rowOff>
    </xdr:from>
    <xdr:to>
      <xdr:col>16</xdr:col>
      <xdr:colOff>666662</xdr:colOff>
      <xdr:row>9</xdr:row>
      <xdr:rowOff>159476</xdr:rowOff>
    </xdr:to>
    <xdr:sp macro="" textlink="">
      <xdr:nvSpPr>
        <xdr:cNvPr id="2298" name="Text Box 250">
          <a:extLst>
            <a:ext uri="{FF2B5EF4-FFF2-40B4-BE49-F238E27FC236}">
              <a16:creationId xmlns:a16="http://schemas.microsoft.com/office/drawing/2014/main" id="{00000000-0008-0000-0000-0000FA080000}"/>
            </a:ext>
          </a:extLst>
        </xdr:cNvPr>
        <xdr:cNvSpPr txBox="1">
          <a:spLocks noChangeArrowheads="1"/>
        </xdr:cNvSpPr>
      </xdr:nvSpPr>
      <xdr:spPr bwMode="auto">
        <a:xfrm>
          <a:off x="10588453" y="2002644"/>
          <a:ext cx="308059" cy="233282"/>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000" b="0" i="0" strike="noStrike">
              <a:solidFill>
                <a:srgbClr val="000000"/>
              </a:solidFill>
              <a:latin typeface="Arial" pitchFamily="34" charset="0"/>
              <a:cs typeface="Arial" pitchFamily="34" charset="0"/>
            </a:rPr>
            <a:t>R</a:t>
          </a:r>
          <a:r>
            <a:rPr lang="en-US" sz="1000" b="0" i="0" strike="noStrike" baseline="-25000">
              <a:solidFill>
                <a:srgbClr val="000000"/>
              </a:solidFill>
              <a:latin typeface="Arial" pitchFamily="34" charset="0"/>
              <a:cs typeface="Arial" pitchFamily="34" charset="0"/>
            </a:rPr>
            <a:t>CS</a:t>
          </a:r>
        </a:p>
        <a:p>
          <a:pPr algn="l" rtl="0">
            <a:defRPr sz="1000"/>
          </a:pPr>
          <a:r>
            <a:rPr lang="en-US" sz="1000" b="0" i="0" strike="noStrike" baseline="-25000">
              <a:solidFill>
                <a:srgbClr val="000000"/>
              </a:solidFill>
              <a:latin typeface="Arial" pitchFamily="34" charset="0"/>
              <a:cs typeface="Arial" pitchFamily="34" charset="0"/>
            </a:rPr>
            <a:t>ood</a:t>
          </a:r>
        </a:p>
      </xdr:txBody>
    </xdr:sp>
    <xdr:clientData/>
  </xdr:twoCellAnchor>
  <xdr:twoCellAnchor>
    <xdr:from>
      <xdr:col>8</xdr:col>
      <xdr:colOff>496810</xdr:colOff>
      <xdr:row>10</xdr:row>
      <xdr:rowOff>36711</xdr:rowOff>
    </xdr:from>
    <xdr:to>
      <xdr:col>9</xdr:col>
      <xdr:colOff>214366</xdr:colOff>
      <xdr:row>11</xdr:row>
      <xdr:rowOff>105946</xdr:rowOff>
    </xdr:to>
    <xdr:sp macro="" textlink="">
      <xdr:nvSpPr>
        <xdr:cNvPr id="2299" name="Text Box 251">
          <a:extLst>
            <a:ext uri="{FF2B5EF4-FFF2-40B4-BE49-F238E27FC236}">
              <a16:creationId xmlns:a16="http://schemas.microsoft.com/office/drawing/2014/main" id="{00000000-0008-0000-0000-0000FB080000}"/>
            </a:ext>
          </a:extLst>
        </xdr:cNvPr>
        <xdr:cNvSpPr txBox="1">
          <a:spLocks noChangeArrowheads="1"/>
        </xdr:cNvSpPr>
      </xdr:nvSpPr>
      <xdr:spPr bwMode="auto">
        <a:xfrm>
          <a:off x="5354560" y="2306836"/>
          <a:ext cx="328744" cy="267673"/>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000" b="0" i="0" strike="noStrike">
              <a:solidFill>
                <a:srgbClr val="000000"/>
              </a:solidFill>
              <a:latin typeface="Arial" pitchFamily="34" charset="0"/>
              <a:cs typeface="Arial" pitchFamily="34" charset="0"/>
            </a:rPr>
            <a:t>C</a:t>
          </a:r>
          <a:r>
            <a:rPr lang="en-US" sz="1000" b="0" i="0" strike="noStrike" baseline="-25000">
              <a:solidFill>
                <a:srgbClr val="000000"/>
              </a:solidFill>
              <a:latin typeface="Arial" pitchFamily="34" charset="0"/>
              <a:cs typeface="Arial" pitchFamily="34" charset="0"/>
            </a:rPr>
            <a:t>SS</a:t>
          </a:r>
        </a:p>
      </xdr:txBody>
    </xdr:sp>
    <xdr:clientData/>
  </xdr:twoCellAnchor>
  <xdr:twoCellAnchor>
    <xdr:from>
      <xdr:col>8</xdr:col>
      <xdr:colOff>409575</xdr:colOff>
      <xdr:row>27</xdr:row>
      <xdr:rowOff>29720</xdr:rowOff>
    </xdr:from>
    <xdr:to>
      <xdr:col>9</xdr:col>
      <xdr:colOff>161925</xdr:colOff>
      <xdr:row>27</xdr:row>
      <xdr:rowOff>29720</xdr:rowOff>
    </xdr:to>
    <xdr:sp macro="" textlink="">
      <xdr:nvSpPr>
        <xdr:cNvPr id="2300" name="Text Box 252">
          <a:extLst>
            <a:ext uri="{FF2B5EF4-FFF2-40B4-BE49-F238E27FC236}">
              <a16:creationId xmlns:a16="http://schemas.microsoft.com/office/drawing/2014/main" id="{00000000-0008-0000-0000-0000FC080000}"/>
            </a:ext>
          </a:extLst>
        </xdr:cNvPr>
        <xdr:cNvSpPr txBox="1">
          <a:spLocks noChangeArrowheads="1"/>
        </xdr:cNvSpPr>
      </xdr:nvSpPr>
      <xdr:spPr bwMode="auto">
        <a:xfrm>
          <a:off x="5257800" y="5506595"/>
          <a:ext cx="361950" cy="0"/>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100" b="0" i="0" strike="noStrike">
              <a:solidFill>
                <a:srgbClr val="000000"/>
              </a:solidFill>
              <a:latin typeface="Calibri"/>
            </a:rPr>
            <a:t>R</a:t>
          </a:r>
          <a:r>
            <a:rPr lang="en-US" sz="1100" b="0" i="0" strike="noStrike" baseline="-25000">
              <a:solidFill>
                <a:srgbClr val="000000"/>
              </a:solidFill>
              <a:latin typeface="Calibri"/>
            </a:rPr>
            <a:t>FADJ</a:t>
          </a:r>
        </a:p>
      </xdr:txBody>
    </xdr:sp>
    <xdr:clientData/>
  </xdr:twoCellAnchor>
  <xdr:twoCellAnchor>
    <xdr:from>
      <xdr:col>6</xdr:col>
      <xdr:colOff>562245</xdr:colOff>
      <xdr:row>21</xdr:row>
      <xdr:rowOff>26306</xdr:rowOff>
    </xdr:from>
    <xdr:to>
      <xdr:col>7</xdr:col>
      <xdr:colOff>348222</xdr:colOff>
      <xdr:row>22</xdr:row>
      <xdr:rowOff>56705</xdr:rowOff>
    </xdr:to>
    <xdr:sp macro="" textlink="">
      <xdr:nvSpPr>
        <xdr:cNvPr id="2303" name="Text Box 255">
          <a:extLst>
            <a:ext uri="{FF2B5EF4-FFF2-40B4-BE49-F238E27FC236}">
              <a16:creationId xmlns:a16="http://schemas.microsoft.com/office/drawing/2014/main" id="{00000000-0008-0000-0000-0000FF080000}"/>
            </a:ext>
          </a:extLst>
        </xdr:cNvPr>
        <xdr:cNvSpPr txBox="1">
          <a:spLocks noChangeArrowheads="1"/>
        </xdr:cNvSpPr>
      </xdr:nvSpPr>
      <xdr:spPr bwMode="auto">
        <a:xfrm>
          <a:off x="4048395" y="4341131"/>
          <a:ext cx="395577" cy="201849"/>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000" b="0" i="0" strike="noStrike">
              <a:solidFill>
                <a:srgbClr val="000000"/>
              </a:solidFill>
              <a:latin typeface="Arial" pitchFamily="34" charset="0"/>
              <a:cs typeface="Arial" pitchFamily="34" charset="0"/>
            </a:rPr>
            <a:t>R</a:t>
          </a:r>
          <a:r>
            <a:rPr lang="en-US" sz="1000" b="0" i="0" strike="noStrike" baseline="-25000">
              <a:solidFill>
                <a:srgbClr val="000000"/>
              </a:solidFill>
              <a:latin typeface="Arial" pitchFamily="34" charset="0"/>
              <a:cs typeface="Arial" pitchFamily="34" charset="0"/>
            </a:rPr>
            <a:t>FB2</a:t>
          </a:r>
        </a:p>
      </xdr:txBody>
    </xdr:sp>
    <xdr:clientData/>
  </xdr:twoCellAnchor>
  <xdr:twoCellAnchor>
    <xdr:from>
      <xdr:col>7</xdr:col>
      <xdr:colOff>553169</xdr:colOff>
      <xdr:row>19</xdr:row>
      <xdr:rowOff>140531</xdr:rowOff>
    </xdr:from>
    <xdr:to>
      <xdr:col>8</xdr:col>
      <xdr:colOff>6924</xdr:colOff>
      <xdr:row>20</xdr:row>
      <xdr:rowOff>107285</xdr:rowOff>
    </xdr:to>
    <xdr:sp macro="" textlink="">
      <xdr:nvSpPr>
        <xdr:cNvPr id="2304" name="Text Box 256">
          <a:extLst>
            <a:ext uri="{FF2B5EF4-FFF2-40B4-BE49-F238E27FC236}">
              <a16:creationId xmlns:a16="http://schemas.microsoft.com/office/drawing/2014/main" id="{00000000-0008-0000-0000-000000090000}"/>
            </a:ext>
          </a:extLst>
        </xdr:cNvPr>
        <xdr:cNvSpPr txBox="1">
          <a:spLocks noChangeArrowheads="1"/>
        </xdr:cNvSpPr>
      </xdr:nvSpPr>
      <xdr:spPr bwMode="auto">
        <a:xfrm>
          <a:off x="4617169" y="4077531"/>
          <a:ext cx="247505" cy="212817"/>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000" b="0" i="0" strike="noStrike">
              <a:solidFill>
                <a:srgbClr val="000000"/>
              </a:solidFill>
              <a:latin typeface="Arial" pitchFamily="34" charset="0"/>
              <a:cs typeface="Arial" pitchFamily="34" charset="0"/>
            </a:rPr>
            <a:t>C</a:t>
          </a:r>
          <a:r>
            <a:rPr lang="en-US" sz="1000" b="0" i="0" strike="noStrike" baseline="-25000">
              <a:solidFill>
                <a:srgbClr val="000000"/>
              </a:solidFill>
              <a:latin typeface="Arial" pitchFamily="34" charset="0"/>
              <a:cs typeface="Arial" pitchFamily="34" charset="0"/>
            </a:rPr>
            <a:t>C2</a:t>
          </a:r>
        </a:p>
      </xdr:txBody>
    </xdr:sp>
    <xdr:clientData/>
  </xdr:twoCellAnchor>
  <xdr:twoCellAnchor>
    <xdr:from>
      <xdr:col>8</xdr:col>
      <xdr:colOff>151206</xdr:colOff>
      <xdr:row>15</xdr:row>
      <xdr:rowOff>15809</xdr:rowOff>
    </xdr:from>
    <xdr:to>
      <xdr:col>8</xdr:col>
      <xdr:colOff>466255</xdr:colOff>
      <xdr:row>16</xdr:row>
      <xdr:rowOff>75419</xdr:rowOff>
    </xdr:to>
    <xdr:sp macro="" textlink="">
      <xdr:nvSpPr>
        <xdr:cNvPr id="2305" name="Text Box 257">
          <a:extLst>
            <a:ext uri="{FF2B5EF4-FFF2-40B4-BE49-F238E27FC236}">
              <a16:creationId xmlns:a16="http://schemas.microsoft.com/office/drawing/2014/main" id="{00000000-0008-0000-0000-000001090000}"/>
            </a:ext>
          </a:extLst>
        </xdr:cNvPr>
        <xdr:cNvSpPr txBox="1">
          <a:spLocks noChangeArrowheads="1"/>
        </xdr:cNvSpPr>
      </xdr:nvSpPr>
      <xdr:spPr bwMode="auto">
        <a:xfrm>
          <a:off x="5008956" y="3254309"/>
          <a:ext cx="315049" cy="234235"/>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000" b="0" i="0" strike="noStrike">
              <a:solidFill>
                <a:srgbClr val="000000"/>
              </a:solidFill>
              <a:latin typeface="Arial" pitchFamily="34" charset="0"/>
              <a:cs typeface="Arial" pitchFamily="34" charset="0"/>
            </a:rPr>
            <a:t>C</a:t>
          </a:r>
          <a:r>
            <a:rPr lang="en-US" sz="1000" b="0" i="0" strike="noStrike" baseline="-25000">
              <a:solidFill>
                <a:srgbClr val="000000"/>
              </a:solidFill>
              <a:latin typeface="Arial" pitchFamily="34" charset="0"/>
              <a:cs typeface="Arial" pitchFamily="34" charset="0"/>
            </a:rPr>
            <a:t>C1</a:t>
          </a:r>
        </a:p>
      </xdr:txBody>
    </xdr:sp>
    <xdr:clientData/>
  </xdr:twoCellAnchor>
  <xdr:twoCellAnchor>
    <xdr:from>
      <xdr:col>7</xdr:col>
      <xdr:colOff>533139</xdr:colOff>
      <xdr:row>15</xdr:row>
      <xdr:rowOff>34984</xdr:rowOff>
    </xdr:from>
    <xdr:to>
      <xdr:col>8</xdr:col>
      <xdr:colOff>52780</xdr:colOff>
      <xdr:row>16</xdr:row>
      <xdr:rowOff>101387</xdr:rowOff>
    </xdr:to>
    <xdr:sp macro="" textlink="">
      <xdr:nvSpPr>
        <xdr:cNvPr id="9616412" name="Text Box 258">
          <a:extLst>
            <a:ext uri="{FF2B5EF4-FFF2-40B4-BE49-F238E27FC236}">
              <a16:creationId xmlns:a16="http://schemas.microsoft.com/office/drawing/2014/main" id="{00000000-0008-0000-0000-00001CBC9200}"/>
            </a:ext>
          </a:extLst>
        </xdr:cNvPr>
        <xdr:cNvSpPr txBox="1">
          <a:spLocks noChangeArrowheads="1"/>
        </xdr:cNvSpPr>
      </xdr:nvSpPr>
      <xdr:spPr bwMode="auto">
        <a:xfrm>
          <a:off x="4590789" y="3244909"/>
          <a:ext cx="310216" cy="237853"/>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000" b="0" i="0" u="none" strike="noStrike" baseline="0">
              <a:solidFill>
                <a:srgbClr val="000000"/>
              </a:solidFill>
              <a:latin typeface="Arial" pitchFamily="34" charset="0"/>
              <a:cs typeface="Arial" pitchFamily="34" charset="0"/>
            </a:rPr>
            <a:t>R</a:t>
          </a:r>
          <a:r>
            <a:rPr lang="en-US" sz="1000" b="0" i="0" u="none" strike="noStrike" baseline="-25000">
              <a:solidFill>
                <a:srgbClr val="000000"/>
              </a:solidFill>
              <a:latin typeface="Arial" pitchFamily="34" charset="0"/>
              <a:cs typeface="Arial" pitchFamily="34" charset="0"/>
            </a:rPr>
            <a:t>C1</a:t>
          </a:r>
        </a:p>
      </xdr:txBody>
    </xdr:sp>
    <xdr:clientData/>
  </xdr:twoCellAnchor>
  <xdr:twoCellAnchor>
    <xdr:from>
      <xdr:col>10</xdr:col>
      <xdr:colOff>355728</xdr:colOff>
      <xdr:row>7</xdr:row>
      <xdr:rowOff>108705</xdr:rowOff>
    </xdr:from>
    <xdr:to>
      <xdr:col>11</xdr:col>
      <xdr:colOff>101602</xdr:colOff>
      <xdr:row>8</xdr:row>
      <xdr:rowOff>158153</xdr:rowOff>
    </xdr:to>
    <xdr:sp macro="" textlink="">
      <xdr:nvSpPr>
        <xdr:cNvPr id="2307" name="Text Box 259">
          <a:extLst>
            <a:ext uri="{FF2B5EF4-FFF2-40B4-BE49-F238E27FC236}">
              <a16:creationId xmlns:a16="http://schemas.microsoft.com/office/drawing/2014/main" id="{00000000-0008-0000-0000-000003090000}"/>
            </a:ext>
          </a:extLst>
        </xdr:cNvPr>
        <xdr:cNvSpPr txBox="1">
          <a:spLocks noChangeArrowheads="1"/>
        </xdr:cNvSpPr>
      </xdr:nvSpPr>
      <xdr:spPr bwMode="auto">
        <a:xfrm>
          <a:off x="6634901" y="1830532"/>
          <a:ext cx="354009" cy="217967"/>
        </a:xfrm>
        <a:prstGeom prst="rect">
          <a:avLst/>
        </a:prstGeom>
        <a:noFill/>
        <a:ln w="9525">
          <a:noFill/>
          <a:miter lim="800000"/>
          <a:headEnd/>
          <a:tailEnd/>
        </a:ln>
      </xdr:spPr>
      <xdr:txBody>
        <a:bodyPr vertOverflow="clip" wrap="square" lIns="27432" tIns="27432" rIns="0" bIns="0" anchor="t" upright="1"/>
        <a:lstStyle/>
        <a:p>
          <a:pPr algn="r" rtl="0">
            <a:defRPr sz="1000"/>
          </a:pPr>
          <a:r>
            <a:rPr lang="en-US" sz="1000" b="0" i="0" strike="noStrike">
              <a:solidFill>
                <a:srgbClr val="000000"/>
              </a:solidFill>
              <a:latin typeface="Arial" pitchFamily="34" charset="0"/>
              <a:cs typeface="Arial" pitchFamily="34" charset="0"/>
            </a:rPr>
            <a:t>C</a:t>
          </a:r>
          <a:r>
            <a:rPr lang="en-US" sz="1000" b="0" i="0" strike="noStrike" baseline="-25000">
              <a:solidFill>
                <a:srgbClr val="000000"/>
              </a:solidFill>
              <a:latin typeface="Arial" pitchFamily="34" charset="0"/>
              <a:cs typeface="Arial" pitchFamily="34" charset="0"/>
            </a:rPr>
            <a:t>CS</a:t>
          </a:r>
        </a:p>
      </xdr:txBody>
    </xdr:sp>
    <xdr:clientData/>
  </xdr:twoCellAnchor>
  <xdr:twoCellAnchor>
    <xdr:from>
      <xdr:col>14</xdr:col>
      <xdr:colOff>66199</xdr:colOff>
      <xdr:row>22</xdr:row>
      <xdr:rowOff>118733</xdr:rowOff>
    </xdr:from>
    <xdr:to>
      <xdr:col>14</xdr:col>
      <xdr:colOff>479852</xdr:colOff>
      <xdr:row>24</xdr:row>
      <xdr:rowOff>15608</xdr:rowOff>
    </xdr:to>
    <xdr:sp macro="" textlink="">
      <xdr:nvSpPr>
        <xdr:cNvPr id="2308" name="Text Box 260">
          <a:extLst>
            <a:ext uri="{FF2B5EF4-FFF2-40B4-BE49-F238E27FC236}">
              <a16:creationId xmlns:a16="http://schemas.microsoft.com/office/drawing/2014/main" id="{00000000-0008-0000-0000-000004090000}"/>
            </a:ext>
          </a:extLst>
        </xdr:cNvPr>
        <xdr:cNvSpPr txBox="1">
          <a:spLocks noChangeArrowheads="1"/>
        </xdr:cNvSpPr>
      </xdr:nvSpPr>
      <xdr:spPr bwMode="auto">
        <a:xfrm>
          <a:off x="8997718" y="4558848"/>
          <a:ext cx="413653" cy="233914"/>
        </a:xfrm>
        <a:prstGeom prst="rect">
          <a:avLst/>
        </a:prstGeom>
        <a:noFill/>
        <a:ln w="9525">
          <a:noFill/>
          <a:miter lim="800000"/>
          <a:headEnd/>
          <a:tailEnd/>
        </a:ln>
      </xdr:spPr>
      <xdr:txBody>
        <a:bodyPr vertOverflow="clip" wrap="square" lIns="27432" tIns="27432" rIns="0" bIns="0" anchor="ctr" upright="1"/>
        <a:lstStyle/>
        <a:p>
          <a:pPr algn="l" rtl="0">
            <a:defRPr sz="1000"/>
          </a:pPr>
          <a:r>
            <a:rPr lang="en-US" sz="1000" b="0" i="0" strike="noStrike">
              <a:solidFill>
                <a:srgbClr val="000000"/>
              </a:solidFill>
              <a:latin typeface="Arial" pitchFamily="34" charset="0"/>
              <a:cs typeface="Arial" pitchFamily="34" charset="0"/>
            </a:rPr>
            <a:t>4.7</a:t>
          </a:r>
          <a:r>
            <a:rPr lang="el-GR" sz="1000" b="0" i="0" strike="noStrike">
              <a:solidFill>
                <a:srgbClr val="000000"/>
              </a:solidFill>
              <a:latin typeface="Arial" pitchFamily="34" charset="0"/>
              <a:cs typeface="Arial" pitchFamily="34" charset="0"/>
            </a:rPr>
            <a:t>μ</a:t>
          </a:r>
          <a:r>
            <a:rPr lang="en-US" sz="1000" b="0" i="0" strike="noStrike">
              <a:solidFill>
                <a:srgbClr val="000000"/>
              </a:solidFill>
              <a:latin typeface="Arial" pitchFamily="34" charset="0"/>
              <a:cs typeface="Arial" pitchFamily="34" charset="0"/>
            </a:rPr>
            <a:t>F</a:t>
          </a:r>
        </a:p>
      </xdr:txBody>
    </xdr:sp>
    <xdr:clientData/>
  </xdr:twoCellAnchor>
  <xdr:twoCellAnchor>
    <xdr:from>
      <xdr:col>8</xdr:col>
      <xdr:colOff>55977</xdr:colOff>
      <xdr:row>16</xdr:row>
      <xdr:rowOff>42348</xdr:rowOff>
    </xdr:from>
    <xdr:to>
      <xdr:col>8</xdr:col>
      <xdr:colOff>558865</xdr:colOff>
      <xdr:row>17</xdr:row>
      <xdr:rowOff>86063</xdr:rowOff>
    </xdr:to>
    <xdr:sp macro="" textlink="'Variable Management'!B225">
      <xdr:nvSpPr>
        <xdr:cNvPr id="2309" name="Text Box 261">
          <a:extLst>
            <a:ext uri="{FF2B5EF4-FFF2-40B4-BE49-F238E27FC236}">
              <a16:creationId xmlns:a16="http://schemas.microsoft.com/office/drawing/2014/main" id="{00000000-0008-0000-0000-000005090000}"/>
            </a:ext>
          </a:extLst>
        </xdr:cNvPr>
        <xdr:cNvSpPr txBox="1">
          <a:spLocks noChangeArrowheads="1" noTextEdit="1"/>
        </xdr:cNvSpPr>
      </xdr:nvSpPr>
      <xdr:spPr bwMode="auto">
        <a:xfrm>
          <a:off x="4913727" y="3455473"/>
          <a:ext cx="502888" cy="218340"/>
        </a:xfrm>
        <a:prstGeom prst="rect">
          <a:avLst/>
        </a:prstGeom>
        <a:noFill/>
        <a:ln w="9525">
          <a:noFill/>
          <a:miter lim="800000"/>
          <a:headEnd/>
          <a:tailEnd/>
        </a:ln>
      </xdr:spPr>
      <xdr:txBody>
        <a:bodyPr vertOverflow="clip" wrap="square" lIns="27432" tIns="22860" rIns="0" bIns="0" anchor="t" upright="1"/>
        <a:lstStyle/>
        <a:p>
          <a:pPr algn="r" rtl="0">
            <a:defRPr sz="1000"/>
          </a:pPr>
          <a:fld id="{491934A6-59AB-480F-A883-A2630DEA4784}" type="TxLink">
            <a:rPr lang="en-US" sz="1000" b="0" i="0" u="none" strike="noStrike" baseline="0">
              <a:solidFill>
                <a:srgbClr val="000000"/>
              </a:solidFill>
              <a:latin typeface="Arial" pitchFamily="34" charset="0"/>
              <a:cs typeface="Arial" pitchFamily="34" charset="0"/>
            </a:rPr>
            <a:pPr algn="r" rtl="0">
              <a:defRPr sz="1000"/>
            </a:pPr>
            <a:t>680pF</a:t>
          </a:fld>
          <a:endParaRPr lang="en-US" sz="1000" b="0" i="0" u="none" strike="noStrike" baseline="0">
            <a:solidFill>
              <a:srgbClr val="000000"/>
            </a:solidFill>
            <a:latin typeface="Arial" pitchFamily="34" charset="0"/>
            <a:cs typeface="Arial" pitchFamily="34" charset="0"/>
          </a:endParaRPr>
        </a:p>
      </xdr:txBody>
    </xdr:sp>
    <xdr:clientData/>
  </xdr:twoCellAnchor>
  <xdr:twoCellAnchor>
    <xdr:from>
      <xdr:col>7</xdr:col>
      <xdr:colOff>555978</xdr:colOff>
      <xdr:row>20</xdr:row>
      <xdr:rowOff>80029</xdr:rowOff>
    </xdr:from>
    <xdr:to>
      <xdr:col>8</xdr:col>
      <xdr:colOff>223563</xdr:colOff>
      <xdr:row>21</xdr:row>
      <xdr:rowOff>111454</xdr:rowOff>
    </xdr:to>
    <xdr:sp macro="" textlink="'Variable Management'!B226">
      <xdr:nvSpPr>
        <xdr:cNvPr id="2310" name="Text Box 262">
          <a:extLst>
            <a:ext uri="{FF2B5EF4-FFF2-40B4-BE49-F238E27FC236}">
              <a16:creationId xmlns:a16="http://schemas.microsoft.com/office/drawing/2014/main" id="{00000000-0008-0000-0000-000006090000}"/>
            </a:ext>
          </a:extLst>
        </xdr:cNvPr>
        <xdr:cNvSpPr txBox="1">
          <a:spLocks noChangeArrowheads="1" noTextEdit="1"/>
        </xdr:cNvSpPr>
      </xdr:nvSpPr>
      <xdr:spPr bwMode="auto">
        <a:xfrm>
          <a:off x="4619978" y="4263092"/>
          <a:ext cx="461335" cy="206050"/>
        </a:xfrm>
        <a:prstGeom prst="rect">
          <a:avLst/>
        </a:prstGeom>
        <a:noFill/>
        <a:ln w="9525">
          <a:noFill/>
          <a:miter lim="800000"/>
          <a:headEnd/>
          <a:tailEnd/>
        </a:ln>
      </xdr:spPr>
      <xdr:txBody>
        <a:bodyPr vertOverflow="clip" wrap="square" lIns="27432" tIns="22860" rIns="0" bIns="0" anchor="t" upright="1"/>
        <a:lstStyle/>
        <a:p>
          <a:pPr algn="l" rtl="0">
            <a:defRPr sz="1000"/>
          </a:pPr>
          <a:fld id="{2D8520E2-C481-4B17-83BA-3FA209B7A03A}" type="TxLink">
            <a:rPr lang="en-US" sz="1000" b="0" i="0" u="none" strike="noStrike" baseline="0">
              <a:solidFill>
                <a:srgbClr val="000000"/>
              </a:solidFill>
              <a:latin typeface="Arial" pitchFamily="34" charset="0"/>
              <a:cs typeface="Arial" pitchFamily="34" charset="0"/>
            </a:rPr>
            <a:pPr algn="l" rtl="0">
              <a:defRPr sz="1000"/>
            </a:pPr>
            <a:t>6pF</a:t>
          </a:fld>
          <a:endParaRPr lang="en-US" sz="1000" b="0" i="0" u="none" strike="noStrike" baseline="0">
            <a:solidFill>
              <a:srgbClr val="000000"/>
            </a:solidFill>
            <a:latin typeface="Arial" pitchFamily="34" charset="0"/>
            <a:cs typeface="Arial" pitchFamily="34" charset="0"/>
          </a:endParaRPr>
        </a:p>
      </xdr:txBody>
    </xdr:sp>
    <xdr:clientData/>
  </xdr:twoCellAnchor>
  <xdr:twoCellAnchor>
    <xdr:from>
      <xdr:col>7</xdr:col>
      <xdr:colOff>392233</xdr:colOff>
      <xdr:row>16</xdr:row>
      <xdr:rowOff>72566</xdr:rowOff>
    </xdr:from>
    <xdr:to>
      <xdr:col>8</xdr:col>
      <xdr:colOff>112570</xdr:colOff>
      <xdr:row>17</xdr:row>
      <xdr:rowOff>106976</xdr:rowOff>
    </xdr:to>
    <xdr:sp macro="" textlink="'Variable Management'!B224">
      <xdr:nvSpPr>
        <xdr:cNvPr id="2311" name="Text Box 263">
          <a:extLst>
            <a:ext uri="{FF2B5EF4-FFF2-40B4-BE49-F238E27FC236}">
              <a16:creationId xmlns:a16="http://schemas.microsoft.com/office/drawing/2014/main" id="{00000000-0008-0000-0000-000007090000}"/>
            </a:ext>
          </a:extLst>
        </xdr:cNvPr>
        <xdr:cNvSpPr txBox="1">
          <a:spLocks noChangeArrowheads="1" noTextEdit="1"/>
        </xdr:cNvSpPr>
      </xdr:nvSpPr>
      <xdr:spPr bwMode="auto">
        <a:xfrm>
          <a:off x="4449883" y="3453941"/>
          <a:ext cx="510912" cy="205860"/>
        </a:xfrm>
        <a:prstGeom prst="rect">
          <a:avLst/>
        </a:prstGeom>
        <a:noFill/>
        <a:ln w="9525">
          <a:noFill/>
          <a:miter lim="800000"/>
          <a:headEnd/>
          <a:tailEnd/>
        </a:ln>
      </xdr:spPr>
      <xdr:txBody>
        <a:bodyPr vertOverflow="clip" wrap="square" lIns="27432" tIns="22860" rIns="0" bIns="0" anchor="t" upright="1"/>
        <a:lstStyle/>
        <a:p>
          <a:pPr algn="ctr" rtl="0">
            <a:defRPr sz="1000"/>
          </a:pPr>
          <a:fld id="{EDB14F34-7391-4353-9626-FAE030CE211F}" type="TxLink">
            <a:rPr lang="en-US" sz="1000" b="0" i="0" u="none" strike="noStrike" baseline="0">
              <a:solidFill>
                <a:srgbClr val="000000"/>
              </a:solidFill>
              <a:latin typeface="Arial" pitchFamily="34" charset="0"/>
              <a:cs typeface="Arial" pitchFamily="34" charset="0"/>
            </a:rPr>
            <a:pPr algn="ctr" rtl="0">
              <a:defRPr sz="1000"/>
            </a:pPr>
            <a:t>30.1kΩ</a:t>
          </a:fld>
          <a:endParaRPr lang="el-GR" sz="1000" b="0" i="0" u="none" strike="noStrike" baseline="0">
            <a:solidFill>
              <a:srgbClr val="000000"/>
            </a:solidFill>
            <a:latin typeface="Arial" pitchFamily="34" charset="0"/>
            <a:cs typeface="Arial" pitchFamily="34" charset="0"/>
          </a:endParaRPr>
        </a:p>
      </xdr:txBody>
    </xdr:sp>
    <xdr:clientData/>
  </xdr:twoCellAnchor>
  <xdr:twoCellAnchor>
    <xdr:from>
      <xdr:col>6</xdr:col>
      <xdr:colOff>265960</xdr:colOff>
      <xdr:row>22</xdr:row>
      <xdr:rowOff>71528</xdr:rowOff>
    </xdr:from>
    <xdr:to>
      <xdr:col>7</xdr:col>
      <xdr:colOff>254710</xdr:colOff>
      <xdr:row>23</xdr:row>
      <xdr:rowOff>115108</xdr:rowOff>
    </xdr:to>
    <xdr:sp macro="" textlink="'Variable Management'!B230">
      <xdr:nvSpPr>
        <xdr:cNvPr id="2312" name="Text Box 264">
          <a:extLst>
            <a:ext uri="{FF2B5EF4-FFF2-40B4-BE49-F238E27FC236}">
              <a16:creationId xmlns:a16="http://schemas.microsoft.com/office/drawing/2014/main" id="{00000000-0008-0000-0000-000008090000}"/>
            </a:ext>
          </a:extLst>
        </xdr:cNvPr>
        <xdr:cNvSpPr txBox="1">
          <a:spLocks noChangeArrowheads="1" noTextEdit="1"/>
        </xdr:cNvSpPr>
      </xdr:nvSpPr>
      <xdr:spPr bwMode="auto">
        <a:xfrm>
          <a:off x="3746248" y="4511643"/>
          <a:ext cx="560250" cy="212100"/>
        </a:xfrm>
        <a:prstGeom prst="rect">
          <a:avLst/>
        </a:prstGeom>
        <a:noFill/>
        <a:ln w="9525">
          <a:noFill/>
          <a:miter lim="800000"/>
          <a:headEnd/>
          <a:tailEnd/>
        </a:ln>
      </xdr:spPr>
      <xdr:txBody>
        <a:bodyPr vertOverflow="clip" wrap="square" lIns="27432" tIns="22860" rIns="0" bIns="0" anchor="t" upright="1"/>
        <a:lstStyle/>
        <a:p>
          <a:pPr algn="r" rtl="0">
            <a:defRPr sz="1000"/>
          </a:pPr>
          <a:fld id="{4143709D-01BC-4A19-AF00-5C62DAE21E0B}" type="TxLink">
            <a:rPr lang="en-US" sz="1000" b="0" i="0" u="none" strike="noStrike" baseline="0">
              <a:solidFill>
                <a:srgbClr val="000000"/>
              </a:solidFill>
              <a:latin typeface="Arial" pitchFamily="34" charset="0"/>
              <a:cs typeface="Arial" pitchFamily="34" charset="0"/>
            </a:rPr>
            <a:pPr algn="r" rtl="0">
              <a:defRPr sz="1000"/>
            </a:pPr>
            <a:t>5.36kΩ</a:t>
          </a:fld>
          <a:endParaRPr lang="el-GR" sz="1000" b="0" i="0" u="none" strike="noStrike" baseline="0">
            <a:solidFill>
              <a:srgbClr val="000000"/>
            </a:solidFill>
            <a:latin typeface="Arial" pitchFamily="34" charset="0"/>
            <a:cs typeface="Arial" pitchFamily="34" charset="0"/>
          </a:endParaRPr>
        </a:p>
      </xdr:txBody>
    </xdr:sp>
    <xdr:clientData/>
  </xdr:twoCellAnchor>
  <xdr:twoCellAnchor>
    <xdr:from>
      <xdr:col>6</xdr:col>
      <xdr:colOff>153781</xdr:colOff>
      <xdr:row>11</xdr:row>
      <xdr:rowOff>42521</xdr:rowOff>
    </xdr:from>
    <xdr:to>
      <xdr:col>6</xdr:col>
      <xdr:colOff>552243</xdr:colOff>
      <xdr:row>12</xdr:row>
      <xdr:rowOff>131700</xdr:rowOff>
    </xdr:to>
    <xdr:sp macro="" textlink="'Variable Management'!B227">
      <xdr:nvSpPr>
        <xdr:cNvPr id="2313" name="Text Box 265">
          <a:extLst>
            <a:ext uri="{FF2B5EF4-FFF2-40B4-BE49-F238E27FC236}">
              <a16:creationId xmlns:a16="http://schemas.microsoft.com/office/drawing/2014/main" id="{00000000-0008-0000-0000-000009090000}"/>
            </a:ext>
          </a:extLst>
        </xdr:cNvPr>
        <xdr:cNvSpPr txBox="1">
          <a:spLocks noChangeArrowheads="1" noTextEdit="1"/>
        </xdr:cNvSpPr>
      </xdr:nvSpPr>
      <xdr:spPr bwMode="auto">
        <a:xfrm>
          <a:off x="3639931" y="2490446"/>
          <a:ext cx="398462" cy="260629"/>
        </a:xfrm>
        <a:prstGeom prst="rect">
          <a:avLst/>
        </a:prstGeom>
        <a:noFill/>
        <a:ln w="9525">
          <a:noFill/>
          <a:miter lim="800000"/>
          <a:headEnd/>
          <a:tailEnd/>
        </a:ln>
      </xdr:spPr>
      <xdr:txBody>
        <a:bodyPr vertOverflow="clip" wrap="square" lIns="27432" tIns="22860" rIns="0" bIns="0" anchor="t" upright="1"/>
        <a:lstStyle/>
        <a:p>
          <a:pPr algn="r" rtl="0">
            <a:defRPr sz="1000"/>
          </a:pPr>
          <a:fld id="{8A5847E3-10F5-4FFF-8A55-57AE8AD8F48A}" type="TxLink">
            <a:rPr lang="el-GR" sz="1000" b="0" i="0" u="none" strike="noStrike" baseline="0">
              <a:solidFill>
                <a:srgbClr val="000000"/>
              </a:solidFill>
              <a:latin typeface="Arial" pitchFamily="34" charset="0"/>
              <a:cs typeface="Arial" pitchFamily="34" charset="0"/>
            </a:rPr>
            <a:pPr algn="r" rtl="0">
              <a:defRPr sz="1000"/>
            </a:pPr>
            <a:t>715Ω</a:t>
          </a:fld>
          <a:endParaRPr lang="el-GR" sz="1000" b="0" i="0" u="none" strike="noStrike" baseline="0">
            <a:solidFill>
              <a:srgbClr val="000000"/>
            </a:solidFill>
            <a:latin typeface="Arial" pitchFamily="34" charset="0"/>
            <a:cs typeface="Arial" pitchFamily="34" charset="0"/>
          </a:endParaRPr>
        </a:p>
      </xdr:txBody>
    </xdr:sp>
    <xdr:clientData/>
  </xdr:twoCellAnchor>
  <xdr:twoCellAnchor>
    <xdr:from>
      <xdr:col>6</xdr:col>
      <xdr:colOff>100556</xdr:colOff>
      <xdr:row>13</xdr:row>
      <xdr:rowOff>117933</xdr:rowOff>
    </xdr:from>
    <xdr:to>
      <xdr:col>6</xdr:col>
      <xdr:colOff>583432</xdr:colOff>
      <xdr:row>14</xdr:row>
      <xdr:rowOff>131613</xdr:rowOff>
    </xdr:to>
    <xdr:sp macro="" textlink="'Variable Management'!B228">
      <xdr:nvSpPr>
        <xdr:cNvPr id="2314" name="Text Box 266">
          <a:extLst>
            <a:ext uri="{FF2B5EF4-FFF2-40B4-BE49-F238E27FC236}">
              <a16:creationId xmlns:a16="http://schemas.microsoft.com/office/drawing/2014/main" id="{00000000-0008-0000-0000-00000A090000}"/>
            </a:ext>
          </a:extLst>
        </xdr:cNvPr>
        <xdr:cNvSpPr txBox="1">
          <a:spLocks noChangeArrowheads="1" noTextEdit="1"/>
        </xdr:cNvSpPr>
      </xdr:nvSpPr>
      <xdr:spPr bwMode="auto">
        <a:xfrm>
          <a:off x="3586706" y="2984958"/>
          <a:ext cx="482876" cy="185130"/>
        </a:xfrm>
        <a:prstGeom prst="rect">
          <a:avLst/>
        </a:prstGeom>
        <a:noFill/>
        <a:ln w="9525">
          <a:noFill/>
          <a:miter lim="800000"/>
          <a:headEnd/>
          <a:tailEnd/>
        </a:ln>
      </xdr:spPr>
      <xdr:txBody>
        <a:bodyPr vertOverflow="clip" wrap="square" lIns="27432" tIns="22860" rIns="0" bIns="0" anchor="t" upright="1"/>
        <a:lstStyle/>
        <a:p>
          <a:pPr algn="r" rtl="0">
            <a:defRPr sz="1000"/>
          </a:pPr>
          <a:fld id="{6C3BF70F-B67A-49A8-941F-821453611716}" type="TxLink">
            <a:rPr lang="en-US" sz="1000" b="0" i="0" u="none" strike="noStrike" baseline="0">
              <a:solidFill>
                <a:srgbClr val="000000"/>
              </a:solidFill>
              <a:latin typeface="Arial" pitchFamily="34" charset="0"/>
              <a:cs typeface="Arial" pitchFamily="34" charset="0"/>
            </a:rPr>
            <a:pPr algn="r" rtl="0">
              <a:defRPr sz="1000"/>
            </a:pPr>
            <a:t>150pF</a:t>
          </a:fld>
          <a:endParaRPr lang="en-US" sz="1000" b="0" i="0" u="none" strike="noStrike" baseline="0">
            <a:solidFill>
              <a:srgbClr val="000000"/>
            </a:solidFill>
            <a:latin typeface="Arial" pitchFamily="34" charset="0"/>
            <a:cs typeface="Arial" pitchFamily="34" charset="0"/>
          </a:endParaRPr>
        </a:p>
      </xdr:txBody>
    </xdr:sp>
    <xdr:clientData/>
  </xdr:twoCellAnchor>
  <xdr:twoCellAnchor>
    <xdr:from>
      <xdr:col>16</xdr:col>
      <xdr:colOff>1582511</xdr:colOff>
      <xdr:row>19</xdr:row>
      <xdr:rowOff>65227</xdr:rowOff>
    </xdr:from>
    <xdr:to>
      <xdr:col>16</xdr:col>
      <xdr:colOff>2083410</xdr:colOff>
      <xdr:row>20</xdr:row>
      <xdr:rowOff>22559</xdr:rowOff>
    </xdr:to>
    <xdr:sp macro="" textlink="'Variable Management'!B216">
      <xdr:nvSpPr>
        <xdr:cNvPr id="2315" name="Text Box 267">
          <a:extLst>
            <a:ext uri="{FF2B5EF4-FFF2-40B4-BE49-F238E27FC236}">
              <a16:creationId xmlns:a16="http://schemas.microsoft.com/office/drawing/2014/main" id="{00000000-0008-0000-0000-00000B090000}"/>
            </a:ext>
          </a:extLst>
        </xdr:cNvPr>
        <xdr:cNvSpPr txBox="1">
          <a:spLocks noChangeArrowheads="1" noTextEdit="1"/>
        </xdr:cNvSpPr>
      </xdr:nvSpPr>
      <xdr:spPr bwMode="auto">
        <a:xfrm>
          <a:off x="11796242" y="3919189"/>
          <a:ext cx="500899" cy="206447"/>
        </a:xfrm>
        <a:prstGeom prst="rect">
          <a:avLst/>
        </a:prstGeom>
        <a:noFill/>
        <a:ln w="9525">
          <a:noFill/>
          <a:miter lim="800000"/>
          <a:headEnd/>
          <a:tailEnd/>
        </a:ln>
      </xdr:spPr>
      <xdr:txBody>
        <a:bodyPr vertOverflow="clip" wrap="square" lIns="27432" tIns="22860" rIns="0" bIns="0" anchor="ctr" upright="1"/>
        <a:lstStyle/>
        <a:p>
          <a:pPr algn="l" rtl="0">
            <a:defRPr sz="1000"/>
          </a:pPr>
          <a:fld id="{DEF62FD0-959B-4627-B7E8-61CA1688D174}" type="TxLink">
            <a:rPr lang="en-US" sz="1000" b="0" i="0" u="none" strike="noStrike" baseline="0">
              <a:solidFill>
                <a:srgbClr val="000000"/>
              </a:solidFill>
              <a:latin typeface="Arial" pitchFamily="34" charset="0"/>
              <a:cs typeface="Arial" pitchFamily="34" charset="0"/>
            </a:rPr>
            <a:pPr algn="l" rtl="0">
              <a:defRPr sz="1000"/>
            </a:pPr>
            <a:t>120µF</a:t>
          </a:fld>
          <a:endParaRPr lang="en-US" sz="1000" b="0" i="0" u="none" strike="noStrike" baseline="0">
            <a:solidFill>
              <a:srgbClr val="000000"/>
            </a:solidFill>
            <a:latin typeface="Arial" pitchFamily="34" charset="0"/>
            <a:cs typeface="Arial" pitchFamily="34" charset="0"/>
          </a:endParaRPr>
        </a:p>
      </xdr:txBody>
    </xdr:sp>
    <xdr:clientData/>
  </xdr:twoCellAnchor>
  <xdr:twoCellAnchor>
    <xdr:from>
      <xdr:col>7</xdr:col>
      <xdr:colOff>484856</xdr:colOff>
      <xdr:row>11</xdr:row>
      <xdr:rowOff>121434</xdr:rowOff>
    </xdr:from>
    <xdr:to>
      <xdr:col>8</xdr:col>
      <xdr:colOff>219075</xdr:colOff>
      <xdr:row>12</xdr:row>
      <xdr:rowOff>247649</xdr:rowOff>
    </xdr:to>
    <xdr:sp macro="" textlink="'Variable Management'!B229">
      <xdr:nvSpPr>
        <xdr:cNvPr id="2316" name="Text Box 268">
          <a:extLst>
            <a:ext uri="{FF2B5EF4-FFF2-40B4-BE49-F238E27FC236}">
              <a16:creationId xmlns:a16="http://schemas.microsoft.com/office/drawing/2014/main" id="{00000000-0008-0000-0000-00000C090000}"/>
            </a:ext>
          </a:extLst>
        </xdr:cNvPr>
        <xdr:cNvSpPr txBox="1">
          <a:spLocks noChangeArrowheads="1" noTextEdit="1"/>
        </xdr:cNvSpPr>
      </xdr:nvSpPr>
      <xdr:spPr bwMode="auto">
        <a:xfrm>
          <a:off x="4542506" y="2569359"/>
          <a:ext cx="524794" cy="297665"/>
        </a:xfrm>
        <a:prstGeom prst="rect">
          <a:avLst/>
        </a:prstGeom>
        <a:noFill/>
        <a:ln w="9525">
          <a:noFill/>
          <a:miter lim="800000"/>
          <a:headEnd/>
          <a:tailEnd/>
        </a:ln>
      </xdr:spPr>
      <xdr:txBody>
        <a:bodyPr vertOverflow="clip" wrap="square" lIns="27432" tIns="22860" rIns="0" bIns="0" anchor="ctr" upright="1"/>
        <a:lstStyle/>
        <a:p>
          <a:pPr algn="l" rtl="0">
            <a:defRPr sz="1000"/>
          </a:pPr>
          <a:fld id="{DE4FB3C5-779F-4472-8885-3DB2A25A3AD8}" type="TxLink">
            <a:rPr lang="en-US" sz="1000" b="0" i="0" u="none" strike="noStrike">
              <a:solidFill>
                <a:srgbClr val="000000"/>
              </a:solidFill>
              <a:latin typeface="Arial" pitchFamily="34" charset="0"/>
              <a:cs typeface="Arial" pitchFamily="34" charset="0"/>
            </a:rPr>
            <a:pPr algn="l" rtl="0">
              <a:defRPr sz="1000"/>
            </a:pPr>
            <a:t>55kΩ</a:t>
          </a:fld>
          <a:endParaRPr lang="el-GR" sz="1000" b="0" i="0" strike="noStrike">
            <a:solidFill>
              <a:srgbClr val="000000"/>
            </a:solidFill>
            <a:latin typeface="Arial" pitchFamily="34" charset="0"/>
            <a:cs typeface="Arial" pitchFamily="34" charset="0"/>
          </a:endParaRPr>
        </a:p>
      </xdr:txBody>
    </xdr:sp>
    <xdr:clientData/>
  </xdr:twoCellAnchor>
  <xdr:twoCellAnchor>
    <xdr:from>
      <xdr:col>16</xdr:col>
      <xdr:colOff>190779</xdr:colOff>
      <xdr:row>12</xdr:row>
      <xdr:rowOff>3691</xdr:rowOff>
    </xdr:from>
    <xdr:to>
      <xdr:col>16</xdr:col>
      <xdr:colOff>636726</xdr:colOff>
      <xdr:row>12</xdr:row>
      <xdr:rowOff>239155</xdr:rowOff>
    </xdr:to>
    <xdr:sp macro="" textlink="'Variable Management'!B234">
      <xdr:nvSpPr>
        <xdr:cNvPr id="2317" name="Text Box 269">
          <a:extLst>
            <a:ext uri="{FF2B5EF4-FFF2-40B4-BE49-F238E27FC236}">
              <a16:creationId xmlns:a16="http://schemas.microsoft.com/office/drawing/2014/main" id="{00000000-0008-0000-0000-00000D090000}"/>
            </a:ext>
          </a:extLst>
        </xdr:cNvPr>
        <xdr:cNvSpPr txBox="1">
          <a:spLocks noChangeArrowheads="1" noTextEdit="1"/>
        </xdr:cNvSpPr>
      </xdr:nvSpPr>
      <xdr:spPr bwMode="auto">
        <a:xfrm>
          <a:off x="10430154" y="2646879"/>
          <a:ext cx="445947" cy="235464"/>
        </a:xfrm>
        <a:prstGeom prst="rect">
          <a:avLst/>
        </a:prstGeom>
        <a:noFill/>
        <a:ln w="9525">
          <a:noFill/>
          <a:miter lim="800000"/>
          <a:headEnd/>
          <a:tailEnd/>
        </a:ln>
      </xdr:spPr>
      <xdr:txBody>
        <a:bodyPr vertOverflow="clip" wrap="square" lIns="27432" tIns="22860" rIns="0" bIns="0" anchor="ctr" upright="1"/>
        <a:lstStyle/>
        <a:p>
          <a:pPr algn="r" rtl="0">
            <a:defRPr sz="1000"/>
          </a:pPr>
          <a:fld id="{27A338A4-7C29-466C-A69F-C7848480F98E}" type="TxLink">
            <a:rPr lang="en-US" sz="1000" b="0" i="0" u="none" strike="noStrike" baseline="0">
              <a:solidFill>
                <a:srgbClr val="000000"/>
              </a:solidFill>
              <a:latin typeface="Arial" pitchFamily="34" charset="0"/>
              <a:cs typeface="Arial" pitchFamily="34" charset="0"/>
            </a:rPr>
            <a:pPr algn="r" rtl="0">
              <a:defRPr sz="1000"/>
            </a:pPr>
            <a:t>7.32kΩ</a:t>
          </a:fld>
          <a:endParaRPr lang="el-GR" sz="1000" b="0" i="0" u="none" strike="noStrike" baseline="0">
            <a:solidFill>
              <a:srgbClr val="000000"/>
            </a:solidFill>
            <a:latin typeface="Arial" pitchFamily="34" charset="0"/>
            <a:cs typeface="Arial" pitchFamily="34" charset="0"/>
          </a:endParaRPr>
        </a:p>
      </xdr:txBody>
    </xdr:sp>
    <xdr:clientData/>
  </xdr:twoCellAnchor>
  <xdr:twoCellAnchor>
    <xdr:from>
      <xdr:col>16</xdr:col>
      <xdr:colOff>1537371</xdr:colOff>
      <xdr:row>9</xdr:row>
      <xdr:rowOff>167755</xdr:rowOff>
    </xdr:from>
    <xdr:to>
      <xdr:col>16</xdr:col>
      <xdr:colOff>2109354</xdr:colOff>
      <xdr:row>11</xdr:row>
      <xdr:rowOff>10250</xdr:rowOff>
    </xdr:to>
    <xdr:sp macro="" textlink="'Variable Management'!B235">
      <xdr:nvSpPr>
        <xdr:cNvPr id="2318" name="Text Box 270">
          <a:extLst>
            <a:ext uri="{FF2B5EF4-FFF2-40B4-BE49-F238E27FC236}">
              <a16:creationId xmlns:a16="http://schemas.microsoft.com/office/drawing/2014/main" id="{00000000-0008-0000-0000-00000E090000}"/>
            </a:ext>
          </a:extLst>
        </xdr:cNvPr>
        <xdr:cNvSpPr txBox="1">
          <a:spLocks noChangeArrowheads="1" noTextEdit="1"/>
        </xdr:cNvSpPr>
      </xdr:nvSpPr>
      <xdr:spPr bwMode="auto">
        <a:xfrm>
          <a:off x="11805321" y="2244205"/>
          <a:ext cx="571983" cy="213970"/>
        </a:xfrm>
        <a:prstGeom prst="rect">
          <a:avLst/>
        </a:prstGeom>
        <a:noFill/>
        <a:ln w="9525">
          <a:noFill/>
          <a:miter lim="800000"/>
          <a:headEnd/>
          <a:tailEnd/>
        </a:ln>
      </xdr:spPr>
      <xdr:txBody>
        <a:bodyPr vertOverflow="clip" wrap="square" lIns="27432" tIns="22860" rIns="0" bIns="0" anchor="t" upright="1"/>
        <a:lstStyle/>
        <a:p>
          <a:pPr algn="l" rtl="0">
            <a:defRPr sz="1000"/>
          </a:pPr>
          <a:fld id="{3598138F-5782-4266-A907-51E6D0258BC3}" type="TxLink">
            <a:rPr lang="en-US" sz="1000" b="0" i="0" u="none" strike="noStrike" baseline="0">
              <a:solidFill>
                <a:srgbClr val="000000"/>
              </a:solidFill>
              <a:latin typeface="Arial" pitchFamily="34" charset="0"/>
              <a:cs typeface="Arial" pitchFamily="34" charset="0"/>
            </a:rPr>
            <a:pPr algn="l" rtl="0">
              <a:defRPr sz="1000"/>
            </a:pPr>
            <a:t>1.43kΩ</a:t>
          </a:fld>
          <a:endParaRPr lang="el-GR" sz="1000" b="0" i="0" u="none" strike="noStrike" baseline="0">
            <a:solidFill>
              <a:srgbClr val="000000"/>
            </a:solidFill>
            <a:latin typeface="Arial" pitchFamily="34" charset="0"/>
            <a:cs typeface="Arial" pitchFamily="34" charset="0"/>
          </a:endParaRPr>
        </a:p>
      </xdr:txBody>
    </xdr:sp>
    <xdr:clientData/>
  </xdr:twoCellAnchor>
  <xdr:twoCellAnchor>
    <xdr:from>
      <xdr:col>16</xdr:col>
      <xdr:colOff>869705</xdr:colOff>
      <xdr:row>11</xdr:row>
      <xdr:rowOff>156615</xdr:rowOff>
    </xdr:from>
    <xdr:to>
      <xdr:col>16</xdr:col>
      <xdr:colOff>1346201</xdr:colOff>
      <xdr:row>12</xdr:row>
      <xdr:rowOff>236713</xdr:rowOff>
    </xdr:to>
    <xdr:sp macro="" textlink="'Variable Management'!B233">
      <xdr:nvSpPr>
        <xdr:cNvPr id="2322" name="Text Box 274">
          <a:extLst>
            <a:ext uri="{FF2B5EF4-FFF2-40B4-BE49-F238E27FC236}">
              <a16:creationId xmlns:a16="http://schemas.microsoft.com/office/drawing/2014/main" id="{00000000-0008-0000-0000-000012090000}"/>
            </a:ext>
          </a:extLst>
        </xdr:cNvPr>
        <xdr:cNvSpPr txBox="1">
          <a:spLocks noChangeArrowheads="1" noTextEdit="1"/>
        </xdr:cNvSpPr>
      </xdr:nvSpPr>
      <xdr:spPr bwMode="auto">
        <a:xfrm>
          <a:off x="11083436" y="2581827"/>
          <a:ext cx="476496" cy="248617"/>
        </a:xfrm>
        <a:prstGeom prst="rect">
          <a:avLst/>
        </a:prstGeom>
        <a:noFill/>
        <a:ln w="9525">
          <a:noFill/>
          <a:miter lim="800000"/>
          <a:headEnd/>
          <a:tailEnd/>
        </a:ln>
      </xdr:spPr>
      <xdr:txBody>
        <a:bodyPr vertOverflow="clip" wrap="square" lIns="27432" tIns="22860" rIns="0" bIns="0" anchor="t" upright="1"/>
        <a:lstStyle/>
        <a:p>
          <a:pPr algn="ctr" rtl="0">
            <a:defRPr sz="1000"/>
          </a:pPr>
          <a:fld id="{0DC16DAA-59E9-44C1-A2D2-01ECF4509AE4}" type="TxLink">
            <a:rPr lang="en-US" sz="1000" b="0" i="0" u="none" strike="noStrike">
              <a:solidFill>
                <a:srgbClr val="000000"/>
              </a:solidFill>
              <a:latin typeface="Arial" pitchFamily="34" charset="0"/>
              <a:cs typeface="Arial" pitchFamily="34" charset="0"/>
            </a:rPr>
            <a:pPr algn="ctr" rtl="0">
              <a:defRPr sz="1000"/>
            </a:pPr>
            <a:t>0.22µF</a:t>
          </a:fld>
          <a:endParaRPr lang="en-US" sz="1000" b="0" i="0" strike="noStrike">
            <a:solidFill>
              <a:srgbClr val="000000"/>
            </a:solidFill>
            <a:latin typeface="Arial" pitchFamily="34" charset="0"/>
            <a:cs typeface="Arial" pitchFamily="34" charset="0"/>
          </a:endParaRPr>
        </a:p>
      </xdr:txBody>
    </xdr:sp>
    <xdr:clientData/>
  </xdr:twoCellAnchor>
  <xdr:twoCellAnchor>
    <xdr:from>
      <xdr:col>15</xdr:col>
      <xdr:colOff>643927</xdr:colOff>
      <xdr:row>16</xdr:row>
      <xdr:rowOff>162383</xdr:rowOff>
    </xdr:from>
    <xdr:to>
      <xdr:col>16</xdr:col>
      <xdr:colOff>418794</xdr:colOff>
      <xdr:row>18</xdr:row>
      <xdr:rowOff>53386</xdr:rowOff>
    </xdr:to>
    <xdr:sp macro="" textlink="'Variable Management'!B212">
      <xdr:nvSpPr>
        <xdr:cNvPr id="2323" name="Text Box 275">
          <a:extLst>
            <a:ext uri="{FF2B5EF4-FFF2-40B4-BE49-F238E27FC236}">
              <a16:creationId xmlns:a16="http://schemas.microsoft.com/office/drawing/2014/main" id="{00000000-0008-0000-0000-000013090000}"/>
            </a:ext>
          </a:extLst>
        </xdr:cNvPr>
        <xdr:cNvSpPr txBox="1">
          <a:spLocks noChangeArrowheads="1" noTextEdit="1"/>
        </xdr:cNvSpPr>
      </xdr:nvSpPr>
      <xdr:spPr bwMode="auto">
        <a:xfrm>
          <a:off x="10183581" y="3510787"/>
          <a:ext cx="448944" cy="228041"/>
        </a:xfrm>
        <a:prstGeom prst="rect">
          <a:avLst/>
        </a:prstGeom>
        <a:noFill/>
        <a:ln w="9525">
          <a:noFill/>
          <a:miter lim="800000"/>
          <a:headEnd/>
          <a:tailEnd/>
        </a:ln>
      </xdr:spPr>
      <xdr:txBody>
        <a:bodyPr vertOverflow="clip" wrap="square" lIns="27432" tIns="22860" rIns="0" bIns="0" anchor="ctr" upright="1"/>
        <a:lstStyle/>
        <a:p>
          <a:pPr algn="r" rtl="0">
            <a:defRPr sz="1000"/>
          </a:pPr>
          <a:fld id="{08583DE7-3129-476B-98BE-2887A134E956}" type="TxLink">
            <a:rPr lang="en-US" sz="1000" b="0" i="0" u="none" strike="noStrike" baseline="0">
              <a:solidFill>
                <a:srgbClr val="000000"/>
              </a:solidFill>
              <a:latin typeface="Arial" pitchFamily="34" charset="0"/>
              <a:cs typeface="Arial" pitchFamily="34" charset="0"/>
            </a:rPr>
            <a:pPr algn="r" rtl="0">
              <a:defRPr sz="1000"/>
            </a:pPr>
            <a:t>0.47µH</a:t>
          </a:fld>
          <a:endParaRPr lang="en-US" sz="1000" b="0" i="0" u="none" strike="noStrike" baseline="0">
            <a:solidFill>
              <a:srgbClr val="000000"/>
            </a:solidFill>
            <a:latin typeface="Arial" pitchFamily="34" charset="0"/>
            <a:cs typeface="Arial" pitchFamily="34" charset="0"/>
          </a:endParaRPr>
        </a:p>
      </xdr:txBody>
    </xdr:sp>
    <xdr:clientData/>
  </xdr:twoCellAnchor>
  <xdr:twoCellAnchor>
    <xdr:from>
      <xdr:col>15</xdr:col>
      <xdr:colOff>332395</xdr:colOff>
      <xdr:row>18</xdr:row>
      <xdr:rowOff>138136</xdr:rowOff>
    </xdr:from>
    <xdr:to>
      <xdr:col>16</xdr:col>
      <xdr:colOff>128467</xdr:colOff>
      <xdr:row>19</xdr:row>
      <xdr:rowOff>188872</xdr:rowOff>
    </xdr:to>
    <xdr:sp macro="" textlink="'Variable Management'!B220">
      <xdr:nvSpPr>
        <xdr:cNvPr id="2324" name="Text Box 276">
          <a:extLst>
            <a:ext uri="{FF2B5EF4-FFF2-40B4-BE49-F238E27FC236}">
              <a16:creationId xmlns:a16="http://schemas.microsoft.com/office/drawing/2014/main" id="{00000000-0008-0000-0000-000014090000}"/>
            </a:ext>
          </a:extLst>
        </xdr:cNvPr>
        <xdr:cNvSpPr txBox="1">
          <a:spLocks noChangeArrowheads="1" noTextEdit="1"/>
        </xdr:cNvSpPr>
      </xdr:nvSpPr>
      <xdr:spPr bwMode="auto">
        <a:xfrm>
          <a:off x="9872049" y="3823578"/>
          <a:ext cx="470149" cy="219256"/>
        </a:xfrm>
        <a:prstGeom prst="rect">
          <a:avLst/>
        </a:prstGeom>
        <a:noFill/>
        <a:ln w="9525">
          <a:noFill/>
          <a:miter lim="800000"/>
          <a:headEnd/>
          <a:tailEnd/>
        </a:ln>
      </xdr:spPr>
      <xdr:txBody>
        <a:bodyPr vertOverflow="clip" wrap="square" lIns="27432" tIns="22860" rIns="0" bIns="0" anchor="ctr" upright="1"/>
        <a:lstStyle/>
        <a:p>
          <a:pPr algn="l" rtl="0">
            <a:defRPr sz="1000"/>
          </a:pPr>
          <a:fld id="{7E8F3901-1453-4951-8E28-510E65401D4C}" type="TxLink">
            <a:rPr lang="en-US" sz="1000" b="0" i="0" u="none" strike="noStrike" baseline="0">
              <a:solidFill>
                <a:srgbClr val="000000"/>
              </a:solidFill>
              <a:latin typeface="Arial" pitchFamily="34" charset="0"/>
              <a:cs typeface="Arial" pitchFamily="34" charset="0"/>
            </a:rPr>
            <a:pPr algn="l" rtl="0">
              <a:defRPr sz="1000"/>
            </a:pPr>
            <a:t>100µF</a:t>
          </a:fld>
          <a:endParaRPr lang="en-US" sz="1000" b="0" i="0" u="none" strike="noStrike" baseline="0">
            <a:solidFill>
              <a:srgbClr val="000000"/>
            </a:solidFill>
            <a:latin typeface="Arial" pitchFamily="34" charset="0"/>
            <a:cs typeface="Arial" pitchFamily="34" charset="0"/>
          </a:endParaRPr>
        </a:p>
      </xdr:txBody>
    </xdr:sp>
    <xdr:clientData/>
  </xdr:twoCellAnchor>
  <xdr:twoCellAnchor>
    <xdr:from>
      <xdr:col>13</xdr:col>
      <xdr:colOff>490078</xdr:colOff>
      <xdr:row>31</xdr:row>
      <xdr:rowOff>18384</xdr:rowOff>
    </xdr:from>
    <xdr:to>
      <xdr:col>14</xdr:col>
      <xdr:colOff>250710</xdr:colOff>
      <xdr:row>32</xdr:row>
      <xdr:rowOff>73563</xdr:rowOff>
    </xdr:to>
    <xdr:sp macro="" textlink="">
      <xdr:nvSpPr>
        <xdr:cNvPr id="2325" name="Text Box 277">
          <a:extLst>
            <a:ext uri="{FF2B5EF4-FFF2-40B4-BE49-F238E27FC236}">
              <a16:creationId xmlns:a16="http://schemas.microsoft.com/office/drawing/2014/main" id="{00000000-0008-0000-0000-000015090000}"/>
            </a:ext>
          </a:extLst>
        </xdr:cNvPr>
        <xdr:cNvSpPr txBox="1">
          <a:spLocks noChangeArrowheads="1"/>
        </xdr:cNvSpPr>
      </xdr:nvSpPr>
      <xdr:spPr bwMode="auto">
        <a:xfrm>
          <a:off x="8862553" y="6123909"/>
          <a:ext cx="370232" cy="226629"/>
        </a:xfrm>
        <a:prstGeom prst="rect">
          <a:avLst/>
        </a:prstGeom>
        <a:noFill/>
        <a:ln w="9525">
          <a:noFill/>
          <a:miter lim="800000"/>
          <a:headEnd/>
          <a:tailEnd/>
        </a:ln>
      </xdr:spPr>
      <xdr:txBody>
        <a:bodyPr vertOverflow="clip" wrap="square" lIns="27432" tIns="22860" rIns="0" bIns="0" anchor="t" upright="1"/>
        <a:lstStyle/>
        <a:p>
          <a:pPr algn="l" rtl="0">
            <a:defRPr sz="1000"/>
          </a:pPr>
          <a:r>
            <a:rPr lang="el-GR" sz="1000" b="0" i="0" strike="noStrike">
              <a:solidFill>
                <a:srgbClr val="000000"/>
              </a:solidFill>
              <a:latin typeface="Arial" pitchFamily="34" charset="0"/>
              <a:cs typeface="Arial" pitchFamily="34" charset="0"/>
            </a:rPr>
            <a:t>2.2Ω</a:t>
          </a:r>
        </a:p>
      </xdr:txBody>
    </xdr:sp>
    <xdr:clientData/>
  </xdr:twoCellAnchor>
  <xdr:twoCellAnchor>
    <xdr:from>
      <xdr:col>12</xdr:col>
      <xdr:colOff>366365</xdr:colOff>
      <xdr:row>31</xdr:row>
      <xdr:rowOff>75018</xdr:rowOff>
    </xdr:from>
    <xdr:to>
      <xdr:col>13</xdr:col>
      <xdr:colOff>80906</xdr:colOff>
      <xdr:row>32</xdr:row>
      <xdr:rowOff>144860</xdr:rowOff>
    </xdr:to>
    <xdr:sp macro="" textlink="">
      <xdr:nvSpPr>
        <xdr:cNvPr id="2326" name="Text Box 278">
          <a:extLst>
            <a:ext uri="{FF2B5EF4-FFF2-40B4-BE49-F238E27FC236}">
              <a16:creationId xmlns:a16="http://schemas.microsoft.com/office/drawing/2014/main" id="{00000000-0008-0000-0000-000016090000}"/>
            </a:ext>
          </a:extLst>
        </xdr:cNvPr>
        <xdr:cNvSpPr txBox="1">
          <a:spLocks noChangeArrowheads="1"/>
        </xdr:cNvSpPr>
      </xdr:nvSpPr>
      <xdr:spPr bwMode="auto">
        <a:xfrm>
          <a:off x="8097490" y="6250393"/>
          <a:ext cx="325729" cy="244467"/>
        </a:xfrm>
        <a:prstGeom prst="rect">
          <a:avLst/>
        </a:prstGeom>
        <a:noFill/>
        <a:ln w="9525">
          <a:noFill/>
          <a:miter lim="800000"/>
          <a:headEnd/>
          <a:tailEnd/>
        </a:ln>
      </xdr:spPr>
      <xdr:txBody>
        <a:bodyPr vertOverflow="clip" wrap="square" lIns="27432" tIns="22860" rIns="0" bIns="0" anchor="ctr" upright="1"/>
        <a:lstStyle/>
        <a:p>
          <a:pPr algn="ctr" rtl="0">
            <a:defRPr sz="1000"/>
          </a:pPr>
          <a:r>
            <a:rPr lang="en-US" sz="1000" b="0" i="0" strike="noStrike">
              <a:solidFill>
                <a:srgbClr val="000000"/>
              </a:solidFill>
              <a:latin typeface="Arial" pitchFamily="34" charset="0"/>
              <a:cs typeface="Arial" pitchFamily="34" charset="0"/>
            </a:rPr>
            <a:t>1µF</a:t>
          </a:r>
        </a:p>
      </xdr:txBody>
    </xdr:sp>
    <xdr:clientData/>
  </xdr:twoCellAnchor>
  <xdr:twoCellAnchor>
    <xdr:from>
      <xdr:col>13</xdr:col>
      <xdr:colOff>539864</xdr:colOff>
      <xdr:row>12</xdr:row>
      <xdr:rowOff>242352</xdr:rowOff>
    </xdr:from>
    <xdr:to>
      <xdr:col>14</xdr:col>
      <xdr:colOff>298428</xdr:colOff>
      <xdr:row>14</xdr:row>
      <xdr:rowOff>56950</xdr:rowOff>
    </xdr:to>
    <xdr:sp macro="" textlink="">
      <xdr:nvSpPr>
        <xdr:cNvPr id="2327" name="Text Box 279">
          <a:extLst>
            <a:ext uri="{FF2B5EF4-FFF2-40B4-BE49-F238E27FC236}">
              <a16:creationId xmlns:a16="http://schemas.microsoft.com/office/drawing/2014/main" id="{00000000-0008-0000-0000-000017090000}"/>
            </a:ext>
          </a:extLst>
        </xdr:cNvPr>
        <xdr:cNvSpPr txBox="1">
          <a:spLocks noChangeArrowheads="1"/>
        </xdr:cNvSpPr>
      </xdr:nvSpPr>
      <xdr:spPr bwMode="auto">
        <a:xfrm>
          <a:off x="8882177" y="2885540"/>
          <a:ext cx="369751" cy="235285"/>
        </a:xfrm>
        <a:prstGeom prst="rect">
          <a:avLst/>
        </a:prstGeom>
        <a:noFill/>
        <a:ln w="9525">
          <a:noFill/>
          <a:miter lim="800000"/>
          <a:headEnd/>
          <a:tailEnd/>
        </a:ln>
      </xdr:spPr>
      <xdr:txBody>
        <a:bodyPr vertOverflow="clip" wrap="square" lIns="27432" tIns="27432" rIns="0" bIns="0"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en-US" sz="1000" b="0" i="0">
              <a:latin typeface="Arial" pitchFamily="34" charset="0"/>
              <a:ea typeface="+mn-ea"/>
              <a:cs typeface="Arial" pitchFamily="34" charset="0"/>
            </a:rPr>
            <a:t>0.1</a:t>
          </a:r>
          <a:r>
            <a:rPr lang="el-GR" sz="1000" b="0" i="0">
              <a:latin typeface="Arial" pitchFamily="34" charset="0"/>
              <a:ea typeface="+mn-ea"/>
              <a:cs typeface="Arial" pitchFamily="34" charset="0"/>
            </a:rPr>
            <a:t>μ</a:t>
          </a:r>
          <a:r>
            <a:rPr lang="en-US" sz="1000" b="0" i="0">
              <a:latin typeface="Arial" pitchFamily="34" charset="0"/>
              <a:ea typeface="+mn-ea"/>
              <a:cs typeface="Arial" pitchFamily="34" charset="0"/>
            </a:rPr>
            <a:t>F</a:t>
          </a:r>
          <a:endParaRPr lang="en-US" sz="1000">
            <a:latin typeface="Arial" pitchFamily="34" charset="0"/>
            <a:cs typeface="Arial" pitchFamily="34" charset="0"/>
          </a:endParaRPr>
        </a:p>
      </xdr:txBody>
    </xdr:sp>
    <xdr:clientData/>
  </xdr:twoCellAnchor>
  <xdr:twoCellAnchor>
    <xdr:from>
      <xdr:col>8</xdr:col>
      <xdr:colOff>478935</xdr:colOff>
      <xdr:row>11</xdr:row>
      <xdr:rowOff>58380</xdr:rowOff>
    </xdr:from>
    <xdr:to>
      <xdr:col>9</xdr:col>
      <xdr:colOff>225341</xdr:colOff>
      <xdr:row>12</xdr:row>
      <xdr:rowOff>120315</xdr:rowOff>
    </xdr:to>
    <xdr:sp macro="" textlink="'Variable Management'!B240">
      <xdr:nvSpPr>
        <xdr:cNvPr id="2329" name="Text Box 281">
          <a:extLst>
            <a:ext uri="{FF2B5EF4-FFF2-40B4-BE49-F238E27FC236}">
              <a16:creationId xmlns:a16="http://schemas.microsoft.com/office/drawing/2014/main" id="{00000000-0008-0000-0000-000019090000}"/>
            </a:ext>
          </a:extLst>
        </xdr:cNvPr>
        <xdr:cNvSpPr txBox="1">
          <a:spLocks noChangeArrowheads="1" noTextEdit="1"/>
        </xdr:cNvSpPr>
      </xdr:nvSpPr>
      <xdr:spPr bwMode="auto">
        <a:xfrm>
          <a:off x="5327160" y="2506305"/>
          <a:ext cx="356006" cy="233385"/>
        </a:xfrm>
        <a:prstGeom prst="rect">
          <a:avLst/>
        </a:prstGeom>
        <a:noFill/>
        <a:ln w="9525">
          <a:noFill/>
          <a:miter lim="800000"/>
          <a:headEnd/>
          <a:tailEnd/>
        </a:ln>
      </xdr:spPr>
      <xdr:txBody>
        <a:bodyPr vertOverflow="clip" wrap="square" lIns="27432" tIns="22860" rIns="0" bIns="0" anchor="t" upright="1"/>
        <a:lstStyle/>
        <a:p>
          <a:pPr algn="l" rtl="0">
            <a:defRPr sz="1000"/>
          </a:pPr>
          <a:fld id="{77460045-3ADA-4E36-A50B-8C5C548E137C}" type="TxLink">
            <a:rPr lang="en-US" sz="1000" b="0" i="0" u="none" strike="noStrike">
              <a:solidFill>
                <a:srgbClr val="000000"/>
              </a:solidFill>
              <a:latin typeface="Arial" pitchFamily="34" charset="0"/>
              <a:cs typeface="Arial" pitchFamily="34" charset="0"/>
            </a:rPr>
            <a:pPr algn="l" rtl="0">
              <a:defRPr sz="1000"/>
            </a:pPr>
            <a:t>47nF</a:t>
          </a:fld>
          <a:endParaRPr lang="en-US" sz="1000" b="0" i="0" strike="noStrike">
            <a:solidFill>
              <a:srgbClr val="000000"/>
            </a:solidFill>
            <a:latin typeface="Arial" pitchFamily="34" charset="0"/>
            <a:cs typeface="Arial" pitchFamily="34" charset="0"/>
          </a:endParaRPr>
        </a:p>
      </xdr:txBody>
    </xdr:sp>
    <xdr:clientData/>
  </xdr:twoCellAnchor>
  <xdr:twoCellAnchor>
    <xdr:from>
      <xdr:col>15</xdr:col>
      <xdr:colOff>336616</xdr:colOff>
      <xdr:row>10</xdr:row>
      <xdr:rowOff>66826</xdr:rowOff>
    </xdr:from>
    <xdr:to>
      <xdr:col>16</xdr:col>
      <xdr:colOff>28353</xdr:colOff>
      <xdr:row>11</xdr:row>
      <xdr:rowOff>113736</xdr:rowOff>
    </xdr:to>
    <xdr:sp macro="" textlink="'Variable Management'!B244">
      <xdr:nvSpPr>
        <xdr:cNvPr id="2331" name="Text Box 283">
          <a:extLst>
            <a:ext uri="{FF2B5EF4-FFF2-40B4-BE49-F238E27FC236}">
              <a16:creationId xmlns:a16="http://schemas.microsoft.com/office/drawing/2014/main" id="{00000000-0008-0000-0000-00001B090000}"/>
            </a:ext>
          </a:extLst>
        </xdr:cNvPr>
        <xdr:cNvSpPr txBox="1">
          <a:spLocks noChangeArrowheads="1" noTextEdit="1"/>
        </xdr:cNvSpPr>
      </xdr:nvSpPr>
      <xdr:spPr bwMode="auto">
        <a:xfrm>
          <a:off x="9890191" y="2314726"/>
          <a:ext cx="368012" cy="246935"/>
        </a:xfrm>
        <a:prstGeom prst="rect">
          <a:avLst/>
        </a:prstGeom>
        <a:noFill/>
        <a:ln w="9525">
          <a:noFill/>
          <a:miter lim="800000"/>
          <a:headEnd/>
          <a:tailEnd/>
        </a:ln>
      </xdr:spPr>
      <xdr:txBody>
        <a:bodyPr vertOverflow="clip" wrap="square" lIns="27432" tIns="22860" rIns="0" bIns="0" anchor="t" upright="1"/>
        <a:lstStyle/>
        <a:p>
          <a:pPr algn="l" rtl="0">
            <a:defRPr sz="1000"/>
          </a:pPr>
          <a:fld id="{211B0151-B00E-493E-8C8F-6E492416D93B}" type="TxLink">
            <a:rPr lang="en-US" sz="1200" b="1" i="0" u="none" strike="noStrike">
              <a:solidFill>
                <a:srgbClr val="000000"/>
              </a:solidFill>
              <a:latin typeface="Arial" pitchFamily="34" charset="0"/>
              <a:cs typeface="Arial" pitchFamily="34" charset="0"/>
            </a:rPr>
            <a:pPr algn="l" rtl="0">
              <a:defRPr sz="1000"/>
            </a:pPr>
            <a:t>12V</a:t>
          </a:fld>
          <a:endParaRPr lang="en-US" sz="1200" b="1" i="0" strike="noStrike">
            <a:solidFill>
              <a:srgbClr val="000000"/>
            </a:solidFill>
            <a:latin typeface="Arial" pitchFamily="34" charset="0"/>
            <a:cs typeface="Arial" pitchFamily="34" charset="0"/>
          </a:endParaRPr>
        </a:p>
      </xdr:txBody>
    </xdr:sp>
    <xdr:clientData/>
  </xdr:twoCellAnchor>
  <xdr:twoCellAnchor>
    <xdr:from>
      <xdr:col>16</xdr:col>
      <xdr:colOff>1805742</xdr:colOff>
      <xdr:row>16</xdr:row>
      <xdr:rowOff>166463</xdr:rowOff>
    </xdr:from>
    <xdr:to>
      <xdr:col>16</xdr:col>
      <xdr:colOff>2284405</xdr:colOff>
      <xdr:row>18</xdr:row>
      <xdr:rowOff>15875</xdr:rowOff>
    </xdr:to>
    <xdr:sp macro="" textlink="'Variable Management'!B214">
      <xdr:nvSpPr>
        <xdr:cNvPr id="2333" name="Text Box 285">
          <a:extLst>
            <a:ext uri="{FF2B5EF4-FFF2-40B4-BE49-F238E27FC236}">
              <a16:creationId xmlns:a16="http://schemas.microsoft.com/office/drawing/2014/main" id="{00000000-0008-0000-0000-00001D090000}"/>
            </a:ext>
          </a:extLst>
        </xdr:cNvPr>
        <xdr:cNvSpPr txBox="1">
          <a:spLocks noChangeArrowheads="1" noTextEdit="1"/>
        </xdr:cNvSpPr>
      </xdr:nvSpPr>
      <xdr:spPr bwMode="auto">
        <a:xfrm>
          <a:off x="12073692" y="3547838"/>
          <a:ext cx="478663" cy="192312"/>
        </a:xfrm>
        <a:prstGeom prst="rect">
          <a:avLst/>
        </a:prstGeom>
        <a:noFill/>
        <a:ln w="9525">
          <a:noFill/>
          <a:miter lim="800000"/>
          <a:headEnd/>
          <a:tailEnd/>
        </a:ln>
      </xdr:spPr>
      <xdr:txBody>
        <a:bodyPr vertOverflow="clip" wrap="square" lIns="27432" tIns="22860" rIns="0" bIns="0" anchor="t" upright="1"/>
        <a:lstStyle/>
        <a:p>
          <a:pPr algn="r" rtl="0">
            <a:defRPr sz="1000"/>
          </a:pPr>
          <a:fld id="{702C2B8A-7C4B-4FDB-B229-3170089D9686}" type="TxLink">
            <a:rPr lang="en-US" sz="1200" b="1" i="0" u="none" strike="noStrike" baseline="0">
              <a:solidFill>
                <a:srgbClr val="000000"/>
              </a:solidFill>
              <a:latin typeface="Arial" pitchFamily="34" charset="0"/>
              <a:cs typeface="Arial" pitchFamily="34" charset="0"/>
            </a:rPr>
            <a:pPr algn="r" rtl="0">
              <a:defRPr sz="1000"/>
            </a:pPr>
            <a:t>6.75V</a:t>
          </a:fld>
          <a:endParaRPr lang="en-US" sz="1200" b="1" i="0" u="none" strike="noStrike" baseline="0">
            <a:solidFill>
              <a:srgbClr val="000000"/>
            </a:solidFill>
            <a:latin typeface="Arial" pitchFamily="34" charset="0"/>
            <a:cs typeface="Arial" pitchFamily="34" charset="0"/>
          </a:endParaRPr>
        </a:p>
      </xdr:txBody>
    </xdr:sp>
    <xdr:clientData/>
  </xdr:twoCellAnchor>
  <xdr:twoCellAnchor>
    <xdr:from>
      <xdr:col>16</xdr:col>
      <xdr:colOff>1771650</xdr:colOff>
      <xdr:row>18</xdr:row>
      <xdr:rowOff>4096</xdr:rowOff>
    </xdr:from>
    <xdr:to>
      <xdr:col>16</xdr:col>
      <xdr:colOff>2261977</xdr:colOff>
      <xdr:row>19</xdr:row>
      <xdr:rowOff>73543</xdr:rowOff>
    </xdr:to>
    <xdr:sp macro="" textlink="'Variable Management'!B243">
      <xdr:nvSpPr>
        <xdr:cNvPr id="2334" name="Text Box 286">
          <a:extLst>
            <a:ext uri="{FF2B5EF4-FFF2-40B4-BE49-F238E27FC236}">
              <a16:creationId xmlns:a16="http://schemas.microsoft.com/office/drawing/2014/main" id="{00000000-0008-0000-0000-00001E090000}"/>
            </a:ext>
          </a:extLst>
        </xdr:cNvPr>
        <xdr:cNvSpPr txBox="1">
          <a:spLocks noChangeArrowheads="1" noTextEdit="1"/>
        </xdr:cNvSpPr>
      </xdr:nvSpPr>
      <xdr:spPr bwMode="auto">
        <a:xfrm>
          <a:off x="12039600" y="3728371"/>
          <a:ext cx="490327" cy="240897"/>
        </a:xfrm>
        <a:prstGeom prst="rect">
          <a:avLst/>
        </a:prstGeom>
        <a:noFill/>
        <a:ln w="9525">
          <a:noFill/>
          <a:miter lim="800000"/>
          <a:headEnd/>
          <a:tailEnd/>
        </a:ln>
      </xdr:spPr>
      <xdr:txBody>
        <a:bodyPr vertOverflow="clip" wrap="square" lIns="27432" tIns="22860" rIns="0" bIns="0" anchor="t" upright="1"/>
        <a:lstStyle/>
        <a:p>
          <a:pPr algn="r" rtl="0">
            <a:defRPr sz="1000"/>
          </a:pPr>
          <a:fld id="{E0FB88FA-F39E-4ACF-AB5E-DCB628763AAE}" type="TxLink">
            <a:rPr lang="en-US" sz="1200" b="1" i="0" u="none" strike="noStrike">
              <a:solidFill>
                <a:srgbClr val="000000"/>
              </a:solidFill>
              <a:latin typeface="Arial" pitchFamily="34" charset="0"/>
              <a:cs typeface="Arial" pitchFamily="34" charset="0"/>
            </a:rPr>
            <a:pPr algn="r" rtl="0">
              <a:defRPr sz="1000"/>
            </a:pPr>
            <a:t>30A</a:t>
          </a:fld>
          <a:endParaRPr lang="en-US" sz="1200" b="1" i="0" strike="noStrike">
            <a:solidFill>
              <a:srgbClr val="000000"/>
            </a:solidFill>
            <a:latin typeface="Arial" pitchFamily="34" charset="0"/>
            <a:cs typeface="Arial" pitchFamily="34" charset="0"/>
          </a:endParaRPr>
        </a:p>
      </xdr:txBody>
    </xdr:sp>
    <xdr:clientData/>
  </xdr:twoCellAnchor>
  <xdr:twoCellAnchor>
    <xdr:from>
      <xdr:col>10</xdr:col>
      <xdr:colOff>0</xdr:colOff>
      <xdr:row>27</xdr:row>
      <xdr:rowOff>29720</xdr:rowOff>
    </xdr:from>
    <xdr:to>
      <xdr:col>10</xdr:col>
      <xdr:colOff>219075</xdr:colOff>
      <xdr:row>27</xdr:row>
      <xdr:rowOff>29720</xdr:rowOff>
    </xdr:to>
    <xdr:sp macro="" textlink="'Variable Management'!B254">
      <xdr:nvSpPr>
        <xdr:cNvPr id="2347" name="Text Box 299">
          <a:extLst>
            <a:ext uri="{FF2B5EF4-FFF2-40B4-BE49-F238E27FC236}">
              <a16:creationId xmlns:a16="http://schemas.microsoft.com/office/drawing/2014/main" id="{00000000-0008-0000-0000-00002B090000}"/>
            </a:ext>
          </a:extLst>
        </xdr:cNvPr>
        <xdr:cNvSpPr txBox="1">
          <a:spLocks noChangeArrowheads="1" noTextEdit="1"/>
        </xdr:cNvSpPr>
      </xdr:nvSpPr>
      <xdr:spPr bwMode="auto">
        <a:xfrm>
          <a:off x="6286500" y="5506595"/>
          <a:ext cx="219075" cy="0"/>
        </a:xfrm>
        <a:prstGeom prst="rect">
          <a:avLst/>
        </a:prstGeom>
        <a:noFill/>
        <a:ln w="9525">
          <a:noFill/>
          <a:miter lim="800000"/>
          <a:headEnd/>
          <a:tailEnd/>
        </a:ln>
      </xdr:spPr>
      <xdr:txBody>
        <a:bodyPr vertOverflow="clip" wrap="square" lIns="27432" tIns="22860" rIns="0" bIns="0" anchor="t" upright="1"/>
        <a:lstStyle/>
        <a:p>
          <a:pPr algn="l" rtl="0">
            <a:defRPr sz="1000"/>
          </a:pPr>
          <a:fld id="{497BFBE6-0671-4D0F-A59C-D9187795E36B}" type="TxLink">
            <a:rPr lang="en-US" sz="1000" b="0" i="0" u="none" strike="noStrike">
              <a:solidFill>
                <a:srgbClr val="000000"/>
              </a:solidFill>
              <a:latin typeface="Calibri"/>
              <a:cs typeface="Arial"/>
            </a:rPr>
            <a:pPr algn="l" rtl="0">
              <a:defRPr sz="1000"/>
            </a:pPr>
            <a:t>13</a:t>
          </a:fld>
          <a:endParaRPr lang="en-US" sz="1000" b="0" i="0" strike="noStrike">
            <a:solidFill>
              <a:srgbClr val="000000"/>
            </a:solidFill>
            <a:latin typeface="Calibri"/>
          </a:endParaRPr>
        </a:p>
      </xdr:txBody>
    </xdr:sp>
    <xdr:clientData/>
  </xdr:twoCellAnchor>
  <xdr:twoCellAnchor>
    <xdr:from>
      <xdr:col>7</xdr:col>
      <xdr:colOff>677191</xdr:colOff>
      <xdr:row>21</xdr:row>
      <xdr:rowOff>100517</xdr:rowOff>
    </xdr:from>
    <xdr:to>
      <xdr:col>8</xdr:col>
      <xdr:colOff>270243</xdr:colOff>
      <xdr:row>22</xdr:row>
      <xdr:rowOff>162049</xdr:rowOff>
    </xdr:to>
    <xdr:sp macro="" textlink="">
      <xdr:nvSpPr>
        <xdr:cNvPr id="90" name="Text Box 251">
          <a:extLst>
            <a:ext uri="{FF2B5EF4-FFF2-40B4-BE49-F238E27FC236}">
              <a16:creationId xmlns:a16="http://schemas.microsoft.com/office/drawing/2014/main" id="{00000000-0008-0000-0000-00005A000000}"/>
            </a:ext>
          </a:extLst>
        </xdr:cNvPr>
        <xdr:cNvSpPr txBox="1">
          <a:spLocks noChangeArrowheads="1"/>
        </xdr:cNvSpPr>
      </xdr:nvSpPr>
      <xdr:spPr bwMode="auto">
        <a:xfrm>
          <a:off x="4741191" y="4458205"/>
          <a:ext cx="386802" cy="236157"/>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000" b="0" i="0" strike="noStrike">
              <a:solidFill>
                <a:srgbClr val="000000"/>
              </a:solidFill>
              <a:latin typeface="Arial" pitchFamily="34" charset="0"/>
              <a:cs typeface="Arial" pitchFamily="34" charset="0"/>
            </a:rPr>
            <a:t>R</a:t>
          </a:r>
          <a:r>
            <a:rPr lang="en-US" sz="1000" b="0" i="0" strike="noStrike" baseline="-25000">
              <a:solidFill>
                <a:srgbClr val="000000"/>
              </a:solidFill>
              <a:latin typeface="Arial" pitchFamily="34" charset="0"/>
              <a:cs typeface="Arial" pitchFamily="34" charset="0"/>
            </a:rPr>
            <a:t>FADJ</a:t>
          </a:r>
        </a:p>
      </xdr:txBody>
    </xdr:sp>
    <xdr:clientData/>
  </xdr:twoCellAnchor>
  <xdr:twoCellAnchor>
    <xdr:from>
      <xdr:col>7</xdr:col>
      <xdr:colOff>504372</xdr:colOff>
      <xdr:row>22</xdr:row>
      <xdr:rowOff>125916</xdr:rowOff>
    </xdr:from>
    <xdr:to>
      <xdr:col>8</xdr:col>
      <xdr:colOff>246770</xdr:colOff>
      <xdr:row>24</xdr:row>
      <xdr:rowOff>1468</xdr:rowOff>
    </xdr:to>
    <xdr:sp macro="" textlink="'Variable Management'!B239">
      <xdr:nvSpPr>
        <xdr:cNvPr id="91" name="Text Box 281">
          <a:extLst>
            <a:ext uri="{FF2B5EF4-FFF2-40B4-BE49-F238E27FC236}">
              <a16:creationId xmlns:a16="http://schemas.microsoft.com/office/drawing/2014/main" id="{00000000-0008-0000-0000-00005B000000}"/>
            </a:ext>
          </a:extLst>
        </xdr:cNvPr>
        <xdr:cNvSpPr txBox="1">
          <a:spLocks noChangeArrowheads="1" noTextEdit="1"/>
        </xdr:cNvSpPr>
      </xdr:nvSpPr>
      <xdr:spPr bwMode="auto">
        <a:xfrm>
          <a:off x="4556160" y="4566031"/>
          <a:ext cx="533706" cy="212591"/>
        </a:xfrm>
        <a:prstGeom prst="rect">
          <a:avLst/>
        </a:prstGeom>
        <a:noFill/>
        <a:ln w="9525">
          <a:noFill/>
          <a:miter lim="800000"/>
          <a:headEnd/>
          <a:tailEnd/>
        </a:ln>
      </xdr:spPr>
      <xdr:txBody>
        <a:bodyPr vertOverflow="clip" wrap="square" lIns="27432" tIns="22860" rIns="0" bIns="0" anchor="t" upright="1"/>
        <a:lstStyle/>
        <a:p>
          <a:pPr algn="r" rtl="0">
            <a:defRPr sz="1000"/>
          </a:pPr>
          <a:fld id="{84EB9262-B954-486D-9975-AAB24967BDAC}" type="TxLink">
            <a:rPr lang="en-US" sz="1000" b="0" i="0" u="none" strike="noStrike">
              <a:solidFill>
                <a:srgbClr val="000000"/>
              </a:solidFill>
              <a:latin typeface="Arial" pitchFamily="34" charset="0"/>
              <a:cs typeface="Arial" pitchFamily="34" charset="0"/>
            </a:rPr>
            <a:pPr algn="r" rtl="0">
              <a:defRPr sz="1000"/>
            </a:pPr>
            <a:t>12.7kΩ</a:t>
          </a:fld>
          <a:endParaRPr lang="en-US" sz="1000" b="0" i="0" strike="noStrike">
            <a:solidFill>
              <a:srgbClr val="000000"/>
            </a:solidFill>
            <a:latin typeface="Arial" pitchFamily="34" charset="0"/>
            <a:cs typeface="Arial" pitchFamily="34" charset="0"/>
          </a:endParaRPr>
        </a:p>
      </xdr:txBody>
    </xdr:sp>
    <xdr:clientData/>
  </xdr:twoCellAnchor>
  <xdr:twoCellAnchor>
    <xdr:from>
      <xdr:col>13</xdr:col>
      <xdr:colOff>534372</xdr:colOff>
      <xdr:row>11</xdr:row>
      <xdr:rowOff>166510</xdr:rowOff>
    </xdr:from>
    <xdr:to>
      <xdr:col>14</xdr:col>
      <xdr:colOff>313474</xdr:colOff>
      <xdr:row>12</xdr:row>
      <xdr:rowOff>216138</xdr:rowOff>
    </xdr:to>
    <xdr:sp macro="" textlink="">
      <xdr:nvSpPr>
        <xdr:cNvPr id="2295" name="Text Box 247">
          <a:extLst>
            <a:ext uri="{FF2B5EF4-FFF2-40B4-BE49-F238E27FC236}">
              <a16:creationId xmlns:a16="http://schemas.microsoft.com/office/drawing/2014/main" id="{00000000-0008-0000-0000-0000F7080000}"/>
            </a:ext>
          </a:extLst>
        </xdr:cNvPr>
        <xdr:cNvSpPr txBox="1">
          <a:spLocks noChangeArrowheads="1"/>
        </xdr:cNvSpPr>
      </xdr:nvSpPr>
      <xdr:spPr bwMode="auto">
        <a:xfrm>
          <a:off x="8876685" y="2635073"/>
          <a:ext cx="390289" cy="224253"/>
        </a:xfrm>
        <a:prstGeom prst="rect">
          <a:avLst/>
        </a:prstGeom>
        <a:noFill/>
        <a:ln w="9525">
          <a:noFill/>
          <a:miter lim="800000"/>
          <a:headEnd/>
          <a:tailEnd/>
        </a:ln>
      </xdr:spPr>
      <xdr:txBody>
        <a:bodyPr vertOverflow="clip" wrap="square" lIns="27432" tIns="27432" rIns="0" bIns="0" anchor="ctr" upright="1"/>
        <a:lstStyle/>
        <a:p>
          <a:pPr algn="ctr" rtl="0">
            <a:defRPr sz="1000"/>
          </a:pPr>
          <a:r>
            <a:rPr lang="en-US" sz="1000" b="0" i="0" strike="noStrike">
              <a:solidFill>
                <a:srgbClr val="000000"/>
              </a:solidFill>
              <a:latin typeface="Arial" pitchFamily="34" charset="0"/>
              <a:cs typeface="Arial" pitchFamily="34" charset="0"/>
            </a:rPr>
            <a:t>C</a:t>
          </a:r>
          <a:r>
            <a:rPr lang="en-US" sz="1000" b="0" i="0" strike="noStrike" baseline="-25000">
              <a:solidFill>
                <a:srgbClr val="000000"/>
              </a:solidFill>
              <a:latin typeface="Arial" pitchFamily="34" charset="0"/>
              <a:cs typeface="Arial" pitchFamily="34" charset="0"/>
            </a:rPr>
            <a:t>BOOT</a:t>
          </a:r>
        </a:p>
      </xdr:txBody>
    </xdr:sp>
    <xdr:clientData/>
  </xdr:twoCellAnchor>
  <xdr:twoCellAnchor>
    <xdr:from>
      <xdr:col>11</xdr:col>
      <xdr:colOff>249524</xdr:colOff>
      <xdr:row>30</xdr:row>
      <xdr:rowOff>68112</xdr:rowOff>
    </xdr:from>
    <xdr:to>
      <xdr:col>11</xdr:col>
      <xdr:colOff>631052</xdr:colOff>
      <xdr:row>31</xdr:row>
      <xdr:rowOff>131010</xdr:rowOff>
    </xdr:to>
    <xdr:sp macro="" textlink="">
      <xdr:nvSpPr>
        <xdr:cNvPr id="89" name="Text Box 251">
          <a:extLst>
            <a:ext uri="{FF2B5EF4-FFF2-40B4-BE49-F238E27FC236}">
              <a16:creationId xmlns:a16="http://schemas.microsoft.com/office/drawing/2014/main" id="{00000000-0008-0000-0000-000059000000}"/>
            </a:ext>
          </a:extLst>
        </xdr:cNvPr>
        <xdr:cNvSpPr txBox="1">
          <a:spLocks noChangeArrowheads="1"/>
        </xdr:cNvSpPr>
      </xdr:nvSpPr>
      <xdr:spPr bwMode="auto">
        <a:xfrm>
          <a:off x="7145624" y="6002187"/>
          <a:ext cx="381528" cy="234348"/>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000" b="0" i="0" strike="noStrike">
              <a:solidFill>
                <a:srgbClr val="000000"/>
              </a:solidFill>
              <a:latin typeface="Arial" pitchFamily="34" charset="0"/>
              <a:cs typeface="Arial" pitchFamily="34" charset="0"/>
            </a:rPr>
            <a:t>R</a:t>
          </a:r>
          <a:r>
            <a:rPr lang="en-US" sz="1000" b="0" i="0" strike="noStrike" baseline="-25000">
              <a:solidFill>
                <a:srgbClr val="000000"/>
              </a:solidFill>
              <a:latin typeface="Arial" pitchFamily="34" charset="0"/>
              <a:cs typeface="Arial" pitchFamily="34" charset="0"/>
            </a:rPr>
            <a:t>OTP</a:t>
          </a:r>
        </a:p>
      </xdr:txBody>
    </xdr:sp>
    <xdr:clientData/>
  </xdr:twoCellAnchor>
  <xdr:twoCellAnchor>
    <xdr:from>
      <xdr:col>9</xdr:col>
      <xdr:colOff>819704</xdr:colOff>
      <xdr:row>30</xdr:row>
      <xdr:rowOff>48502</xdr:rowOff>
    </xdr:from>
    <xdr:to>
      <xdr:col>10</xdr:col>
      <xdr:colOff>355914</xdr:colOff>
      <xdr:row>31</xdr:row>
      <xdr:rowOff>111400</xdr:rowOff>
    </xdr:to>
    <xdr:sp macro="" textlink="">
      <xdr:nvSpPr>
        <xdr:cNvPr id="93" name="Text Box 251">
          <a:extLst>
            <a:ext uri="{FF2B5EF4-FFF2-40B4-BE49-F238E27FC236}">
              <a16:creationId xmlns:a16="http://schemas.microsoft.com/office/drawing/2014/main" id="{00000000-0008-0000-0000-00005D000000}"/>
            </a:ext>
          </a:extLst>
        </xdr:cNvPr>
        <xdr:cNvSpPr txBox="1">
          <a:spLocks noChangeArrowheads="1"/>
        </xdr:cNvSpPr>
      </xdr:nvSpPr>
      <xdr:spPr bwMode="auto">
        <a:xfrm>
          <a:off x="6288642" y="6049252"/>
          <a:ext cx="361710" cy="237523"/>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000" b="0" i="0" strike="noStrike">
              <a:solidFill>
                <a:srgbClr val="000000"/>
              </a:solidFill>
              <a:latin typeface="Arial" pitchFamily="34" charset="0"/>
              <a:cs typeface="Arial" pitchFamily="34" charset="0"/>
            </a:rPr>
            <a:t>C</a:t>
          </a:r>
          <a:r>
            <a:rPr lang="en-US" sz="1000" b="0" i="0" strike="noStrike" baseline="-25000">
              <a:solidFill>
                <a:srgbClr val="000000"/>
              </a:solidFill>
              <a:latin typeface="Arial" pitchFamily="34" charset="0"/>
              <a:cs typeface="Arial" pitchFamily="34" charset="0"/>
            </a:rPr>
            <a:t>OTP</a:t>
          </a:r>
        </a:p>
      </xdr:txBody>
    </xdr:sp>
    <xdr:clientData/>
  </xdr:twoCellAnchor>
  <xdr:twoCellAnchor>
    <xdr:from>
      <xdr:col>9</xdr:col>
      <xdr:colOff>807419</xdr:colOff>
      <xdr:row>31</xdr:row>
      <xdr:rowOff>111946</xdr:rowOff>
    </xdr:from>
    <xdr:to>
      <xdr:col>10</xdr:col>
      <xdr:colOff>373233</xdr:colOff>
      <xdr:row>33</xdr:row>
      <xdr:rowOff>17706</xdr:rowOff>
    </xdr:to>
    <xdr:sp macro="" textlink="">
      <xdr:nvSpPr>
        <xdr:cNvPr id="94" name="Text Box 279">
          <a:extLst>
            <a:ext uri="{FF2B5EF4-FFF2-40B4-BE49-F238E27FC236}">
              <a16:creationId xmlns:a16="http://schemas.microsoft.com/office/drawing/2014/main" id="{00000000-0008-0000-0000-00005E000000}"/>
            </a:ext>
          </a:extLst>
        </xdr:cNvPr>
        <xdr:cNvSpPr txBox="1">
          <a:spLocks noChangeArrowheads="1"/>
        </xdr:cNvSpPr>
      </xdr:nvSpPr>
      <xdr:spPr bwMode="auto">
        <a:xfrm>
          <a:off x="6258650" y="6149331"/>
          <a:ext cx="393756" cy="242798"/>
        </a:xfrm>
        <a:prstGeom prst="rect">
          <a:avLst/>
        </a:prstGeom>
        <a:noFill/>
        <a:ln w="9525">
          <a:noFill/>
          <a:miter lim="800000"/>
          <a:headEnd/>
          <a:tailEnd/>
        </a:ln>
      </xdr:spPr>
      <xdr:txBody>
        <a:bodyPr vertOverflow="clip" wrap="square" lIns="27432" tIns="27432"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a:latin typeface="Arial" pitchFamily="34" charset="0"/>
              <a:ea typeface="+mn-ea"/>
              <a:cs typeface="Arial" pitchFamily="34" charset="0"/>
            </a:rPr>
            <a:t>0.1</a:t>
          </a:r>
          <a:r>
            <a:rPr lang="el-GR" sz="1000" b="0" i="0">
              <a:latin typeface="Arial" pitchFamily="34" charset="0"/>
              <a:ea typeface="+mn-ea"/>
              <a:cs typeface="Arial" pitchFamily="34" charset="0"/>
            </a:rPr>
            <a:t>μ</a:t>
          </a:r>
          <a:r>
            <a:rPr lang="en-US" sz="1000" b="0" i="0">
              <a:latin typeface="Arial" pitchFamily="34" charset="0"/>
              <a:ea typeface="+mn-ea"/>
              <a:cs typeface="Arial" pitchFamily="34" charset="0"/>
            </a:rPr>
            <a:t>F</a:t>
          </a:r>
          <a:endParaRPr lang="en-US" sz="1000">
            <a:latin typeface="Arial" pitchFamily="34" charset="0"/>
            <a:ea typeface="+mn-ea"/>
            <a:cs typeface="Arial" pitchFamily="34" charset="0"/>
          </a:endParaRPr>
        </a:p>
      </xdr:txBody>
    </xdr:sp>
    <xdr:clientData/>
  </xdr:twoCellAnchor>
  <xdr:twoCellAnchor>
    <xdr:from>
      <xdr:col>11</xdr:col>
      <xdr:colOff>230385</xdr:colOff>
      <xdr:row>31</xdr:row>
      <xdr:rowOff>83330</xdr:rowOff>
    </xdr:from>
    <xdr:to>
      <xdr:col>12</xdr:col>
      <xdr:colOff>6839</xdr:colOff>
      <xdr:row>33</xdr:row>
      <xdr:rowOff>6104</xdr:rowOff>
    </xdr:to>
    <xdr:sp macro="" textlink="'Variable Management'!B237">
      <xdr:nvSpPr>
        <xdr:cNvPr id="100" name="Text Box 281">
          <a:extLst>
            <a:ext uri="{FF2B5EF4-FFF2-40B4-BE49-F238E27FC236}">
              <a16:creationId xmlns:a16="http://schemas.microsoft.com/office/drawing/2014/main" id="{00000000-0008-0000-0000-000064000000}"/>
            </a:ext>
          </a:extLst>
        </xdr:cNvPr>
        <xdr:cNvSpPr txBox="1">
          <a:spLocks noChangeArrowheads="1" noTextEdit="1"/>
        </xdr:cNvSpPr>
      </xdr:nvSpPr>
      <xdr:spPr bwMode="auto">
        <a:xfrm>
          <a:off x="7117693" y="6120715"/>
          <a:ext cx="604396" cy="259812"/>
        </a:xfrm>
        <a:prstGeom prst="rect">
          <a:avLst/>
        </a:prstGeom>
        <a:noFill/>
        <a:ln w="9525">
          <a:noFill/>
          <a:miter lim="800000"/>
          <a:headEnd/>
          <a:tailEnd/>
        </a:ln>
      </xdr:spPr>
      <xdr:txBody>
        <a:bodyPr vertOverflow="clip" wrap="square" lIns="27432" tIns="22860" rIns="0" bIns="0" anchor="ctr" upright="1"/>
        <a:lstStyle/>
        <a:p>
          <a:pPr algn="l" rtl="0">
            <a:defRPr sz="1000"/>
          </a:pPr>
          <a:fld id="{651F8184-BCDA-406A-B79A-4CA7A753E403}" type="TxLink">
            <a:rPr lang="en-US" sz="1000" b="0" i="0" u="none" strike="noStrike">
              <a:solidFill>
                <a:srgbClr val="000000"/>
              </a:solidFill>
              <a:latin typeface="Arial" pitchFamily="34" charset="0"/>
              <a:cs typeface="Arial" pitchFamily="34" charset="0"/>
            </a:rPr>
            <a:pPr algn="l" rtl="0">
              <a:defRPr sz="1000"/>
            </a:pPr>
            <a:t>84.5kΩ</a:t>
          </a:fld>
          <a:endParaRPr lang="en-US" sz="1000" b="0" i="0" strike="noStrike">
            <a:solidFill>
              <a:srgbClr val="000000"/>
            </a:solidFill>
            <a:latin typeface="Arial" pitchFamily="34" charset="0"/>
            <a:cs typeface="Arial" pitchFamily="34" charset="0"/>
          </a:endParaRPr>
        </a:p>
      </xdr:txBody>
    </xdr:sp>
    <xdr:clientData/>
  </xdr:twoCellAnchor>
  <xdr:twoCellAnchor>
    <xdr:from>
      <xdr:col>16</xdr:col>
      <xdr:colOff>44088</xdr:colOff>
      <xdr:row>9</xdr:row>
      <xdr:rowOff>137691</xdr:rowOff>
    </xdr:from>
    <xdr:to>
      <xdr:col>16</xdr:col>
      <xdr:colOff>635811</xdr:colOff>
      <xdr:row>10</xdr:row>
      <xdr:rowOff>177254</xdr:rowOff>
    </xdr:to>
    <xdr:sp macro="" textlink="'Variable Management'!B235">
      <xdr:nvSpPr>
        <xdr:cNvPr id="101" name="Text Box 270">
          <a:extLst>
            <a:ext uri="{FF2B5EF4-FFF2-40B4-BE49-F238E27FC236}">
              <a16:creationId xmlns:a16="http://schemas.microsoft.com/office/drawing/2014/main" id="{00000000-0008-0000-0000-000065000000}"/>
            </a:ext>
          </a:extLst>
        </xdr:cNvPr>
        <xdr:cNvSpPr txBox="1">
          <a:spLocks noChangeArrowheads="1" noTextEdit="1"/>
        </xdr:cNvSpPr>
      </xdr:nvSpPr>
      <xdr:spPr bwMode="auto">
        <a:xfrm>
          <a:off x="10273938" y="2214141"/>
          <a:ext cx="591723" cy="211013"/>
        </a:xfrm>
        <a:prstGeom prst="rect">
          <a:avLst/>
        </a:prstGeom>
        <a:noFill/>
        <a:ln w="9525">
          <a:noFill/>
          <a:miter lim="800000"/>
          <a:headEnd/>
          <a:tailEnd/>
        </a:ln>
      </xdr:spPr>
      <xdr:txBody>
        <a:bodyPr vertOverflow="clip" wrap="square" lIns="27432" tIns="22860" rIns="0" bIns="0" anchor="t" upright="1"/>
        <a:lstStyle/>
        <a:p>
          <a:pPr algn="r" rtl="0">
            <a:defRPr sz="1000"/>
          </a:pPr>
          <a:fld id="{3598138F-5782-4266-A907-51E6D0258BC3}" type="TxLink">
            <a:rPr lang="en-US" sz="1000" b="0" i="0" u="none" strike="noStrike" baseline="0">
              <a:solidFill>
                <a:srgbClr val="000000"/>
              </a:solidFill>
              <a:latin typeface="Arial" pitchFamily="34" charset="0"/>
              <a:cs typeface="Arial" pitchFamily="34" charset="0"/>
            </a:rPr>
            <a:pPr algn="r" rtl="0">
              <a:defRPr sz="1000"/>
            </a:pPr>
            <a:t>1.43kΩ</a:t>
          </a:fld>
          <a:endParaRPr lang="el-GR" sz="1000" b="0" i="0" u="none" strike="noStrike" baseline="0">
            <a:solidFill>
              <a:srgbClr val="000000"/>
            </a:solidFill>
            <a:latin typeface="Arial" pitchFamily="34" charset="0"/>
            <a:cs typeface="Arial" pitchFamily="34" charset="0"/>
          </a:endParaRPr>
        </a:p>
      </xdr:txBody>
    </xdr:sp>
    <xdr:clientData/>
  </xdr:twoCellAnchor>
  <xdr:twoCellAnchor>
    <xdr:from>
      <xdr:col>14</xdr:col>
      <xdr:colOff>580659</xdr:colOff>
      <xdr:row>18</xdr:row>
      <xdr:rowOff>107382</xdr:rowOff>
    </xdr:from>
    <xdr:to>
      <xdr:col>15</xdr:col>
      <xdr:colOff>294908</xdr:colOff>
      <xdr:row>19</xdr:row>
      <xdr:rowOff>226276</xdr:rowOff>
    </xdr:to>
    <xdr:sp macro="" textlink="">
      <xdr:nvSpPr>
        <xdr:cNvPr id="97" name="Text Box 244">
          <a:extLst>
            <a:ext uri="{FF2B5EF4-FFF2-40B4-BE49-F238E27FC236}">
              <a16:creationId xmlns:a16="http://schemas.microsoft.com/office/drawing/2014/main" id="{00000000-0008-0000-0000-000061000000}"/>
            </a:ext>
          </a:extLst>
        </xdr:cNvPr>
        <xdr:cNvSpPr txBox="1">
          <a:spLocks noChangeArrowheads="1"/>
        </xdr:cNvSpPr>
      </xdr:nvSpPr>
      <xdr:spPr bwMode="auto">
        <a:xfrm>
          <a:off x="9512178" y="3792824"/>
          <a:ext cx="322384" cy="287414"/>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000" b="0" i="0" strike="noStrike">
              <a:solidFill>
                <a:srgbClr val="000000"/>
              </a:solidFill>
              <a:latin typeface="Arial" pitchFamily="34" charset="0"/>
              <a:cs typeface="Arial" pitchFamily="34" charset="0"/>
            </a:rPr>
            <a:t>Q</a:t>
          </a:r>
          <a:r>
            <a:rPr lang="en-US" sz="1000" b="0" i="0" strike="noStrike" baseline="-25000">
              <a:solidFill>
                <a:srgbClr val="000000"/>
              </a:solidFill>
              <a:latin typeface="Arial" pitchFamily="34" charset="0"/>
              <a:cs typeface="Arial" pitchFamily="34" charset="0"/>
            </a:rPr>
            <a:t>2</a:t>
          </a:r>
        </a:p>
      </xdr:txBody>
    </xdr:sp>
    <xdr:clientData/>
  </xdr:twoCellAnchor>
  <xdr:twoCellAnchor>
    <xdr:from>
      <xdr:col>14</xdr:col>
      <xdr:colOff>579438</xdr:colOff>
      <xdr:row>13</xdr:row>
      <xdr:rowOff>20959</xdr:rowOff>
    </xdr:from>
    <xdr:to>
      <xdr:col>15</xdr:col>
      <xdr:colOff>293687</xdr:colOff>
      <xdr:row>14</xdr:row>
      <xdr:rowOff>112770</xdr:rowOff>
    </xdr:to>
    <xdr:sp macro="" textlink="">
      <xdr:nvSpPr>
        <xdr:cNvPr id="102" name="Text Box 244">
          <a:extLst>
            <a:ext uri="{FF2B5EF4-FFF2-40B4-BE49-F238E27FC236}">
              <a16:creationId xmlns:a16="http://schemas.microsoft.com/office/drawing/2014/main" id="{00000000-0008-0000-0000-000066000000}"/>
            </a:ext>
          </a:extLst>
        </xdr:cNvPr>
        <xdr:cNvSpPr txBox="1">
          <a:spLocks noChangeArrowheads="1"/>
        </xdr:cNvSpPr>
      </xdr:nvSpPr>
      <xdr:spPr bwMode="auto">
        <a:xfrm>
          <a:off x="9532938" y="2910209"/>
          <a:ext cx="325437" cy="266436"/>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000" b="0" i="0" strike="noStrike">
              <a:solidFill>
                <a:srgbClr val="000000"/>
              </a:solidFill>
              <a:latin typeface="Arial" pitchFamily="34" charset="0"/>
              <a:cs typeface="Arial" pitchFamily="34" charset="0"/>
            </a:rPr>
            <a:t>Q</a:t>
          </a:r>
          <a:r>
            <a:rPr lang="en-US" sz="1000" b="0" i="0" strike="noStrike" baseline="-25000">
              <a:solidFill>
                <a:srgbClr val="000000"/>
              </a:solidFill>
              <a:latin typeface="Arial" pitchFamily="34" charset="0"/>
              <a:cs typeface="Arial" pitchFamily="34" charset="0"/>
            </a:rPr>
            <a:t>1</a:t>
          </a:r>
        </a:p>
      </xdr:txBody>
    </xdr:sp>
    <xdr:clientData/>
  </xdr:twoCellAnchor>
  <xdr:twoCellAnchor>
    <xdr:from>
      <xdr:col>8</xdr:col>
      <xdr:colOff>82550</xdr:colOff>
      <xdr:row>31</xdr:row>
      <xdr:rowOff>134569</xdr:rowOff>
    </xdr:from>
    <xdr:to>
      <xdr:col>9</xdr:col>
      <xdr:colOff>28559</xdr:colOff>
      <xdr:row>33</xdr:row>
      <xdr:rowOff>6699</xdr:rowOff>
    </xdr:to>
    <xdr:sp macro="" textlink="'Variable Management'!G77">
      <xdr:nvSpPr>
        <xdr:cNvPr id="66" name="Text Box 264">
          <a:extLst>
            <a:ext uri="{FF2B5EF4-FFF2-40B4-BE49-F238E27FC236}">
              <a16:creationId xmlns:a16="http://schemas.microsoft.com/office/drawing/2014/main" id="{00000000-0008-0000-0000-000042000000}"/>
            </a:ext>
          </a:extLst>
        </xdr:cNvPr>
        <xdr:cNvSpPr txBox="1">
          <a:spLocks noChangeArrowheads="1" noTextEdit="1"/>
        </xdr:cNvSpPr>
      </xdr:nvSpPr>
      <xdr:spPr bwMode="auto">
        <a:xfrm>
          <a:off x="4968875" y="6240094"/>
          <a:ext cx="555609" cy="215030"/>
        </a:xfrm>
        <a:prstGeom prst="rect">
          <a:avLst/>
        </a:prstGeom>
        <a:noFill/>
        <a:ln w="9525">
          <a:noFill/>
          <a:miter lim="800000"/>
          <a:headEnd/>
          <a:tailEnd/>
        </a:ln>
      </xdr:spPr>
      <xdr:txBody>
        <a:bodyPr vertOverflow="clip" wrap="square" lIns="27432" tIns="22860" rIns="0" bIns="0" anchor="t" upright="1"/>
        <a:lstStyle/>
        <a:p>
          <a:pPr algn="r" rtl="0">
            <a:defRPr sz="1000"/>
          </a:pPr>
          <a:fld id="{123D91BC-1DE9-4CAD-9801-8A70C08E2402}" type="TxLink">
            <a:rPr lang="en-US" sz="1000" b="0" i="0" u="none" strike="noStrike" baseline="0">
              <a:solidFill>
                <a:srgbClr val="000000"/>
              </a:solidFill>
              <a:latin typeface="Arialri"/>
              <a:cs typeface="Arial" pitchFamily="34" charset="0"/>
            </a:rPr>
            <a:pPr algn="r" rtl="0">
              <a:defRPr sz="1000"/>
            </a:pPr>
            <a:t>14.7kΩ</a:t>
          </a:fld>
          <a:endParaRPr lang="el-GR" sz="1000" b="0" i="0" u="none" strike="noStrike" baseline="0">
            <a:solidFill>
              <a:srgbClr val="000000"/>
            </a:solidFill>
            <a:latin typeface="Arial" pitchFamily="34" charset="0"/>
            <a:cs typeface="Arial" pitchFamily="34" charset="0"/>
          </a:endParaRPr>
        </a:p>
      </xdr:txBody>
    </xdr:sp>
    <xdr:clientData/>
  </xdr:twoCellAnchor>
  <xdr:twoCellAnchor>
    <xdr:from>
      <xdr:col>8</xdr:col>
      <xdr:colOff>317745</xdr:colOff>
      <xdr:row>30</xdr:row>
      <xdr:rowOff>103554</xdr:rowOff>
    </xdr:from>
    <xdr:to>
      <xdr:col>9</xdr:col>
      <xdr:colOff>112268</xdr:colOff>
      <xdr:row>31</xdr:row>
      <xdr:rowOff>133952</xdr:rowOff>
    </xdr:to>
    <xdr:sp macro="" textlink="">
      <xdr:nvSpPr>
        <xdr:cNvPr id="68" name="Text Box 255">
          <a:extLst>
            <a:ext uri="{FF2B5EF4-FFF2-40B4-BE49-F238E27FC236}">
              <a16:creationId xmlns:a16="http://schemas.microsoft.com/office/drawing/2014/main" id="{00000000-0008-0000-0000-000044000000}"/>
            </a:ext>
          </a:extLst>
        </xdr:cNvPr>
        <xdr:cNvSpPr txBox="1">
          <a:spLocks noChangeArrowheads="1"/>
        </xdr:cNvSpPr>
      </xdr:nvSpPr>
      <xdr:spPr bwMode="auto">
        <a:xfrm>
          <a:off x="5165970" y="6037629"/>
          <a:ext cx="404123" cy="201848"/>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000" b="0" i="0" strike="noStrike">
              <a:solidFill>
                <a:srgbClr val="000000"/>
              </a:solidFill>
              <a:latin typeface="Arial" pitchFamily="34" charset="0"/>
              <a:cs typeface="Arial" pitchFamily="34" charset="0"/>
            </a:rPr>
            <a:t>R</a:t>
          </a:r>
          <a:r>
            <a:rPr lang="en-US" sz="1000" b="0" i="0" strike="noStrike" baseline="-25000">
              <a:solidFill>
                <a:srgbClr val="000000"/>
              </a:solidFill>
              <a:latin typeface="Arial" pitchFamily="34" charset="0"/>
              <a:cs typeface="Arial" pitchFamily="34" charset="0"/>
            </a:rPr>
            <a:t>UV2</a:t>
          </a:r>
        </a:p>
      </xdr:txBody>
    </xdr:sp>
    <xdr:clientData/>
  </xdr:twoCellAnchor>
  <xdr:twoCellAnchor>
    <xdr:from>
      <xdr:col>8</xdr:col>
      <xdr:colOff>96472</xdr:colOff>
      <xdr:row>27</xdr:row>
      <xdr:rowOff>166687</xdr:rowOff>
    </xdr:from>
    <xdr:to>
      <xdr:col>9</xdr:col>
      <xdr:colOff>42481</xdr:colOff>
      <xdr:row>29</xdr:row>
      <xdr:rowOff>32590</xdr:rowOff>
    </xdr:to>
    <xdr:sp macro="" textlink="'Variable Management'!G76">
      <xdr:nvSpPr>
        <xdr:cNvPr id="69" name="Text Box 264">
          <a:extLst>
            <a:ext uri="{FF2B5EF4-FFF2-40B4-BE49-F238E27FC236}">
              <a16:creationId xmlns:a16="http://schemas.microsoft.com/office/drawing/2014/main" id="{00000000-0008-0000-0000-000045000000}"/>
            </a:ext>
          </a:extLst>
        </xdr:cNvPr>
        <xdr:cNvSpPr txBox="1">
          <a:spLocks noChangeArrowheads="1" noTextEdit="1"/>
        </xdr:cNvSpPr>
      </xdr:nvSpPr>
      <xdr:spPr bwMode="auto">
        <a:xfrm>
          <a:off x="4939568" y="5529995"/>
          <a:ext cx="554144" cy="202941"/>
        </a:xfrm>
        <a:prstGeom prst="rect">
          <a:avLst/>
        </a:prstGeom>
        <a:noFill/>
        <a:ln w="9525">
          <a:noFill/>
          <a:miter lim="800000"/>
          <a:headEnd/>
          <a:tailEnd/>
        </a:ln>
      </xdr:spPr>
      <xdr:txBody>
        <a:bodyPr vertOverflow="clip" wrap="square" lIns="27432" tIns="22860" rIns="0" bIns="0" anchor="t" upright="1"/>
        <a:lstStyle/>
        <a:p>
          <a:pPr algn="r" rtl="0">
            <a:defRPr sz="1000"/>
          </a:pPr>
          <a:fld id="{302BC79D-87FA-43D3-B7A3-AC5513B978CE}" type="TxLink">
            <a:rPr lang="en-US" sz="1000" b="0" i="0" u="none" strike="noStrike" baseline="0">
              <a:solidFill>
                <a:srgbClr val="000000"/>
              </a:solidFill>
              <a:latin typeface="Arialri"/>
              <a:cs typeface="Arial" pitchFamily="34" charset="0"/>
            </a:rPr>
            <a:pPr algn="r" rtl="0">
              <a:defRPr sz="1000"/>
            </a:pPr>
            <a:t>143kΩ</a:t>
          </a:fld>
          <a:endParaRPr lang="el-GR" sz="1000" b="0" i="0" u="none" strike="noStrike" baseline="0">
            <a:solidFill>
              <a:srgbClr val="000000"/>
            </a:solidFill>
            <a:latin typeface="Arial" pitchFamily="34" charset="0"/>
            <a:cs typeface="Arial" pitchFamily="34" charset="0"/>
          </a:endParaRPr>
        </a:p>
      </xdr:txBody>
    </xdr:sp>
    <xdr:clientData/>
  </xdr:twoCellAnchor>
  <xdr:twoCellAnchor>
    <xdr:from>
      <xdr:col>8</xdr:col>
      <xdr:colOff>227624</xdr:colOff>
      <xdr:row>26</xdr:row>
      <xdr:rowOff>207596</xdr:rowOff>
    </xdr:from>
    <xdr:to>
      <xdr:col>9</xdr:col>
      <xdr:colOff>22147</xdr:colOff>
      <xdr:row>27</xdr:row>
      <xdr:rowOff>166557</xdr:rowOff>
    </xdr:to>
    <xdr:sp macro="" textlink="">
      <xdr:nvSpPr>
        <xdr:cNvPr id="70" name="Text Box 255">
          <a:extLst>
            <a:ext uri="{FF2B5EF4-FFF2-40B4-BE49-F238E27FC236}">
              <a16:creationId xmlns:a16="http://schemas.microsoft.com/office/drawing/2014/main" id="{00000000-0008-0000-0000-000046000000}"/>
            </a:ext>
          </a:extLst>
        </xdr:cNvPr>
        <xdr:cNvSpPr txBox="1">
          <a:spLocks noChangeArrowheads="1"/>
        </xdr:cNvSpPr>
      </xdr:nvSpPr>
      <xdr:spPr bwMode="auto">
        <a:xfrm>
          <a:off x="5070720" y="5321788"/>
          <a:ext cx="402658" cy="208077"/>
        </a:xfrm>
        <a:prstGeom prst="rect">
          <a:avLst/>
        </a:prstGeom>
        <a:noFill/>
        <a:ln w="9525">
          <a:noFill/>
          <a:miter lim="800000"/>
          <a:headEnd/>
          <a:tailEnd/>
        </a:ln>
      </xdr:spPr>
      <xdr:txBody>
        <a:bodyPr vertOverflow="clip" wrap="square" lIns="27432" tIns="27432" rIns="0" bIns="0" anchor="t" upright="1"/>
        <a:lstStyle/>
        <a:p>
          <a:pPr algn="r" rtl="0">
            <a:defRPr sz="1000"/>
          </a:pPr>
          <a:r>
            <a:rPr lang="en-US" sz="1000" b="0" i="0" strike="noStrike">
              <a:solidFill>
                <a:srgbClr val="000000"/>
              </a:solidFill>
              <a:latin typeface="Arial" pitchFamily="34" charset="0"/>
              <a:cs typeface="Arial" pitchFamily="34" charset="0"/>
            </a:rPr>
            <a:t>R</a:t>
          </a:r>
          <a:r>
            <a:rPr lang="en-US" sz="1000" b="0" i="0" strike="noStrike" baseline="-25000">
              <a:solidFill>
                <a:srgbClr val="000000"/>
              </a:solidFill>
              <a:latin typeface="Arial" pitchFamily="34" charset="0"/>
              <a:cs typeface="Arial" pitchFamily="34" charset="0"/>
            </a:rPr>
            <a:t>UV1</a:t>
          </a:r>
        </a:p>
      </xdr:txBody>
    </xdr:sp>
    <xdr:clientData/>
  </xdr:twoCellAnchor>
  <xdr:twoCellAnchor>
    <xdr:from>
      <xdr:col>15</xdr:col>
      <xdr:colOff>586153</xdr:colOff>
      <xdr:row>17</xdr:row>
      <xdr:rowOff>161192</xdr:rowOff>
    </xdr:from>
    <xdr:to>
      <xdr:col>16</xdr:col>
      <xdr:colOff>422973</xdr:colOff>
      <xdr:row>19</xdr:row>
      <xdr:rowOff>63735</xdr:rowOff>
    </xdr:to>
    <xdr:sp macro="" textlink="'Variable Management'!B213">
      <xdr:nvSpPr>
        <xdr:cNvPr id="142" name="Text Box 275">
          <a:extLst>
            <a:ext uri="{FF2B5EF4-FFF2-40B4-BE49-F238E27FC236}">
              <a16:creationId xmlns:a16="http://schemas.microsoft.com/office/drawing/2014/main" id="{00000000-0008-0000-0000-00008E000000}"/>
            </a:ext>
          </a:extLst>
        </xdr:cNvPr>
        <xdr:cNvSpPr txBox="1">
          <a:spLocks noChangeArrowheads="1" noTextEdit="1"/>
        </xdr:cNvSpPr>
      </xdr:nvSpPr>
      <xdr:spPr bwMode="auto">
        <a:xfrm>
          <a:off x="10125807" y="3678115"/>
          <a:ext cx="510897" cy="239582"/>
        </a:xfrm>
        <a:prstGeom prst="rect">
          <a:avLst/>
        </a:prstGeom>
        <a:noFill/>
        <a:ln w="9525">
          <a:noFill/>
          <a:miter lim="800000"/>
          <a:headEnd/>
          <a:tailEnd/>
        </a:ln>
      </xdr:spPr>
      <xdr:txBody>
        <a:bodyPr vertOverflow="clip" wrap="square" lIns="27432" tIns="22860" rIns="0" bIns="0" anchor="ctr" upright="1"/>
        <a:lstStyle/>
        <a:p>
          <a:pPr algn="r" rtl="0">
            <a:defRPr sz="1000"/>
          </a:pPr>
          <a:fld id="{952677B8-8C18-463F-B0C9-D2099A1EBA1B}" type="TxLink">
            <a:rPr lang="en-US" sz="1000" b="0" i="0" u="none" strike="noStrike" baseline="0">
              <a:solidFill>
                <a:srgbClr val="000000"/>
              </a:solidFill>
              <a:latin typeface="Arialri"/>
              <a:cs typeface="Arial" pitchFamily="34" charset="0"/>
            </a:rPr>
            <a:pPr algn="r" rtl="0">
              <a:defRPr sz="1000"/>
            </a:pPr>
            <a:t>0.32mΩ</a:t>
          </a:fld>
          <a:endParaRPr lang="en-US" sz="1000" b="0" i="0" u="none" strike="noStrike" baseline="0">
            <a:solidFill>
              <a:srgbClr val="000000"/>
            </a:solidFill>
            <a:latin typeface="Arial" pitchFamily="34" charset="0"/>
            <a:cs typeface="Arial" pitchFamily="34" charset="0"/>
          </a:endParaRPr>
        </a:p>
      </xdr:txBody>
    </xdr:sp>
    <xdr:clientData/>
  </xdr:twoCellAnchor>
  <xdr:twoCellAnchor>
    <xdr:from>
      <xdr:col>12</xdr:col>
      <xdr:colOff>333375</xdr:colOff>
      <xdr:row>26</xdr:row>
      <xdr:rowOff>209550</xdr:rowOff>
    </xdr:from>
    <xdr:to>
      <xdr:col>13</xdr:col>
      <xdr:colOff>204543</xdr:colOff>
      <xdr:row>28</xdr:row>
      <xdr:rowOff>13965</xdr:rowOff>
    </xdr:to>
    <xdr:sp macro="" textlink="">
      <xdr:nvSpPr>
        <xdr:cNvPr id="145" name="Text Box 245">
          <a:extLst>
            <a:ext uri="{FF2B5EF4-FFF2-40B4-BE49-F238E27FC236}">
              <a16:creationId xmlns:a16="http://schemas.microsoft.com/office/drawing/2014/main" id="{00000000-0008-0000-0000-000091000000}"/>
            </a:ext>
          </a:extLst>
        </xdr:cNvPr>
        <xdr:cNvSpPr txBox="1">
          <a:spLocks noChangeArrowheads="1"/>
        </xdr:cNvSpPr>
      </xdr:nvSpPr>
      <xdr:spPr bwMode="auto">
        <a:xfrm>
          <a:off x="8096250" y="5381625"/>
          <a:ext cx="480768" cy="223515"/>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000" b="0" i="0" strike="noStrike">
              <a:solidFill>
                <a:srgbClr val="000000"/>
              </a:solidFill>
              <a:latin typeface="Arial" pitchFamily="34" charset="0"/>
              <a:cs typeface="Arial" pitchFamily="34" charset="0"/>
            </a:rPr>
            <a:t>R</a:t>
          </a:r>
          <a:r>
            <a:rPr lang="en-US" sz="1000" b="0" i="0" strike="noStrike" baseline="-25000">
              <a:solidFill>
                <a:srgbClr val="000000"/>
              </a:solidFill>
              <a:latin typeface="Arial" pitchFamily="34" charset="0"/>
              <a:cs typeface="Arial" pitchFamily="34" charset="0"/>
            </a:rPr>
            <a:t>PGOOD</a:t>
          </a:r>
        </a:p>
      </xdr:txBody>
    </xdr:sp>
    <xdr:clientData/>
  </xdr:twoCellAnchor>
  <xdr:twoCellAnchor>
    <xdr:from>
      <xdr:col>12</xdr:col>
      <xdr:colOff>410254</xdr:colOff>
      <xdr:row>27</xdr:row>
      <xdr:rowOff>139286</xdr:rowOff>
    </xdr:from>
    <xdr:to>
      <xdr:col>13</xdr:col>
      <xdr:colOff>402174</xdr:colOff>
      <xdr:row>29</xdr:row>
      <xdr:rowOff>35452</xdr:rowOff>
    </xdr:to>
    <xdr:sp macro="" textlink="'Variable Management'!B238">
      <xdr:nvSpPr>
        <xdr:cNvPr id="146" name="Text Box 281">
          <a:extLst>
            <a:ext uri="{FF2B5EF4-FFF2-40B4-BE49-F238E27FC236}">
              <a16:creationId xmlns:a16="http://schemas.microsoft.com/office/drawing/2014/main" id="{00000000-0008-0000-0000-000092000000}"/>
            </a:ext>
          </a:extLst>
        </xdr:cNvPr>
        <xdr:cNvSpPr txBox="1">
          <a:spLocks noChangeArrowheads="1" noTextEdit="1"/>
        </xdr:cNvSpPr>
      </xdr:nvSpPr>
      <xdr:spPr bwMode="auto">
        <a:xfrm>
          <a:off x="8173129" y="5559011"/>
          <a:ext cx="601520" cy="239066"/>
        </a:xfrm>
        <a:prstGeom prst="rect">
          <a:avLst/>
        </a:prstGeom>
        <a:noFill/>
        <a:ln w="9525">
          <a:noFill/>
          <a:miter lim="800000"/>
          <a:headEnd/>
          <a:tailEnd/>
        </a:ln>
      </xdr:spPr>
      <xdr:txBody>
        <a:bodyPr vertOverflow="clip" wrap="square" lIns="27432" tIns="22860" rIns="0" bIns="0" anchor="ctr" upright="1"/>
        <a:lstStyle/>
        <a:p>
          <a:pPr algn="l" rtl="0">
            <a:defRPr sz="1000"/>
          </a:pPr>
          <a:fld id="{89760BEF-9E88-4172-89E5-A2E0AD0D10FF}" type="TxLink">
            <a:rPr lang="en-US" sz="1000" b="0" i="0" u="none" strike="noStrike">
              <a:solidFill>
                <a:srgbClr val="000000"/>
              </a:solidFill>
              <a:latin typeface="Arialri"/>
              <a:cs typeface="Arial" pitchFamily="34" charset="0"/>
            </a:rPr>
            <a:pPr algn="l" rtl="0">
              <a:defRPr sz="1000"/>
            </a:pPr>
            <a:t>20kΩ</a:t>
          </a:fld>
          <a:endParaRPr lang="en-US" sz="1000" b="0" i="0" strike="noStrike">
            <a:solidFill>
              <a:srgbClr val="000000"/>
            </a:solidFill>
            <a:latin typeface="Arial" pitchFamily="34" charset="0"/>
            <a:cs typeface="Arial" pitchFamily="34" charset="0"/>
          </a:endParaRPr>
        </a:p>
      </xdr:txBody>
    </xdr:sp>
    <xdr:clientData/>
  </xdr:twoCellAnchor>
  <xdr:twoCellAnchor>
    <xdr:from>
      <xdr:col>10</xdr:col>
      <xdr:colOff>598474</xdr:colOff>
      <xdr:row>27</xdr:row>
      <xdr:rowOff>0</xdr:rowOff>
    </xdr:from>
    <xdr:to>
      <xdr:col>11</xdr:col>
      <xdr:colOff>350185</xdr:colOff>
      <xdr:row>28</xdr:row>
      <xdr:rowOff>61769</xdr:rowOff>
    </xdr:to>
    <xdr:sp macro="" textlink="">
      <xdr:nvSpPr>
        <xdr:cNvPr id="147" name="Text Box 251">
          <a:extLst>
            <a:ext uri="{FF2B5EF4-FFF2-40B4-BE49-F238E27FC236}">
              <a16:creationId xmlns:a16="http://schemas.microsoft.com/office/drawing/2014/main" id="{00000000-0008-0000-0000-000093000000}"/>
            </a:ext>
          </a:extLst>
        </xdr:cNvPr>
        <xdr:cNvSpPr txBox="1">
          <a:spLocks noChangeArrowheads="1"/>
        </xdr:cNvSpPr>
      </xdr:nvSpPr>
      <xdr:spPr bwMode="auto">
        <a:xfrm>
          <a:off x="6923074" y="5419725"/>
          <a:ext cx="361311" cy="233219"/>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000" b="0" i="0" strike="noStrike">
              <a:solidFill>
                <a:srgbClr val="000000"/>
              </a:solidFill>
              <a:latin typeface="Arial" pitchFamily="34" charset="0"/>
              <a:cs typeface="Arial" pitchFamily="34" charset="0"/>
            </a:rPr>
            <a:t>C</a:t>
          </a:r>
          <a:r>
            <a:rPr lang="en-US" sz="1000" b="0" i="0" strike="noStrike" baseline="-25000">
              <a:solidFill>
                <a:srgbClr val="000000"/>
              </a:solidFill>
              <a:latin typeface="Arial" pitchFamily="34" charset="0"/>
              <a:cs typeface="Arial" pitchFamily="34" charset="0"/>
            </a:rPr>
            <a:t>D</a:t>
          </a:r>
        </a:p>
      </xdr:txBody>
    </xdr:sp>
    <xdr:clientData/>
  </xdr:twoCellAnchor>
  <xdr:twoCellAnchor>
    <xdr:from>
      <xdr:col>10</xdr:col>
      <xdr:colOff>581025</xdr:colOff>
      <xdr:row>28</xdr:row>
      <xdr:rowOff>11688</xdr:rowOff>
    </xdr:from>
    <xdr:to>
      <xdr:col>11</xdr:col>
      <xdr:colOff>351555</xdr:colOff>
      <xdr:row>29</xdr:row>
      <xdr:rowOff>76200</xdr:rowOff>
    </xdr:to>
    <xdr:sp macro="" textlink="'Variable Management'!B241">
      <xdr:nvSpPr>
        <xdr:cNvPr id="148" name="Text Box 262">
          <a:extLst>
            <a:ext uri="{FF2B5EF4-FFF2-40B4-BE49-F238E27FC236}">
              <a16:creationId xmlns:a16="http://schemas.microsoft.com/office/drawing/2014/main" id="{00000000-0008-0000-0000-000094000000}"/>
            </a:ext>
          </a:extLst>
        </xdr:cNvPr>
        <xdr:cNvSpPr txBox="1">
          <a:spLocks noChangeArrowheads="1" noTextEdit="1"/>
        </xdr:cNvSpPr>
      </xdr:nvSpPr>
      <xdr:spPr bwMode="auto">
        <a:xfrm>
          <a:off x="6905625" y="5602863"/>
          <a:ext cx="380130" cy="235962"/>
        </a:xfrm>
        <a:prstGeom prst="rect">
          <a:avLst/>
        </a:prstGeom>
        <a:noFill/>
        <a:ln w="9525">
          <a:noFill/>
          <a:miter lim="800000"/>
          <a:headEnd/>
          <a:tailEnd/>
        </a:ln>
      </xdr:spPr>
      <xdr:txBody>
        <a:bodyPr vertOverflow="clip" wrap="square" lIns="27432" tIns="22860" rIns="0" bIns="0" anchor="t" upright="1"/>
        <a:lstStyle/>
        <a:p>
          <a:pPr algn="l" rtl="0">
            <a:defRPr sz="1000"/>
          </a:pPr>
          <a:fld id="{492BA9B9-9921-4B2E-800D-E846E5D0B031}" type="TxLink">
            <a:rPr lang="en-US" sz="1000" b="0" i="0" u="none" strike="noStrike" baseline="0">
              <a:solidFill>
                <a:srgbClr val="000000"/>
              </a:solidFill>
              <a:latin typeface="Arialri"/>
              <a:cs typeface="Arial" pitchFamily="34" charset="0"/>
            </a:rPr>
            <a:pPr algn="l" rtl="0">
              <a:defRPr sz="1000"/>
            </a:pPr>
            <a:t>1nF</a:t>
          </a:fld>
          <a:endParaRPr lang="en-US" sz="1000" b="0" i="0" u="none" strike="noStrike" baseline="0">
            <a:solidFill>
              <a:srgbClr val="000000"/>
            </a:solidFill>
            <a:latin typeface="Arial" pitchFamily="34" charset="0"/>
            <a:cs typeface="Arial" pitchFamily="34" charset="0"/>
          </a:endParaRPr>
        </a:p>
      </xdr:txBody>
    </xdr:sp>
    <xdr:clientData/>
  </xdr:twoCellAnchor>
  <xdr:twoCellAnchor editAs="oneCell">
    <xdr:from>
      <xdr:col>16</xdr:col>
      <xdr:colOff>142875</xdr:colOff>
      <xdr:row>68</xdr:row>
      <xdr:rowOff>142874</xdr:rowOff>
    </xdr:from>
    <xdr:to>
      <xdr:col>16</xdr:col>
      <xdr:colOff>2162175</xdr:colOff>
      <xdr:row>75</xdr:row>
      <xdr:rowOff>133349</xdr:rowOff>
    </xdr:to>
    <xdr:pic>
      <xdr:nvPicPr>
        <xdr:cNvPr id="73" name="Picture 72" descr="LM27403 IC picture.jpg">
          <a:extLst>
            <a:ext uri="{FF2B5EF4-FFF2-40B4-BE49-F238E27FC236}">
              <a16:creationId xmlns:a16="http://schemas.microsoft.com/office/drawing/2014/main" id="{00000000-0008-0000-0000-000049000000}"/>
            </a:ext>
          </a:extLst>
        </xdr:cNvPr>
        <xdr:cNvPicPr>
          <a:picLocks noChangeAspect="1"/>
        </xdr:cNvPicPr>
      </xdr:nvPicPr>
      <xdr:blipFill>
        <a:blip xmlns:r="http://schemas.openxmlformats.org/officeDocument/2006/relationships" r:embed="rId4" cstate="print"/>
        <a:stretch>
          <a:fillRect/>
        </a:stretch>
      </xdr:blipFill>
      <xdr:spPr>
        <a:xfrm>
          <a:off x="10410825" y="13087349"/>
          <a:ext cx="2019300" cy="1304925"/>
        </a:xfrm>
        <a:prstGeom prst="rect">
          <a:avLst/>
        </a:prstGeom>
      </xdr:spPr>
    </xdr:pic>
    <xdr:clientData/>
  </xdr:twoCellAnchor>
  <mc:AlternateContent xmlns:mc="http://schemas.openxmlformats.org/markup-compatibility/2006">
    <mc:Choice xmlns:a14="http://schemas.microsoft.com/office/drawing/2010/main" Requires="a14">
      <xdr:twoCellAnchor>
        <xdr:from>
          <xdr:col>5</xdr:col>
          <xdr:colOff>0</xdr:colOff>
          <xdr:row>58</xdr:row>
          <xdr:rowOff>0</xdr:rowOff>
        </xdr:from>
        <xdr:to>
          <xdr:col>5</xdr:col>
          <xdr:colOff>177800</xdr:colOff>
          <xdr:row>59</xdr:row>
          <xdr:rowOff>12700</xdr:rowOff>
        </xdr:to>
        <xdr:sp macro="" textlink="">
          <xdr:nvSpPr>
            <xdr:cNvPr id="672829" name="Spinner 61" hidden="1">
              <a:extLst>
                <a:ext uri="{63B3BB69-23CF-44E3-9099-C40C66FF867C}">
                  <a14:compatExt spid="_x0000_s672829"/>
                </a:ext>
                <a:ext uri="{FF2B5EF4-FFF2-40B4-BE49-F238E27FC236}">
                  <a16:creationId xmlns:a16="http://schemas.microsoft.com/office/drawing/2014/main" id="{00000000-0008-0000-0000-00003D440A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63</xdr:row>
          <xdr:rowOff>12700</xdr:rowOff>
        </xdr:from>
        <xdr:to>
          <xdr:col>5</xdr:col>
          <xdr:colOff>177800</xdr:colOff>
          <xdr:row>64</xdr:row>
          <xdr:rowOff>0</xdr:rowOff>
        </xdr:to>
        <xdr:sp macro="" textlink="">
          <xdr:nvSpPr>
            <xdr:cNvPr id="672830" name="Spinner 62" hidden="1">
              <a:extLst>
                <a:ext uri="{63B3BB69-23CF-44E3-9099-C40C66FF867C}">
                  <a14:compatExt spid="_x0000_s672830"/>
                </a:ext>
                <a:ext uri="{FF2B5EF4-FFF2-40B4-BE49-F238E27FC236}">
                  <a16:creationId xmlns:a16="http://schemas.microsoft.com/office/drawing/2014/main" id="{00000000-0008-0000-0000-00003E440A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64</xdr:row>
          <xdr:rowOff>12700</xdr:rowOff>
        </xdr:from>
        <xdr:to>
          <xdr:col>5</xdr:col>
          <xdr:colOff>177800</xdr:colOff>
          <xdr:row>64</xdr:row>
          <xdr:rowOff>177800</xdr:rowOff>
        </xdr:to>
        <xdr:sp macro="" textlink="">
          <xdr:nvSpPr>
            <xdr:cNvPr id="672831" name="Spinner 63" hidden="1">
              <a:extLst>
                <a:ext uri="{63B3BB69-23CF-44E3-9099-C40C66FF867C}">
                  <a14:compatExt spid="_x0000_s672831"/>
                </a:ext>
                <a:ext uri="{FF2B5EF4-FFF2-40B4-BE49-F238E27FC236}">
                  <a16:creationId xmlns:a16="http://schemas.microsoft.com/office/drawing/2014/main" id="{00000000-0008-0000-0000-00003F440A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64</xdr:row>
          <xdr:rowOff>190500</xdr:rowOff>
        </xdr:from>
        <xdr:to>
          <xdr:col>5</xdr:col>
          <xdr:colOff>177800</xdr:colOff>
          <xdr:row>65</xdr:row>
          <xdr:rowOff>177800</xdr:rowOff>
        </xdr:to>
        <xdr:sp macro="" textlink="">
          <xdr:nvSpPr>
            <xdr:cNvPr id="672832" name="Spinner 64" hidden="1">
              <a:extLst>
                <a:ext uri="{63B3BB69-23CF-44E3-9099-C40C66FF867C}">
                  <a14:compatExt spid="_x0000_s672832"/>
                </a:ext>
                <a:ext uri="{FF2B5EF4-FFF2-40B4-BE49-F238E27FC236}">
                  <a16:creationId xmlns:a16="http://schemas.microsoft.com/office/drawing/2014/main" id="{00000000-0008-0000-0000-000040440A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66</xdr:row>
          <xdr:rowOff>0</xdr:rowOff>
        </xdr:from>
        <xdr:to>
          <xdr:col>5</xdr:col>
          <xdr:colOff>177800</xdr:colOff>
          <xdr:row>66</xdr:row>
          <xdr:rowOff>190500</xdr:rowOff>
        </xdr:to>
        <xdr:sp macro="" textlink="">
          <xdr:nvSpPr>
            <xdr:cNvPr id="672833" name="Spinner 65" hidden="1">
              <a:extLst>
                <a:ext uri="{63B3BB69-23CF-44E3-9099-C40C66FF867C}">
                  <a14:compatExt spid="_x0000_s672833"/>
                </a:ext>
                <a:ext uri="{FF2B5EF4-FFF2-40B4-BE49-F238E27FC236}">
                  <a16:creationId xmlns:a16="http://schemas.microsoft.com/office/drawing/2014/main" id="{00000000-0008-0000-0000-000041440A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16</xdr:col>
      <xdr:colOff>114300</xdr:colOff>
      <xdr:row>0</xdr:row>
      <xdr:rowOff>66675</xdr:rowOff>
    </xdr:from>
    <xdr:to>
      <xdr:col>16</xdr:col>
      <xdr:colOff>1175004</xdr:colOff>
      <xdr:row>2</xdr:row>
      <xdr:rowOff>118996</xdr:rowOff>
    </xdr:to>
    <xdr:pic>
      <xdr:nvPicPr>
        <xdr:cNvPr id="78" name="Picture 77">
          <a:extLst>
            <a:ext uri="{FF2B5EF4-FFF2-40B4-BE49-F238E27FC236}">
              <a16:creationId xmlns:a16="http://schemas.microsoft.com/office/drawing/2014/main" id="{00000000-0008-0000-0000-00004E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0382250" y="66675"/>
          <a:ext cx="1060704" cy="823846"/>
        </a:xfrm>
        <a:prstGeom prst="rect">
          <a:avLst/>
        </a:prstGeom>
      </xdr:spPr>
    </xdr:pic>
    <xdr:clientData/>
  </xdr:twoCellAnchor>
  <xdr:twoCellAnchor editAs="oneCell">
    <xdr:from>
      <xdr:col>16</xdr:col>
      <xdr:colOff>1270362</xdr:colOff>
      <xdr:row>0</xdr:row>
      <xdr:rowOff>57475</xdr:rowOff>
    </xdr:from>
    <xdr:to>
      <xdr:col>17</xdr:col>
      <xdr:colOff>2894</xdr:colOff>
      <xdr:row>2</xdr:row>
      <xdr:rowOff>111841</xdr:rowOff>
    </xdr:to>
    <xdr:pic>
      <xdr:nvPicPr>
        <xdr:cNvPr id="79" name="Picture 78">
          <a:extLst>
            <a:ext uri="{FF2B5EF4-FFF2-40B4-BE49-F238E27FC236}">
              <a16:creationId xmlns:a16="http://schemas.microsoft.com/office/drawing/2014/main" id="{00000000-0008-0000-0000-00004F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1537655" y="57475"/>
          <a:ext cx="1057946" cy="822935"/>
        </a:xfrm>
        <a:prstGeom prst="rect">
          <a:avLst/>
        </a:prstGeom>
      </xdr:spPr>
    </xdr:pic>
    <xdr:clientData/>
  </xdr:twoCellAnchor>
  <xdr:twoCellAnchor editAs="oneCell">
    <xdr:from>
      <xdr:col>0</xdr:col>
      <xdr:colOff>85725</xdr:colOff>
      <xdr:row>0</xdr:row>
      <xdr:rowOff>28575</xdr:rowOff>
    </xdr:from>
    <xdr:to>
      <xdr:col>3</xdr:col>
      <xdr:colOff>578096</xdr:colOff>
      <xdr:row>0</xdr:row>
      <xdr:rowOff>567231</xdr:rowOff>
    </xdr:to>
    <xdr:pic macro="[0]!OpenLM27403ProductFolder">
      <xdr:nvPicPr>
        <xdr:cNvPr id="80" name="Picture 79">
          <a:extLst>
            <a:ext uri="{FF2B5EF4-FFF2-40B4-BE49-F238E27FC236}">
              <a16:creationId xmlns:a16="http://schemas.microsoft.com/office/drawing/2014/main" id="{00000000-0008-0000-0000-000050000000}"/>
            </a:ext>
          </a:extLst>
        </xdr:cNvPr>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t="4896" b="8304"/>
        <a:stretch/>
      </xdr:blipFill>
      <xdr:spPr>
        <a:xfrm>
          <a:off x="85725" y="28575"/>
          <a:ext cx="2283071" cy="538656"/>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0.08796</cdr:x>
      <cdr:y>0.49238</cdr:y>
    </cdr:from>
    <cdr:to>
      <cdr:x>0.92197</cdr:x>
      <cdr:y>0.49409</cdr:y>
    </cdr:to>
    <cdr:sp macro="" textlink="">
      <cdr:nvSpPr>
        <cdr:cNvPr id="8195" name="Line 3"/>
        <cdr:cNvSpPr>
          <a:spLocks xmlns:a="http://schemas.openxmlformats.org/drawingml/2006/main" noChangeShapeType="1"/>
        </cdr:cNvSpPr>
      </cdr:nvSpPr>
      <cdr:spPr bwMode="auto">
        <a:xfrm xmlns:a="http://schemas.openxmlformats.org/drawingml/2006/main">
          <a:off x="753099" y="2185131"/>
          <a:ext cx="7141085" cy="7622"/>
        </a:xfrm>
        <a:prstGeom xmlns:a="http://schemas.openxmlformats.org/drawingml/2006/main" prst="line">
          <a:avLst/>
        </a:prstGeom>
        <a:noFill xmlns:a="http://schemas.openxmlformats.org/drawingml/2006/main"/>
        <a:ln xmlns:a="http://schemas.openxmlformats.org/drawingml/2006/main" w="19050">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0.92062</cdr:x>
      <cdr:y>0.58763</cdr:y>
    </cdr:from>
    <cdr:to>
      <cdr:x>0.95653</cdr:x>
      <cdr:y>0.64353</cdr:y>
    </cdr:to>
    <cdr:sp macro="" textlink="'Variable Management'!$B$232">
      <cdr:nvSpPr>
        <cdr:cNvPr id="3" name="Text Box 24"/>
        <cdr:cNvSpPr txBox="1">
          <a:spLocks xmlns:a="http://schemas.openxmlformats.org/drawingml/2006/main" noChangeArrowheads="1" noTextEdit="1"/>
        </cdr:cNvSpPr>
      </cdr:nvSpPr>
      <cdr:spPr bwMode="auto">
        <a:xfrm xmlns:a="http://schemas.openxmlformats.org/drawingml/2006/main">
          <a:off x="7976234" y="2610019"/>
          <a:ext cx="311124" cy="24828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22860" rIns="0" bIns="22860" anchor="ctr"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fld id="{BB1BCF51-C5DA-4454-8307-018A0FF9C118}" type="TxLink">
            <a:rPr lang="en-US" sz="900" b="0" i="0" u="none" strike="noStrike" baseline="0">
              <a:solidFill>
                <a:srgbClr val="000000"/>
              </a:solidFill>
              <a:latin typeface="Arial" pitchFamily="34" charset="0"/>
              <a:cs typeface="Arial" pitchFamily="34" charset="0"/>
            </a:rPr>
            <a:pPr algn="l" rtl="0">
              <a:defRPr sz="1000"/>
            </a:pPr>
            <a:t>67°</a:t>
          </a:fld>
          <a:endParaRPr lang="en-US" sz="900" b="1" i="0" u="none" strike="noStrike" baseline="0">
            <a:solidFill>
              <a:srgbClr val="000000"/>
            </a:solidFill>
            <a:latin typeface="Arial" pitchFamily="34" charset="0"/>
            <a:cs typeface="Arial" pitchFamily="34" charset="0"/>
          </a:endParaRPr>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0</xdr:col>
      <xdr:colOff>157572</xdr:colOff>
      <xdr:row>0</xdr:row>
      <xdr:rowOff>49695</xdr:rowOff>
    </xdr:from>
    <xdr:to>
      <xdr:col>9</xdr:col>
      <xdr:colOff>968237</xdr:colOff>
      <xdr:row>34</xdr:row>
      <xdr:rowOff>54613</xdr:rowOff>
    </xdr:to>
    <xdr:pic>
      <xdr:nvPicPr>
        <xdr:cNvPr id="90" name="Picture 89" descr="Schematic4.jp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1" cstate="print"/>
        <a:stretch>
          <a:fillRect/>
        </a:stretch>
      </xdr:blipFill>
      <xdr:spPr>
        <a:xfrm>
          <a:off x="157572" y="49695"/>
          <a:ext cx="10030865" cy="5510368"/>
        </a:xfrm>
        <a:prstGeom prst="rect">
          <a:avLst/>
        </a:prstGeom>
      </xdr:spPr>
    </xdr:pic>
    <xdr:clientData/>
  </xdr:twoCellAnchor>
  <xdr:twoCellAnchor>
    <xdr:from>
      <xdr:col>9</xdr:col>
      <xdr:colOff>567631</xdr:colOff>
      <xdr:row>11</xdr:row>
      <xdr:rowOff>59011</xdr:rowOff>
    </xdr:from>
    <xdr:to>
      <xdr:col>9</xdr:col>
      <xdr:colOff>1085850</xdr:colOff>
      <xdr:row>12</xdr:row>
      <xdr:rowOff>142875</xdr:rowOff>
    </xdr:to>
    <xdr:sp macro="" textlink="'Variable Management'!B214">
      <xdr:nvSpPr>
        <xdr:cNvPr id="23" name="Text Box 285">
          <a:extLst>
            <a:ext uri="{FF2B5EF4-FFF2-40B4-BE49-F238E27FC236}">
              <a16:creationId xmlns:a16="http://schemas.microsoft.com/office/drawing/2014/main" id="{00000000-0008-0000-0100-000017000000}"/>
            </a:ext>
          </a:extLst>
        </xdr:cNvPr>
        <xdr:cNvSpPr txBox="1">
          <a:spLocks noChangeArrowheads="1" noTextEdit="1"/>
        </xdr:cNvSpPr>
      </xdr:nvSpPr>
      <xdr:spPr bwMode="auto">
        <a:xfrm>
          <a:off x="9787831" y="1840186"/>
          <a:ext cx="518219" cy="245789"/>
        </a:xfrm>
        <a:prstGeom prst="rect">
          <a:avLst/>
        </a:prstGeom>
        <a:noFill/>
        <a:ln w="9525">
          <a:noFill/>
          <a:miter lim="800000"/>
          <a:headEnd/>
          <a:tailEnd/>
        </a:ln>
      </xdr:spPr>
      <xdr:txBody>
        <a:bodyPr vertOverflow="clip" wrap="square" lIns="27432" tIns="22860" rIns="0" bIns="0" anchor="t" upright="1"/>
        <a:lstStyle/>
        <a:p>
          <a:pPr algn="l" rtl="0">
            <a:defRPr sz="1000"/>
          </a:pPr>
          <a:fld id="{702C2B8A-7C4B-4FDB-B229-3170089D9686}" type="TxLink">
            <a:rPr lang="en-US" sz="1200" b="1" i="0" u="none" strike="noStrike" baseline="0">
              <a:solidFill>
                <a:srgbClr val="000000"/>
              </a:solidFill>
              <a:latin typeface="Arial" pitchFamily="34" charset="0"/>
              <a:cs typeface="Arial" pitchFamily="34" charset="0"/>
            </a:rPr>
            <a:pPr algn="l" rtl="0">
              <a:defRPr sz="1000"/>
            </a:pPr>
            <a:t>6.75V</a:t>
          </a:fld>
          <a:endParaRPr lang="en-US" sz="1200" b="1" i="0" u="none" strike="noStrike" baseline="0">
            <a:solidFill>
              <a:srgbClr val="000000"/>
            </a:solidFill>
            <a:latin typeface="Arial" pitchFamily="34" charset="0"/>
            <a:cs typeface="Arial" pitchFamily="34" charset="0"/>
          </a:endParaRPr>
        </a:p>
      </xdr:txBody>
    </xdr:sp>
    <xdr:clientData/>
  </xdr:twoCellAnchor>
  <xdr:twoCellAnchor>
    <xdr:from>
      <xdr:col>9</xdr:col>
      <xdr:colOff>431798</xdr:colOff>
      <xdr:row>12</xdr:row>
      <xdr:rowOff>118181</xdr:rowOff>
    </xdr:from>
    <xdr:to>
      <xdr:col>9</xdr:col>
      <xdr:colOff>1028700</xdr:colOff>
      <xdr:row>14</xdr:row>
      <xdr:rowOff>30630</xdr:rowOff>
    </xdr:to>
    <xdr:sp macro="" textlink="'Variable Management'!B243">
      <xdr:nvSpPr>
        <xdr:cNvPr id="24" name="Text Box 286">
          <a:extLst>
            <a:ext uri="{FF2B5EF4-FFF2-40B4-BE49-F238E27FC236}">
              <a16:creationId xmlns:a16="http://schemas.microsoft.com/office/drawing/2014/main" id="{00000000-0008-0000-0100-000018000000}"/>
            </a:ext>
          </a:extLst>
        </xdr:cNvPr>
        <xdr:cNvSpPr txBox="1">
          <a:spLocks noChangeArrowheads="1" noTextEdit="1"/>
        </xdr:cNvSpPr>
      </xdr:nvSpPr>
      <xdr:spPr bwMode="auto">
        <a:xfrm>
          <a:off x="9651998" y="2061281"/>
          <a:ext cx="596902" cy="236299"/>
        </a:xfrm>
        <a:prstGeom prst="rect">
          <a:avLst/>
        </a:prstGeom>
        <a:noFill/>
        <a:ln w="9525">
          <a:noFill/>
          <a:miter lim="800000"/>
          <a:headEnd/>
          <a:tailEnd/>
        </a:ln>
      </xdr:spPr>
      <xdr:txBody>
        <a:bodyPr vertOverflow="clip" wrap="square" lIns="27432" tIns="22860" rIns="0" bIns="0" anchor="t" upright="1"/>
        <a:lstStyle/>
        <a:p>
          <a:pPr algn="ctr" rtl="0">
            <a:defRPr sz="1000"/>
          </a:pPr>
          <a:fld id="{E0FB88FA-F39E-4ACF-AB5E-DCB628763AAE}" type="TxLink">
            <a:rPr lang="en-US" sz="1200" b="1" i="0" u="none" strike="noStrike">
              <a:solidFill>
                <a:srgbClr val="000000"/>
              </a:solidFill>
              <a:latin typeface="Arial" pitchFamily="34" charset="0"/>
              <a:cs typeface="Arial" pitchFamily="34" charset="0"/>
            </a:rPr>
            <a:pPr algn="ctr" rtl="0">
              <a:defRPr sz="1000"/>
            </a:pPr>
            <a:t>30A</a:t>
          </a:fld>
          <a:endParaRPr lang="en-US" sz="1200" b="1" i="0" strike="noStrike">
            <a:solidFill>
              <a:srgbClr val="000000"/>
            </a:solidFill>
            <a:latin typeface="Arial" pitchFamily="34" charset="0"/>
            <a:cs typeface="Arial" pitchFamily="34" charset="0"/>
          </a:endParaRPr>
        </a:p>
      </xdr:txBody>
    </xdr:sp>
    <xdr:clientData/>
  </xdr:twoCellAnchor>
  <xdr:twoCellAnchor>
    <xdr:from>
      <xdr:col>6</xdr:col>
      <xdr:colOff>570541</xdr:colOff>
      <xdr:row>15</xdr:row>
      <xdr:rowOff>116910</xdr:rowOff>
    </xdr:from>
    <xdr:to>
      <xdr:col>7</xdr:col>
      <xdr:colOff>328995</xdr:colOff>
      <xdr:row>17</xdr:row>
      <xdr:rowOff>6450</xdr:rowOff>
    </xdr:to>
    <xdr:sp macro="" textlink="'Variable Management'!B221">
      <xdr:nvSpPr>
        <xdr:cNvPr id="26" name="Text Box 276">
          <a:extLst>
            <a:ext uri="{FF2B5EF4-FFF2-40B4-BE49-F238E27FC236}">
              <a16:creationId xmlns:a16="http://schemas.microsoft.com/office/drawing/2014/main" id="{00000000-0008-0000-0100-00001A000000}"/>
            </a:ext>
          </a:extLst>
        </xdr:cNvPr>
        <xdr:cNvSpPr txBox="1">
          <a:spLocks noChangeArrowheads="1" noTextEdit="1"/>
        </xdr:cNvSpPr>
      </xdr:nvSpPr>
      <xdr:spPr bwMode="auto">
        <a:xfrm>
          <a:off x="7113483" y="2534795"/>
          <a:ext cx="476493" cy="211924"/>
        </a:xfrm>
        <a:prstGeom prst="rect">
          <a:avLst/>
        </a:prstGeom>
        <a:noFill/>
        <a:ln w="9525">
          <a:noFill/>
          <a:miter lim="800000"/>
          <a:headEnd/>
          <a:tailEnd/>
        </a:ln>
      </xdr:spPr>
      <xdr:txBody>
        <a:bodyPr vertOverflow="clip" wrap="square" lIns="27432" tIns="22860" rIns="0" bIns="0" anchor="ctr" upright="1"/>
        <a:lstStyle/>
        <a:p>
          <a:pPr algn="l" rtl="0">
            <a:defRPr sz="1000"/>
          </a:pPr>
          <a:fld id="{8EC17DC9-9599-436B-83BE-CF5CE4344793}" type="TxLink">
            <a:rPr lang="en-US" sz="1000" b="0" i="0" u="none" strike="noStrike" baseline="0">
              <a:solidFill>
                <a:srgbClr val="000000"/>
              </a:solidFill>
              <a:latin typeface="Arialri"/>
              <a:cs typeface="Arial" pitchFamily="34" charset="0"/>
            </a:rPr>
            <a:pPr algn="l" rtl="0">
              <a:defRPr sz="1000"/>
            </a:pPr>
            <a:t>22µF</a:t>
          </a:fld>
          <a:endParaRPr lang="en-US" sz="1000" b="0" i="0" u="none" strike="noStrike" baseline="0">
            <a:solidFill>
              <a:srgbClr val="000000"/>
            </a:solidFill>
            <a:latin typeface="Arial" pitchFamily="34" charset="0"/>
            <a:cs typeface="Arial" pitchFamily="34" charset="0"/>
          </a:endParaRPr>
        </a:p>
      </xdr:txBody>
    </xdr:sp>
    <xdr:clientData/>
  </xdr:twoCellAnchor>
  <xdr:twoCellAnchor>
    <xdr:from>
      <xdr:col>0</xdr:col>
      <xdr:colOff>389336</xdr:colOff>
      <xdr:row>7</xdr:row>
      <xdr:rowOff>137889</xdr:rowOff>
    </xdr:from>
    <xdr:to>
      <xdr:col>1</xdr:col>
      <xdr:colOff>68865</xdr:colOff>
      <xdr:row>9</xdr:row>
      <xdr:rowOff>25441</xdr:rowOff>
    </xdr:to>
    <xdr:sp macro="" textlink="">
      <xdr:nvSpPr>
        <xdr:cNvPr id="30" name="Text Box 224">
          <a:extLst>
            <a:ext uri="{FF2B5EF4-FFF2-40B4-BE49-F238E27FC236}">
              <a16:creationId xmlns:a16="http://schemas.microsoft.com/office/drawing/2014/main" id="{00000000-0008-0000-0100-00001E000000}"/>
            </a:ext>
          </a:extLst>
        </xdr:cNvPr>
        <xdr:cNvSpPr txBox="1">
          <a:spLocks noChangeArrowheads="1"/>
        </xdr:cNvSpPr>
      </xdr:nvSpPr>
      <xdr:spPr bwMode="auto">
        <a:xfrm>
          <a:off x="389336" y="1271364"/>
          <a:ext cx="260554" cy="211402"/>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000" b="0" i="0" strike="noStrike">
              <a:solidFill>
                <a:srgbClr val="000000"/>
              </a:solidFill>
              <a:latin typeface="Arial" pitchFamily="34" charset="0"/>
              <a:cs typeface="Arial" pitchFamily="34" charset="0"/>
            </a:rPr>
            <a:t>C</a:t>
          </a:r>
          <a:r>
            <a:rPr lang="en-US" sz="1000" b="0" i="0" strike="noStrike" baseline="-25000">
              <a:solidFill>
                <a:srgbClr val="000000"/>
              </a:solidFill>
              <a:latin typeface="Arial" pitchFamily="34" charset="0"/>
              <a:cs typeface="Arial" pitchFamily="34" charset="0"/>
            </a:rPr>
            <a:t>C3</a:t>
          </a:r>
        </a:p>
      </xdr:txBody>
    </xdr:sp>
    <xdr:clientData/>
  </xdr:twoCellAnchor>
  <xdr:twoCellAnchor>
    <xdr:from>
      <xdr:col>1</xdr:col>
      <xdr:colOff>642346</xdr:colOff>
      <xdr:row>5</xdr:row>
      <xdr:rowOff>44549</xdr:rowOff>
    </xdr:from>
    <xdr:to>
      <xdr:col>1</xdr:col>
      <xdr:colOff>962284</xdr:colOff>
      <xdr:row>6</xdr:row>
      <xdr:rowOff>85794</xdr:rowOff>
    </xdr:to>
    <xdr:sp macro="" textlink="">
      <xdr:nvSpPr>
        <xdr:cNvPr id="31" name="Text Box 225">
          <a:extLst>
            <a:ext uri="{FF2B5EF4-FFF2-40B4-BE49-F238E27FC236}">
              <a16:creationId xmlns:a16="http://schemas.microsoft.com/office/drawing/2014/main" id="{00000000-0008-0000-0100-00001F000000}"/>
            </a:ext>
          </a:extLst>
        </xdr:cNvPr>
        <xdr:cNvSpPr txBox="1">
          <a:spLocks noChangeArrowheads="1"/>
        </xdr:cNvSpPr>
      </xdr:nvSpPr>
      <xdr:spPr bwMode="auto">
        <a:xfrm>
          <a:off x="1221173" y="850511"/>
          <a:ext cx="319938" cy="202437"/>
        </a:xfrm>
        <a:prstGeom prst="rect">
          <a:avLst/>
        </a:prstGeom>
        <a:noFill/>
        <a:ln w="9525">
          <a:noFill/>
          <a:miter lim="800000"/>
          <a:headEnd/>
          <a:tailEnd/>
        </a:ln>
      </xdr:spPr>
      <xdr:txBody>
        <a:bodyPr vertOverflow="clip" wrap="square" lIns="27432" tIns="27432" rIns="0" bIns="0" anchor="ctr" upright="1"/>
        <a:lstStyle/>
        <a:p>
          <a:pPr algn="ctr" rtl="0">
            <a:defRPr sz="1000"/>
          </a:pPr>
          <a:r>
            <a:rPr lang="en-US" sz="1000" b="0" i="0" strike="noStrike">
              <a:solidFill>
                <a:srgbClr val="000000"/>
              </a:solidFill>
              <a:latin typeface="Arial" pitchFamily="34" charset="0"/>
              <a:cs typeface="Arial" pitchFamily="34" charset="0"/>
            </a:rPr>
            <a:t>R</a:t>
          </a:r>
          <a:r>
            <a:rPr lang="en-US" sz="1000" b="0" i="0" strike="noStrike" baseline="-25000">
              <a:solidFill>
                <a:srgbClr val="000000"/>
              </a:solidFill>
              <a:latin typeface="Arial" pitchFamily="34" charset="0"/>
              <a:cs typeface="Arial" pitchFamily="34" charset="0"/>
            </a:rPr>
            <a:t>FB1</a:t>
          </a:r>
        </a:p>
      </xdr:txBody>
    </xdr:sp>
    <xdr:clientData/>
  </xdr:twoCellAnchor>
  <xdr:twoCellAnchor>
    <xdr:from>
      <xdr:col>0</xdr:col>
      <xdr:colOff>419004</xdr:colOff>
      <xdr:row>4</xdr:row>
      <xdr:rowOff>135245</xdr:rowOff>
    </xdr:from>
    <xdr:to>
      <xdr:col>1</xdr:col>
      <xdr:colOff>104368</xdr:colOff>
      <xdr:row>6</xdr:row>
      <xdr:rowOff>52539</xdr:rowOff>
    </xdr:to>
    <xdr:sp macro="" textlink="">
      <xdr:nvSpPr>
        <xdr:cNvPr id="32" name="Text Box 227">
          <a:extLst>
            <a:ext uri="{FF2B5EF4-FFF2-40B4-BE49-F238E27FC236}">
              <a16:creationId xmlns:a16="http://schemas.microsoft.com/office/drawing/2014/main" id="{00000000-0008-0000-0100-000020000000}"/>
            </a:ext>
          </a:extLst>
        </xdr:cNvPr>
        <xdr:cNvSpPr txBox="1">
          <a:spLocks noChangeArrowheads="1"/>
        </xdr:cNvSpPr>
      </xdr:nvSpPr>
      <xdr:spPr bwMode="auto">
        <a:xfrm>
          <a:off x="419004" y="782945"/>
          <a:ext cx="266389" cy="241144"/>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000" b="0" i="0" strike="noStrike">
              <a:solidFill>
                <a:srgbClr val="000000"/>
              </a:solidFill>
              <a:latin typeface="Arial" pitchFamily="34" charset="0"/>
              <a:cs typeface="Arial" pitchFamily="34" charset="0"/>
            </a:rPr>
            <a:t>R</a:t>
          </a:r>
          <a:r>
            <a:rPr lang="en-US" sz="1000" b="0" i="0" strike="noStrike" baseline="-25000">
              <a:solidFill>
                <a:srgbClr val="000000"/>
              </a:solidFill>
              <a:latin typeface="Arial" pitchFamily="34" charset="0"/>
              <a:cs typeface="Arial" pitchFamily="34" charset="0"/>
            </a:rPr>
            <a:t>C2</a:t>
          </a:r>
        </a:p>
      </xdr:txBody>
    </xdr:sp>
    <xdr:clientData/>
  </xdr:twoCellAnchor>
  <xdr:twoCellAnchor>
    <xdr:from>
      <xdr:col>9</xdr:col>
      <xdr:colOff>18757</xdr:colOff>
      <xdr:row>13</xdr:row>
      <xdr:rowOff>83281</xdr:rowOff>
    </xdr:from>
    <xdr:to>
      <xdr:col>9</xdr:col>
      <xdr:colOff>441584</xdr:colOff>
      <xdr:row>14</xdr:row>
      <xdr:rowOff>113729</xdr:rowOff>
    </xdr:to>
    <xdr:sp macro="" textlink="">
      <xdr:nvSpPr>
        <xdr:cNvPr id="33" name="Text Box 228">
          <a:extLst>
            <a:ext uri="{FF2B5EF4-FFF2-40B4-BE49-F238E27FC236}">
              <a16:creationId xmlns:a16="http://schemas.microsoft.com/office/drawing/2014/main" id="{00000000-0008-0000-0100-000021000000}"/>
            </a:ext>
          </a:extLst>
        </xdr:cNvPr>
        <xdr:cNvSpPr txBox="1">
          <a:spLocks noChangeArrowheads="1"/>
        </xdr:cNvSpPr>
      </xdr:nvSpPr>
      <xdr:spPr bwMode="auto">
        <a:xfrm>
          <a:off x="9238957" y="2188306"/>
          <a:ext cx="422827" cy="192373"/>
        </a:xfrm>
        <a:prstGeom prst="rect">
          <a:avLst/>
        </a:prstGeom>
        <a:noFill/>
        <a:ln w="9525">
          <a:noFill/>
          <a:miter lim="800000"/>
          <a:headEnd/>
          <a:tailEnd/>
        </a:ln>
      </xdr:spPr>
      <xdr:txBody>
        <a:bodyPr vertOverflow="clip" wrap="square" lIns="27432" tIns="27432" rIns="0" bIns="0" anchor="ctr" upright="1"/>
        <a:lstStyle/>
        <a:p>
          <a:pPr algn="l" rtl="0">
            <a:defRPr sz="1000"/>
          </a:pPr>
          <a:r>
            <a:rPr lang="en-US" sz="1000" b="0" i="0" strike="noStrike">
              <a:solidFill>
                <a:srgbClr val="000000"/>
              </a:solidFill>
              <a:latin typeface="Arial" pitchFamily="34" charset="0"/>
              <a:cs typeface="Arial" pitchFamily="34" charset="0"/>
            </a:rPr>
            <a:t>C</a:t>
          </a:r>
          <a:r>
            <a:rPr lang="en-US" sz="1000" b="0" i="0" strike="noStrike" baseline="-25000">
              <a:solidFill>
                <a:srgbClr val="000000"/>
              </a:solidFill>
              <a:latin typeface="Arial" pitchFamily="34" charset="0"/>
              <a:cs typeface="Arial" pitchFamily="34" charset="0"/>
            </a:rPr>
            <a:t>OUT</a:t>
          </a:r>
        </a:p>
      </xdr:txBody>
    </xdr:sp>
    <xdr:clientData/>
  </xdr:twoCellAnchor>
  <xdr:twoCellAnchor>
    <xdr:from>
      <xdr:col>8</xdr:col>
      <xdr:colOff>917722</xdr:colOff>
      <xdr:row>3</xdr:row>
      <xdr:rowOff>18666</xdr:rowOff>
    </xdr:from>
    <xdr:to>
      <xdr:col>9</xdr:col>
      <xdr:colOff>405598</xdr:colOff>
      <xdr:row>4</xdr:row>
      <xdr:rowOff>116846</xdr:rowOff>
    </xdr:to>
    <xdr:sp macro="" textlink="">
      <xdr:nvSpPr>
        <xdr:cNvPr id="34" name="Text Box 231">
          <a:extLst>
            <a:ext uri="{FF2B5EF4-FFF2-40B4-BE49-F238E27FC236}">
              <a16:creationId xmlns:a16="http://schemas.microsoft.com/office/drawing/2014/main" id="{00000000-0008-0000-0100-000022000000}"/>
            </a:ext>
          </a:extLst>
        </xdr:cNvPr>
        <xdr:cNvSpPr txBox="1">
          <a:spLocks noChangeArrowheads="1"/>
        </xdr:cNvSpPr>
      </xdr:nvSpPr>
      <xdr:spPr bwMode="auto">
        <a:xfrm>
          <a:off x="9156847" y="504441"/>
          <a:ext cx="468951" cy="260105"/>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000" b="0" i="0" strike="noStrike">
              <a:solidFill>
                <a:srgbClr val="000000"/>
              </a:solidFill>
              <a:latin typeface="Arial" pitchFamily="34" charset="0"/>
              <a:cs typeface="Arial" pitchFamily="34" charset="0"/>
            </a:rPr>
            <a:t>R</a:t>
          </a:r>
          <a:r>
            <a:rPr lang="en-US" sz="1000" b="0" i="0" strike="noStrike" baseline="-25000">
              <a:solidFill>
                <a:srgbClr val="000000"/>
              </a:solidFill>
              <a:latin typeface="Arial" pitchFamily="34" charset="0"/>
              <a:cs typeface="Arial" pitchFamily="34" charset="0"/>
            </a:rPr>
            <a:t>ISET</a:t>
          </a:r>
        </a:p>
      </xdr:txBody>
    </xdr:sp>
    <xdr:clientData/>
  </xdr:twoCellAnchor>
  <xdr:twoCellAnchor>
    <xdr:from>
      <xdr:col>8</xdr:col>
      <xdr:colOff>277100</xdr:colOff>
      <xdr:row>5</xdr:row>
      <xdr:rowOff>81400</xdr:rowOff>
    </xdr:from>
    <xdr:to>
      <xdr:col>8</xdr:col>
      <xdr:colOff>487255</xdr:colOff>
      <xdr:row>6</xdr:row>
      <xdr:rowOff>131204</xdr:rowOff>
    </xdr:to>
    <xdr:sp macro="" textlink="">
      <xdr:nvSpPr>
        <xdr:cNvPr id="35" name="Text Box 233">
          <a:extLst>
            <a:ext uri="{FF2B5EF4-FFF2-40B4-BE49-F238E27FC236}">
              <a16:creationId xmlns:a16="http://schemas.microsoft.com/office/drawing/2014/main" id="{00000000-0008-0000-0100-000023000000}"/>
            </a:ext>
          </a:extLst>
        </xdr:cNvPr>
        <xdr:cNvSpPr txBox="1">
          <a:spLocks noChangeArrowheads="1"/>
        </xdr:cNvSpPr>
      </xdr:nvSpPr>
      <xdr:spPr bwMode="auto">
        <a:xfrm>
          <a:off x="8617687" y="909661"/>
          <a:ext cx="210155" cy="215456"/>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000" b="0" i="0" strike="noStrike">
              <a:solidFill>
                <a:srgbClr val="000000"/>
              </a:solidFill>
              <a:latin typeface="Arial" pitchFamily="34" charset="0"/>
              <a:cs typeface="Arial" pitchFamily="34" charset="0"/>
            </a:rPr>
            <a:t>C</a:t>
          </a:r>
          <a:r>
            <a:rPr lang="en-US" sz="1000" b="0" i="0" strike="noStrike" baseline="-25000">
              <a:solidFill>
                <a:srgbClr val="000000"/>
              </a:solidFill>
              <a:latin typeface="Arial" pitchFamily="34" charset="0"/>
              <a:cs typeface="Arial" pitchFamily="34" charset="0"/>
            </a:rPr>
            <a:t>S</a:t>
          </a:r>
        </a:p>
      </xdr:txBody>
    </xdr:sp>
    <xdr:clientData/>
  </xdr:twoCellAnchor>
  <xdr:twoCellAnchor>
    <xdr:from>
      <xdr:col>7</xdr:col>
      <xdr:colOff>646123</xdr:colOff>
      <xdr:row>5</xdr:row>
      <xdr:rowOff>152331</xdr:rowOff>
    </xdr:from>
    <xdr:to>
      <xdr:col>7</xdr:col>
      <xdr:colOff>833677</xdr:colOff>
      <xdr:row>7</xdr:row>
      <xdr:rowOff>42874</xdr:rowOff>
    </xdr:to>
    <xdr:sp macro="" textlink="">
      <xdr:nvSpPr>
        <xdr:cNvPr id="36" name="Text Box 234">
          <a:extLst>
            <a:ext uri="{FF2B5EF4-FFF2-40B4-BE49-F238E27FC236}">
              <a16:creationId xmlns:a16="http://schemas.microsoft.com/office/drawing/2014/main" id="{00000000-0008-0000-0100-000024000000}"/>
            </a:ext>
          </a:extLst>
        </xdr:cNvPr>
        <xdr:cNvSpPr txBox="1">
          <a:spLocks noChangeArrowheads="1"/>
        </xdr:cNvSpPr>
      </xdr:nvSpPr>
      <xdr:spPr bwMode="auto">
        <a:xfrm>
          <a:off x="7909971" y="980592"/>
          <a:ext cx="187554" cy="221847"/>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000" b="0" i="0" strike="noStrike">
              <a:solidFill>
                <a:srgbClr val="000000"/>
              </a:solidFill>
              <a:latin typeface="Arial" pitchFamily="34" charset="0"/>
              <a:cs typeface="Arial" pitchFamily="34" charset="0"/>
            </a:rPr>
            <a:t>R</a:t>
          </a:r>
          <a:r>
            <a:rPr lang="en-US" sz="1000" b="0" i="0" strike="noStrike" baseline="-25000">
              <a:solidFill>
                <a:srgbClr val="000000"/>
              </a:solidFill>
              <a:latin typeface="Arial" pitchFamily="34" charset="0"/>
              <a:cs typeface="Arial" pitchFamily="34" charset="0"/>
            </a:rPr>
            <a:t>S</a:t>
          </a:r>
        </a:p>
      </xdr:txBody>
    </xdr:sp>
    <xdr:clientData/>
  </xdr:twoCellAnchor>
  <xdr:twoCellAnchor>
    <xdr:from>
      <xdr:col>7</xdr:col>
      <xdr:colOff>528481</xdr:colOff>
      <xdr:row>10</xdr:row>
      <xdr:rowOff>95250</xdr:rowOff>
    </xdr:from>
    <xdr:to>
      <xdr:col>7</xdr:col>
      <xdr:colOff>870862</xdr:colOff>
      <xdr:row>11</xdr:row>
      <xdr:rowOff>150548</xdr:rowOff>
    </xdr:to>
    <xdr:sp macro="" textlink="">
      <xdr:nvSpPr>
        <xdr:cNvPr id="37" name="Text Box 235">
          <a:extLst>
            <a:ext uri="{FF2B5EF4-FFF2-40B4-BE49-F238E27FC236}">
              <a16:creationId xmlns:a16="http://schemas.microsoft.com/office/drawing/2014/main" id="{00000000-0008-0000-0100-000025000000}"/>
            </a:ext>
          </a:extLst>
        </xdr:cNvPr>
        <xdr:cNvSpPr txBox="1">
          <a:spLocks noChangeArrowheads="1"/>
        </xdr:cNvSpPr>
      </xdr:nvSpPr>
      <xdr:spPr bwMode="auto">
        <a:xfrm>
          <a:off x="7789462" y="1707173"/>
          <a:ext cx="342381" cy="216490"/>
        </a:xfrm>
        <a:prstGeom prst="rect">
          <a:avLst/>
        </a:prstGeom>
        <a:noFill/>
        <a:ln w="9525">
          <a:noFill/>
          <a:miter lim="800000"/>
          <a:headEnd/>
          <a:tailEnd/>
        </a:ln>
      </xdr:spPr>
      <xdr:txBody>
        <a:bodyPr vertOverflow="clip" wrap="square" lIns="27432" tIns="27432" rIns="0" bIns="0" anchor="ctr" upright="1"/>
        <a:lstStyle/>
        <a:p>
          <a:pPr algn="l" rtl="0">
            <a:defRPr sz="1000"/>
          </a:pPr>
          <a:r>
            <a:rPr lang="en-US" sz="1000" b="0" i="0" strike="noStrike">
              <a:solidFill>
                <a:srgbClr val="000000"/>
              </a:solidFill>
              <a:latin typeface="Arial" pitchFamily="34" charset="0"/>
              <a:cs typeface="Arial" pitchFamily="34" charset="0"/>
            </a:rPr>
            <a:t>L</a:t>
          </a:r>
          <a:r>
            <a:rPr lang="en-US" sz="1000" b="0" i="0" strike="noStrike" baseline="-25000">
              <a:solidFill>
                <a:srgbClr val="000000"/>
              </a:solidFill>
              <a:latin typeface="Arial" pitchFamily="34" charset="0"/>
              <a:cs typeface="Arial" pitchFamily="34" charset="0"/>
            </a:rPr>
            <a:t>OUT</a:t>
          </a:r>
        </a:p>
      </xdr:txBody>
    </xdr:sp>
    <xdr:clientData/>
  </xdr:twoCellAnchor>
  <xdr:twoCellAnchor>
    <xdr:from>
      <xdr:col>3</xdr:col>
      <xdr:colOff>855054</xdr:colOff>
      <xdr:row>2</xdr:row>
      <xdr:rowOff>141313</xdr:rowOff>
    </xdr:from>
    <xdr:to>
      <xdr:col>3</xdr:col>
      <xdr:colOff>1261753</xdr:colOff>
      <xdr:row>4</xdr:row>
      <xdr:rowOff>30404</xdr:rowOff>
    </xdr:to>
    <xdr:sp macro="" textlink="">
      <xdr:nvSpPr>
        <xdr:cNvPr id="38" name="Text Box 243">
          <a:extLst>
            <a:ext uri="{FF2B5EF4-FFF2-40B4-BE49-F238E27FC236}">
              <a16:creationId xmlns:a16="http://schemas.microsoft.com/office/drawing/2014/main" id="{00000000-0008-0000-0100-000026000000}"/>
            </a:ext>
          </a:extLst>
        </xdr:cNvPr>
        <xdr:cNvSpPr txBox="1">
          <a:spLocks noChangeArrowheads="1"/>
        </xdr:cNvSpPr>
      </xdr:nvSpPr>
      <xdr:spPr bwMode="auto">
        <a:xfrm>
          <a:off x="3545867" y="623516"/>
          <a:ext cx="406699" cy="210560"/>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000" b="0" i="0" strike="noStrike">
              <a:solidFill>
                <a:srgbClr val="000000"/>
              </a:solidFill>
              <a:latin typeface="Arial" pitchFamily="34" charset="0"/>
              <a:cs typeface="Arial" pitchFamily="34" charset="0"/>
            </a:rPr>
            <a:t>100pF</a:t>
          </a:r>
        </a:p>
      </xdr:txBody>
    </xdr:sp>
    <xdr:clientData/>
  </xdr:twoCellAnchor>
  <xdr:twoCellAnchor>
    <xdr:from>
      <xdr:col>6</xdr:col>
      <xdr:colOff>580674</xdr:colOff>
      <xdr:row>12</xdr:row>
      <xdr:rowOff>159348</xdr:rowOff>
    </xdr:from>
    <xdr:to>
      <xdr:col>7</xdr:col>
      <xdr:colOff>184455</xdr:colOff>
      <xdr:row>14</xdr:row>
      <xdr:rowOff>33425</xdr:rowOff>
    </xdr:to>
    <xdr:sp macro="" textlink="">
      <xdr:nvSpPr>
        <xdr:cNvPr id="39" name="Text Box 244">
          <a:extLst>
            <a:ext uri="{FF2B5EF4-FFF2-40B4-BE49-F238E27FC236}">
              <a16:creationId xmlns:a16="http://schemas.microsoft.com/office/drawing/2014/main" id="{00000000-0008-0000-0100-000027000000}"/>
            </a:ext>
          </a:extLst>
        </xdr:cNvPr>
        <xdr:cNvSpPr txBox="1">
          <a:spLocks noChangeArrowheads="1"/>
        </xdr:cNvSpPr>
      </xdr:nvSpPr>
      <xdr:spPr bwMode="auto">
        <a:xfrm>
          <a:off x="7083651" y="2133621"/>
          <a:ext cx="253213" cy="203122"/>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000" b="0" i="0" strike="noStrike">
              <a:solidFill>
                <a:srgbClr val="000000"/>
              </a:solidFill>
              <a:latin typeface="Arial" pitchFamily="34" charset="0"/>
              <a:cs typeface="Arial" pitchFamily="34" charset="0"/>
            </a:rPr>
            <a:t>C</a:t>
          </a:r>
          <a:r>
            <a:rPr lang="en-US" sz="1000" b="0" i="0" strike="noStrike" baseline="-25000">
              <a:solidFill>
                <a:srgbClr val="000000"/>
              </a:solidFill>
              <a:latin typeface="Arial" pitchFamily="34" charset="0"/>
              <a:cs typeface="Arial" pitchFamily="34" charset="0"/>
            </a:rPr>
            <a:t>IN</a:t>
          </a:r>
        </a:p>
      </xdr:txBody>
    </xdr:sp>
    <xdr:clientData/>
  </xdr:twoCellAnchor>
  <xdr:twoCellAnchor>
    <xdr:from>
      <xdr:col>5</xdr:col>
      <xdr:colOff>1145691</xdr:colOff>
      <xdr:row>24</xdr:row>
      <xdr:rowOff>143397</xdr:rowOff>
    </xdr:from>
    <xdr:to>
      <xdr:col>6</xdr:col>
      <xdr:colOff>102170</xdr:colOff>
      <xdr:row>26</xdr:row>
      <xdr:rowOff>41654</xdr:rowOff>
    </xdr:to>
    <xdr:sp macro="" textlink="">
      <xdr:nvSpPr>
        <xdr:cNvPr id="40" name="Text Box 245">
          <a:extLst>
            <a:ext uri="{FF2B5EF4-FFF2-40B4-BE49-F238E27FC236}">
              <a16:creationId xmlns:a16="http://schemas.microsoft.com/office/drawing/2014/main" id="{00000000-0008-0000-0100-000028000000}"/>
            </a:ext>
          </a:extLst>
        </xdr:cNvPr>
        <xdr:cNvSpPr txBox="1">
          <a:spLocks noChangeArrowheads="1"/>
        </xdr:cNvSpPr>
      </xdr:nvSpPr>
      <xdr:spPr bwMode="auto">
        <a:xfrm>
          <a:off x="6322321" y="4119049"/>
          <a:ext cx="331392" cy="229562"/>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000" b="0" i="0" strike="noStrike">
              <a:solidFill>
                <a:srgbClr val="000000"/>
              </a:solidFill>
              <a:latin typeface="Arial" pitchFamily="34" charset="0"/>
              <a:cs typeface="Arial" pitchFamily="34" charset="0"/>
            </a:rPr>
            <a:t>R</a:t>
          </a:r>
          <a:r>
            <a:rPr lang="en-US" sz="1000" b="0" i="0" strike="noStrike" baseline="-25000">
              <a:solidFill>
                <a:srgbClr val="000000"/>
              </a:solidFill>
              <a:latin typeface="Arial" pitchFamily="34" charset="0"/>
              <a:cs typeface="Arial" pitchFamily="34" charset="0"/>
            </a:rPr>
            <a:t>VIN</a:t>
          </a:r>
        </a:p>
      </xdr:txBody>
    </xdr:sp>
    <xdr:clientData/>
  </xdr:twoCellAnchor>
  <xdr:twoCellAnchor>
    <xdr:from>
      <xdr:col>5</xdr:col>
      <xdr:colOff>149022</xdr:colOff>
      <xdr:row>28</xdr:row>
      <xdr:rowOff>101734</xdr:rowOff>
    </xdr:from>
    <xdr:to>
      <xdr:col>5</xdr:col>
      <xdr:colOff>475070</xdr:colOff>
      <xdr:row>29</xdr:row>
      <xdr:rowOff>137501</xdr:rowOff>
    </xdr:to>
    <xdr:sp macro="" textlink="">
      <xdr:nvSpPr>
        <xdr:cNvPr id="41" name="Text Box 246">
          <a:extLst>
            <a:ext uri="{FF2B5EF4-FFF2-40B4-BE49-F238E27FC236}">
              <a16:creationId xmlns:a16="http://schemas.microsoft.com/office/drawing/2014/main" id="{00000000-0008-0000-0100-000029000000}"/>
            </a:ext>
          </a:extLst>
        </xdr:cNvPr>
        <xdr:cNvSpPr txBox="1">
          <a:spLocks noChangeArrowheads="1"/>
        </xdr:cNvSpPr>
      </xdr:nvSpPr>
      <xdr:spPr bwMode="auto">
        <a:xfrm>
          <a:off x="5325652" y="4905647"/>
          <a:ext cx="326048" cy="201419"/>
        </a:xfrm>
        <a:prstGeom prst="rect">
          <a:avLst/>
        </a:prstGeom>
        <a:noFill/>
        <a:ln w="9525">
          <a:noFill/>
          <a:miter lim="800000"/>
          <a:headEnd/>
          <a:tailEnd/>
        </a:ln>
      </xdr:spPr>
      <xdr:txBody>
        <a:bodyPr vertOverflow="clip" wrap="square" lIns="27432" tIns="27432" rIns="0" bIns="0" anchor="ctr" upright="1"/>
        <a:lstStyle/>
        <a:p>
          <a:pPr algn="ctr" rtl="0">
            <a:defRPr sz="1000"/>
          </a:pPr>
          <a:r>
            <a:rPr lang="en-US" sz="1000" b="0" i="0" strike="noStrike">
              <a:solidFill>
                <a:srgbClr val="000000"/>
              </a:solidFill>
              <a:latin typeface="Arial" pitchFamily="34" charset="0"/>
              <a:cs typeface="Arial" pitchFamily="34" charset="0"/>
            </a:rPr>
            <a:t>C</a:t>
          </a:r>
          <a:r>
            <a:rPr lang="en-US" sz="1000" b="0" i="0" strike="noStrike" baseline="-25000">
              <a:solidFill>
                <a:srgbClr val="000000"/>
              </a:solidFill>
              <a:latin typeface="Arial" pitchFamily="34" charset="0"/>
              <a:cs typeface="Arial" pitchFamily="34" charset="0"/>
            </a:rPr>
            <a:t>VIN</a:t>
          </a:r>
        </a:p>
      </xdr:txBody>
    </xdr:sp>
    <xdr:clientData/>
  </xdr:twoCellAnchor>
  <xdr:twoCellAnchor>
    <xdr:from>
      <xdr:col>5</xdr:col>
      <xdr:colOff>858464</xdr:colOff>
      <xdr:row>3</xdr:row>
      <xdr:rowOff>148808</xdr:rowOff>
    </xdr:from>
    <xdr:to>
      <xdr:col>5</xdr:col>
      <xdr:colOff>1263400</xdr:colOff>
      <xdr:row>5</xdr:row>
      <xdr:rowOff>56064</xdr:rowOff>
    </xdr:to>
    <xdr:sp macro="" textlink="">
      <xdr:nvSpPr>
        <xdr:cNvPr id="42" name="Text Box 248">
          <a:extLst>
            <a:ext uri="{FF2B5EF4-FFF2-40B4-BE49-F238E27FC236}">
              <a16:creationId xmlns:a16="http://schemas.microsoft.com/office/drawing/2014/main" id="{00000000-0008-0000-0100-00002A000000}"/>
            </a:ext>
          </a:extLst>
        </xdr:cNvPr>
        <xdr:cNvSpPr txBox="1">
          <a:spLocks noChangeArrowheads="1"/>
        </xdr:cNvSpPr>
      </xdr:nvSpPr>
      <xdr:spPr bwMode="auto">
        <a:xfrm>
          <a:off x="6035094" y="645765"/>
          <a:ext cx="404936" cy="238560"/>
        </a:xfrm>
        <a:prstGeom prst="rect">
          <a:avLst/>
        </a:prstGeom>
        <a:noFill/>
        <a:ln w="9525">
          <a:noFill/>
          <a:miter lim="800000"/>
          <a:headEnd/>
          <a:tailEnd/>
        </a:ln>
      </xdr:spPr>
      <xdr:txBody>
        <a:bodyPr vertOverflow="clip" wrap="square" lIns="27432" tIns="27432" rIns="0" bIns="0" anchor="ctr" upright="1"/>
        <a:lstStyle/>
        <a:p>
          <a:pPr algn="l" rtl="0">
            <a:defRPr sz="1000"/>
          </a:pPr>
          <a:r>
            <a:rPr lang="en-US" sz="1000" b="0" i="0" strike="noStrike">
              <a:solidFill>
                <a:srgbClr val="000000"/>
              </a:solidFill>
              <a:latin typeface="Arial" pitchFamily="34" charset="0"/>
              <a:cs typeface="Arial" pitchFamily="34" charset="0"/>
            </a:rPr>
            <a:t>D</a:t>
          </a:r>
          <a:r>
            <a:rPr lang="en-US" sz="1000" b="0" i="0" strike="noStrike" baseline="-25000">
              <a:solidFill>
                <a:srgbClr val="000000"/>
              </a:solidFill>
              <a:latin typeface="Arial" pitchFamily="34" charset="0"/>
              <a:cs typeface="Arial" pitchFamily="34" charset="0"/>
            </a:rPr>
            <a:t>BOOT</a:t>
          </a:r>
        </a:p>
      </xdr:txBody>
    </xdr:sp>
    <xdr:clientData/>
  </xdr:twoCellAnchor>
  <xdr:twoCellAnchor>
    <xdr:from>
      <xdr:col>5</xdr:col>
      <xdr:colOff>923327</xdr:colOff>
      <xdr:row>18</xdr:row>
      <xdr:rowOff>105639</xdr:rowOff>
    </xdr:from>
    <xdr:to>
      <xdr:col>5</xdr:col>
      <xdr:colOff>1292465</xdr:colOff>
      <xdr:row>19</xdr:row>
      <xdr:rowOff>145476</xdr:rowOff>
    </xdr:to>
    <xdr:sp macro="" textlink="">
      <xdr:nvSpPr>
        <xdr:cNvPr id="43" name="Text Box 249">
          <a:extLst>
            <a:ext uri="{FF2B5EF4-FFF2-40B4-BE49-F238E27FC236}">
              <a16:creationId xmlns:a16="http://schemas.microsoft.com/office/drawing/2014/main" id="{00000000-0008-0000-0100-00002B000000}"/>
            </a:ext>
          </a:extLst>
        </xdr:cNvPr>
        <xdr:cNvSpPr txBox="1">
          <a:spLocks noChangeArrowheads="1"/>
        </xdr:cNvSpPr>
      </xdr:nvSpPr>
      <xdr:spPr bwMode="auto">
        <a:xfrm>
          <a:off x="6058168" y="3067048"/>
          <a:ext cx="369138" cy="204360"/>
        </a:xfrm>
        <a:prstGeom prst="rect">
          <a:avLst/>
        </a:prstGeom>
        <a:noFill/>
        <a:ln w="9525">
          <a:noFill/>
          <a:miter lim="800000"/>
          <a:headEnd/>
          <a:tailEnd/>
        </a:ln>
      </xdr:spPr>
      <xdr:txBody>
        <a:bodyPr vertOverflow="clip" wrap="square" lIns="27432" tIns="27432" rIns="0" bIns="0" anchor="ctr" upright="1"/>
        <a:lstStyle/>
        <a:p>
          <a:pPr algn="l" rtl="0">
            <a:defRPr sz="1000"/>
          </a:pPr>
          <a:r>
            <a:rPr lang="en-US" sz="1000" b="0" i="0" strike="noStrike">
              <a:solidFill>
                <a:srgbClr val="000000"/>
              </a:solidFill>
              <a:latin typeface="Arial" pitchFamily="34" charset="0"/>
              <a:cs typeface="Arial" pitchFamily="34" charset="0"/>
            </a:rPr>
            <a:t>C</a:t>
          </a:r>
          <a:r>
            <a:rPr lang="en-US" sz="1000" b="0" i="0" strike="noStrike" baseline="-25000">
              <a:solidFill>
                <a:srgbClr val="000000"/>
              </a:solidFill>
              <a:latin typeface="Arial" pitchFamily="34" charset="0"/>
              <a:cs typeface="Arial" pitchFamily="34" charset="0"/>
            </a:rPr>
            <a:t>VDD</a:t>
          </a:r>
        </a:p>
      </xdr:txBody>
    </xdr:sp>
    <xdr:clientData/>
  </xdr:twoCellAnchor>
  <xdr:twoCellAnchor>
    <xdr:from>
      <xdr:col>7</xdr:col>
      <xdr:colOff>693420</xdr:colOff>
      <xdr:row>3</xdr:row>
      <xdr:rowOff>8589</xdr:rowOff>
    </xdr:from>
    <xdr:to>
      <xdr:col>7</xdr:col>
      <xdr:colOff>995785</xdr:colOff>
      <xdr:row>4</xdr:row>
      <xdr:rowOff>74476</xdr:rowOff>
    </xdr:to>
    <xdr:sp macro="" textlink="">
      <xdr:nvSpPr>
        <xdr:cNvPr id="44" name="Text Box 250">
          <a:extLst>
            <a:ext uri="{FF2B5EF4-FFF2-40B4-BE49-F238E27FC236}">
              <a16:creationId xmlns:a16="http://schemas.microsoft.com/office/drawing/2014/main" id="{00000000-0008-0000-0100-00002C000000}"/>
            </a:ext>
          </a:extLst>
        </xdr:cNvPr>
        <xdr:cNvSpPr txBox="1">
          <a:spLocks noChangeArrowheads="1"/>
        </xdr:cNvSpPr>
      </xdr:nvSpPr>
      <xdr:spPr bwMode="auto">
        <a:xfrm>
          <a:off x="7856220" y="494364"/>
          <a:ext cx="302365" cy="227812"/>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000" b="0" i="0" strike="noStrike">
              <a:solidFill>
                <a:srgbClr val="000000"/>
              </a:solidFill>
              <a:latin typeface="Arial" pitchFamily="34" charset="0"/>
              <a:cs typeface="Arial" pitchFamily="34" charset="0"/>
            </a:rPr>
            <a:t>R</a:t>
          </a:r>
          <a:r>
            <a:rPr lang="en-US" sz="1000" b="0" i="0" strike="noStrike" baseline="-25000">
              <a:solidFill>
                <a:srgbClr val="000000"/>
              </a:solidFill>
              <a:latin typeface="Arial" pitchFamily="34" charset="0"/>
              <a:cs typeface="Arial" pitchFamily="34" charset="0"/>
            </a:rPr>
            <a:t>CS</a:t>
          </a:r>
        </a:p>
        <a:p>
          <a:pPr algn="l" rtl="0">
            <a:defRPr sz="1000"/>
          </a:pPr>
          <a:r>
            <a:rPr lang="en-US" sz="1000" b="0" i="0" strike="noStrike" baseline="-25000">
              <a:solidFill>
                <a:srgbClr val="000000"/>
              </a:solidFill>
              <a:latin typeface="Arial" pitchFamily="34" charset="0"/>
              <a:cs typeface="Arial" pitchFamily="34" charset="0"/>
            </a:rPr>
            <a:t>ood</a:t>
          </a:r>
        </a:p>
      </xdr:txBody>
    </xdr:sp>
    <xdr:clientData/>
  </xdr:twoCellAnchor>
  <xdr:twoCellAnchor>
    <xdr:from>
      <xdr:col>2</xdr:col>
      <xdr:colOff>544199</xdr:colOff>
      <xdr:row>4</xdr:row>
      <xdr:rowOff>149087</xdr:rowOff>
    </xdr:from>
    <xdr:to>
      <xdr:col>2</xdr:col>
      <xdr:colOff>869768</xdr:colOff>
      <xdr:row>6</xdr:row>
      <xdr:rowOff>55273</xdr:rowOff>
    </xdr:to>
    <xdr:sp macro="" textlink="">
      <xdr:nvSpPr>
        <xdr:cNvPr id="45" name="Text Box 251">
          <a:extLst>
            <a:ext uri="{FF2B5EF4-FFF2-40B4-BE49-F238E27FC236}">
              <a16:creationId xmlns:a16="http://schemas.microsoft.com/office/drawing/2014/main" id="{00000000-0008-0000-0100-00002D000000}"/>
            </a:ext>
          </a:extLst>
        </xdr:cNvPr>
        <xdr:cNvSpPr txBox="1">
          <a:spLocks noChangeArrowheads="1"/>
        </xdr:cNvSpPr>
      </xdr:nvSpPr>
      <xdr:spPr bwMode="auto">
        <a:xfrm>
          <a:off x="2151025" y="811696"/>
          <a:ext cx="325569" cy="237490"/>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000" b="0" i="0" strike="noStrike">
              <a:solidFill>
                <a:srgbClr val="000000"/>
              </a:solidFill>
              <a:latin typeface="Arial" pitchFamily="34" charset="0"/>
              <a:cs typeface="Arial" pitchFamily="34" charset="0"/>
            </a:rPr>
            <a:t>C</a:t>
          </a:r>
          <a:r>
            <a:rPr lang="en-US" sz="1000" b="0" i="0" strike="noStrike" baseline="-25000">
              <a:solidFill>
                <a:srgbClr val="000000"/>
              </a:solidFill>
              <a:latin typeface="Arial" pitchFamily="34" charset="0"/>
              <a:cs typeface="Arial" pitchFamily="34" charset="0"/>
            </a:rPr>
            <a:t>SS</a:t>
          </a:r>
        </a:p>
      </xdr:txBody>
    </xdr:sp>
    <xdr:clientData/>
  </xdr:twoCellAnchor>
  <xdr:twoCellAnchor>
    <xdr:from>
      <xdr:col>1</xdr:col>
      <xdr:colOff>123567</xdr:colOff>
      <xdr:row>17</xdr:row>
      <xdr:rowOff>150496</xdr:rowOff>
    </xdr:from>
    <xdr:to>
      <xdr:col>1</xdr:col>
      <xdr:colOff>479456</xdr:colOff>
      <xdr:row>19</xdr:row>
      <xdr:rowOff>25958</xdr:rowOff>
    </xdr:to>
    <xdr:sp macro="" textlink="">
      <xdr:nvSpPr>
        <xdr:cNvPr id="46" name="Text Box 255">
          <a:extLst>
            <a:ext uri="{FF2B5EF4-FFF2-40B4-BE49-F238E27FC236}">
              <a16:creationId xmlns:a16="http://schemas.microsoft.com/office/drawing/2014/main" id="{00000000-0008-0000-0100-00002E000000}"/>
            </a:ext>
          </a:extLst>
        </xdr:cNvPr>
        <xdr:cNvSpPr txBox="1">
          <a:spLocks noChangeArrowheads="1"/>
        </xdr:cNvSpPr>
      </xdr:nvSpPr>
      <xdr:spPr bwMode="auto">
        <a:xfrm>
          <a:off x="706973" y="3043715"/>
          <a:ext cx="355889" cy="196931"/>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000" b="0" i="0" strike="noStrike">
              <a:solidFill>
                <a:srgbClr val="000000"/>
              </a:solidFill>
              <a:latin typeface="Arial" pitchFamily="34" charset="0"/>
              <a:cs typeface="Arial" pitchFamily="34" charset="0"/>
            </a:rPr>
            <a:t>R</a:t>
          </a:r>
          <a:r>
            <a:rPr lang="en-US" sz="1000" b="0" i="0" strike="noStrike" baseline="-25000">
              <a:solidFill>
                <a:srgbClr val="000000"/>
              </a:solidFill>
              <a:latin typeface="Arial" pitchFamily="34" charset="0"/>
              <a:cs typeface="Arial" pitchFamily="34" charset="0"/>
            </a:rPr>
            <a:t>FB2</a:t>
          </a:r>
        </a:p>
      </xdr:txBody>
    </xdr:sp>
    <xdr:clientData/>
  </xdr:twoCellAnchor>
  <xdr:twoCellAnchor>
    <xdr:from>
      <xdr:col>1</xdr:col>
      <xdr:colOff>750819</xdr:colOff>
      <xdr:row>15</xdr:row>
      <xdr:rowOff>157927</xdr:rowOff>
    </xdr:from>
    <xdr:to>
      <xdr:col>1</xdr:col>
      <xdr:colOff>998324</xdr:colOff>
      <xdr:row>17</xdr:row>
      <xdr:rowOff>41183</xdr:rowOff>
    </xdr:to>
    <xdr:sp macro="" textlink="">
      <xdr:nvSpPr>
        <xdr:cNvPr id="47" name="Text Box 256">
          <a:extLst>
            <a:ext uri="{FF2B5EF4-FFF2-40B4-BE49-F238E27FC236}">
              <a16:creationId xmlns:a16="http://schemas.microsoft.com/office/drawing/2014/main" id="{00000000-0008-0000-0100-00002F000000}"/>
            </a:ext>
          </a:extLst>
        </xdr:cNvPr>
        <xdr:cNvSpPr txBox="1">
          <a:spLocks noChangeArrowheads="1"/>
        </xdr:cNvSpPr>
      </xdr:nvSpPr>
      <xdr:spPr bwMode="auto">
        <a:xfrm>
          <a:off x="1330602" y="2642710"/>
          <a:ext cx="247505" cy="214560"/>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000" b="0" i="0" strike="noStrike">
              <a:solidFill>
                <a:srgbClr val="000000"/>
              </a:solidFill>
              <a:latin typeface="Arial" pitchFamily="34" charset="0"/>
              <a:cs typeface="Arial" pitchFamily="34" charset="0"/>
            </a:rPr>
            <a:t>C</a:t>
          </a:r>
          <a:r>
            <a:rPr lang="en-US" sz="1000" b="0" i="0" strike="noStrike" baseline="-25000">
              <a:solidFill>
                <a:srgbClr val="000000"/>
              </a:solidFill>
              <a:latin typeface="Arial" pitchFamily="34" charset="0"/>
              <a:cs typeface="Arial" pitchFamily="34" charset="0"/>
            </a:rPr>
            <a:t>C2</a:t>
          </a:r>
        </a:p>
      </xdr:txBody>
    </xdr:sp>
    <xdr:clientData/>
  </xdr:twoCellAnchor>
  <xdr:twoCellAnchor>
    <xdr:from>
      <xdr:col>2</xdr:col>
      <xdr:colOff>171850</xdr:colOff>
      <xdr:row>10</xdr:row>
      <xdr:rowOff>145003</xdr:rowOff>
    </xdr:from>
    <xdr:to>
      <xdr:col>2</xdr:col>
      <xdr:colOff>485311</xdr:colOff>
      <xdr:row>12</xdr:row>
      <xdr:rowOff>46501</xdr:rowOff>
    </xdr:to>
    <xdr:sp macro="" textlink="">
      <xdr:nvSpPr>
        <xdr:cNvPr id="48" name="Text Box 257">
          <a:extLst>
            <a:ext uri="{FF2B5EF4-FFF2-40B4-BE49-F238E27FC236}">
              <a16:creationId xmlns:a16="http://schemas.microsoft.com/office/drawing/2014/main" id="{00000000-0008-0000-0100-000030000000}"/>
            </a:ext>
          </a:extLst>
        </xdr:cNvPr>
        <xdr:cNvSpPr txBox="1">
          <a:spLocks noChangeArrowheads="1"/>
        </xdr:cNvSpPr>
      </xdr:nvSpPr>
      <xdr:spPr bwMode="auto">
        <a:xfrm>
          <a:off x="1785147" y="1913081"/>
          <a:ext cx="313461" cy="222967"/>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000" b="0" i="0" strike="noStrike">
              <a:solidFill>
                <a:srgbClr val="000000"/>
              </a:solidFill>
              <a:latin typeface="Arial" pitchFamily="34" charset="0"/>
              <a:cs typeface="Arial" pitchFamily="34" charset="0"/>
            </a:rPr>
            <a:t>C</a:t>
          </a:r>
          <a:r>
            <a:rPr lang="en-US" sz="1000" b="0" i="0" strike="noStrike" baseline="-25000">
              <a:solidFill>
                <a:srgbClr val="000000"/>
              </a:solidFill>
              <a:latin typeface="Arial" pitchFamily="34" charset="0"/>
              <a:cs typeface="Arial" pitchFamily="34" charset="0"/>
            </a:rPr>
            <a:t>C1</a:t>
          </a:r>
        </a:p>
      </xdr:txBody>
    </xdr:sp>
    <xdr:clientData/>
  </xdr:twoCellAnchor>
  <xdr:twoCellAnchor>
    <xdr:from>
      <xdr:col>1</xdr:col>
      <xdr:colOff>739291</xdr:colOff>
      <xdr:row>11</xdr:row>
      <xdr:rowOff>35858</xdr:rowOff>
    </xdr:from>
    <xdr:to>
      <xdr:col>2</xdr:col>
      <xdr:colOff>22395</xdr:colOff>
      <xdr:row>12</xdr:row>
      <xdr:rowOff>109801</xdr:rowOff>
    </xdr:to>
    <xdr:sp macro="" textlink="">
      <xdr:nvSpPr>
        <xdr:cNvPr id="49" name="Text Box 258">
          <a:extLst>
            <a:ext uri="{FF2B5EF4-FFF2-40B4-BE49-F238E27FC236}">
              <a16:creationId xmlns:a16="http://schemas.microsoft.com/office/drawing/2014/main" id="{00000000-0008-0000-0100-000031000000}"/>
            </a:ext>
          </a:extLst>
        </xdr:cNvPr>
        <xdr:cNvSpPr txBox="1">
          <a:spLocks noChangeArrowheads="1"/>
        </xdr:cNvSpPr>
      </xdr:nvSpPr>
      <xdr:spPr bwMode="auto">
        <a:xfrm>
          <a:off x="1319074" y="1858032"/>
          <a:ext cx="310147" cy="239595"/>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000" b="0" i="0" u="none" strike="noStrike" baseline="0">
              <a:solidFill>
                <a:srgbClr val="000000"/>
              </a:solidFill>
              <a:latin typeface="Arial" pitchFamily="34" charset="0"/>
              <a:cs typeface="Arial" pitchFamily="34" charset="0"/>
            </a:rPr>
            <a:t>R</a:t>
          </a:r>
          <a:r>
            <a:rPr lang="en-US" sz="1000" b="0" i="0" u="none" strike="noStrike" baseline="-25000">
              <a:solidFill>
                <a:srgbClr val="000000"/>
              </a:solidFill>
              <a:latin typeface="Arial" pitchFamily="34" charset="0"/>
              <a:cs typeface="Arial" pitchFamily="34" charset="0"/>
            </a:rPr>
            <a:t>C1</a:t>
          </a:r>
        </a:p>
      </xdr:txBody>
    </xdr:sp>
    <xdr:clientData/>
  </xdr:twoCellAnchor>
  <xdr:twoCellAnchor>
    <xdr:from>
      <xdr:col>3</xdr:col>
      <xdr:colOff>937798</xdr:colOff>
      <xdr:row>1</xdr:row>
      <xdr:rowOff>82185</xdr:rowOff>
    </xdr:from>
    <xdr:to>
      <xdr:col>3</xdr:col>
      <xdr:colOff>1293272</xdr:colOff>
      <xdr:row>2</xdr:row>
      <xdr:rowOff>132514</xdr:rowOff>
    </xdr:to>
    <xdr:sp macro="" textlink="">
      <xdr:nvSpPr>
        <xdr:cNvPr id="50" name="Text Box 259">
          <a:extLst>
            <a:ext uri="{FF2B5EF4-FFF2-40B4-BE49-F238E27FC236}">
              <a16:creationId xmlns:a16="http://schemas.microsoft.com/office/drawing/2014/main" id="{00000000-0008-0000-0100-000032000000}"/>
            </a:ext>
          </a:extLst>
        </xdr:cNvPr>
        <xdr:cNvSpPr txBox="1">
          <a:spLocks noChangeArrowheads="1"/>
        </xdr:cNvSpPr>
      </xdr:nvSpPr>
      <xdr:spPr bwMode="auto">
        <a:xfrm>
          <a:off x="3621363" y="247837"/>
          <a:ext cx="355474" cy="215981"/>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000" b="0" i="0" strike="noStrike">
              <a:solidFill>
                <a:srgbClr val="000000"/>
              </a:solidFill>
              <a:latin typeface="Arial" pitchFamily="34" charset="0"/>
              <a:cs typeface="Arial" pitchFamily="34" charset="0"/>
            </a:rPr>
            <a:t>C</a:t>
          </a:r>
          <a:r>
            <a:rPr lang="en-US" sz="1000" b="0" i="0" strike="noStrike" baseline="-25000">
              <a:solidFill>
                <a:srgbClr val="000000"/>
              </a:solidFill>
              <a:latin typeface="Arial" pitchFamily="34" charset="0"/>
              <a:cs typeface="Arial" pitchFamily="34" charset="0"/>
            </a:rPr>
            <a:t>CS</a:t>
          </a:r>
        </a:p>
      </xdr:txBody>
    </xdr:sp>
    <xdr:clientData/>
  </xdr:twoCellAnchor>
  <xdr:twoCellAnchor>
    <xdr:from>
      <xdr:col>5</xdr:col>
      <xdr:colOff>935727</xdr:colOff>
      <xdr:row>19</xdr:row>
      <xdr:rowOff>126459</xdr:rowOff>
    </xdr:from>
    <xdr:to>
      <xdr:col>5</xdr:col>
      <xdr:colOff>1347120</xdr:colOff>
      <xdr:row>21</xdr:row>
      <xdr:rowOff>34930</xdr:rowOff>
    </xdr:to>
    <xdr:sp macro="" textlink="">
      <xdr:nvSpPr>
        <xdr:cNvPr id="51" name="Text Box 260">
          <a:extLst>
            <a:ext uri="{FF2B5EF4-FFF2-40B4-BE49-F238E27FC236}">
              <a16:creationId xmlns:a16="http://schemas.microsoft.com/office/drawing/2014/main" id="{00000000-0008-0000-0100-000033000000}"/>
            </a:ext>
          </a:extLst>
        </xdr:cNvPr>
        <xdr:cNvSpPr txBox="1">
          <a:spLocks noChangeArrowheads="1"/>
        </xdr:cNvSpPr>
      </xdr:nvSpPr>
      <xdr:spPr bwMode="auto">
        <a:xfrm>
          <a:off x="6070568" y="3252391"/>
          <a:ext cx="411393" cy="237516"/>
        </a:xfrm>
        <a:prstGeom prst="rect">
          <a:avLst/>
        </a:prstGeom>
        <a:noFill/>
        <a:ln w="9525">
          <a:noFill/>
          <a:miter lim="800000"/>
          <a:headEnd/>
          <a:tailEnd/>
        </a:ln>
      </xdr:spPr>
      <xdr:txBody>
        <a:bodyPr vertOverflow="clip" wrap="square" lIns="27432" tIns="27432" rIns="0" bIns="0" anchor="ctr" upright="1"/>
        <a:lstStyle/>
        <a:p>
          <a:pPr algn="l" rtl="0">
            <a:defRPr sz="1000"/>
          </a:pPr>
          <a:r>
            <a:rPr lang="en-US" sz="1000" b="0" i="0" strike="noStrike">
              <a:solidFill>
                <a:srgbClr val="000000"/>
              </a:solidFill>
              <a:latin typeface="Arial" pitchFamily="34" charset="0"/>
              <a:cs typeface="Arial" pitchFamily="34" charset="0"/>
            </a:rPr>
            <a:t>4.7</a:t>
          </a:r>
          <a:r>
            <a:rPr lang="el-GR" sz="1000" b="0" i="0" strike="noStrike">
              <a:solidFill>
                <a:srgbClr val="000000"/>
              </a:solidFill>
              <a:latin typeface="Arial" pitchFamily="34" charset="0"/>
              <a:cs typeface="Arial" pitchFamily="34" charset="0"/>
            </a:rPr>
            <a:t>μ</a:t>
          </a:r>
          <a:r>
            <a:rPr lang="en-US" sz="1000" b="0" i="0" strike="noStrike">
              <a:solidFill>
                <a:srgbClr val="000000"/>
              </a:solidFill>
              <a:latin typeface="Arial" pitchFamily="34" charset="0"/>
              <a:cs typeface="Arial" pitchFamily="34" charset="0"/>
            </a:rPr>
            <a:t>F</a:t>
          </a:r>
        </a:p>
      </xdr:txBody>
    </xdr:sp>
    <xdr:clientData/>
  </xdr:twoCellAnchor>
  <xdr:twoCellAnchor>
    <xdr:from>
      <xdr:col>2</xdr:col>
      <xdr:colOff>28995</xdr:colOff>
      <xdr:row>12</xdr:row>
      <xdr:rowOff>33171</xdr:rowOff>
    </xdr:from>
    <xdr:to>
      <xdr:col>2</xdr:col>
      <xdr:colOff>530295</xdr:colOff>
      <xdr:row>13</xdr:row>
      <xdr:rowOff>79510</xdr:rowOff>
    </xdr:to>
    <xdr:sp macro="" textlink="'Variable Management'!B225">
      <xdr:nvSpPr>
        <xdr:cNvPr id="52" name="Text Box 261">
          <a:extLst>
            <a:ext uri="{FF2B5EF4-FFF2-40B4-BE49-F238E27FC236}">
              <a16:creationId xmlns:a16="http://schemas.microsoft.com/office/drawing/2014/main" id="{00000000-0008-0000-0100-000034000000}"/>
            </a:ext>
          </a:extLst>
        </xdr:cNvPr>
        <xdr:cNvSpPr txBox="1">
          <a:spLocks noChangeArrowheads="1" noTextEdit="1"/>
        </xdr:cNvSpPr>
      </xdr:nvSpPr>
      <xdr:spPr bwMode="auto">
        <a:xfrm>
          <a:off x="1635821" y="2020997"/>
          <a:ext cx="501300" cy="211991"/>
        </a:xfrm>
        <a:prstGeom prst="rect">
          <a:avLst/>
        </a:prstGeom>
        <a:noFill/>
        <a:ln w="9525">
          <a:noFill/>
          <a:miter lim="800000"/>
          <a:headEnd/>
          <a:tailEnd/>
        </a:ln>
      </xdr:spPr>
      <xdr:txBody>
        <a:bodyPr vertOverflow="clip" wrap="square" lIns="27432" tIns="22860" rIns="0" bIns="0" anchor="t" upright="1"/>
        <a:lstStyle/>
        <a:p>
          <a:pPr algn="r" rtl="0">
            <a:defRPr sz="1000"/>
          </a:pPr>
          <a:fld id="{491934A6-59AB-480F-A883-A2630DEA4784}" type="TxLink">
            <a:rPr lang="en-US" sz="1000" b="0" i="0" u="none" strike="noStrike" baseline="0">
              <a:solidFill>
                <a:srgbClr val="000000"/>
              </a:solidFill>
              <a:latin typeface="Arial" pitchFamily="34" charset="0"/>
              <a:cs typeface="Arial" pitchFamily="34" charset="0"/>
            </a:rPr>
            <a:pPr algn="r" rtl="0">
              <a:defRPr sz="1000"/>
            </a:pPr>
            <a:t>680pF</a:t>
          </a:fld>
          <a:endParaRPr lang="en-US" sz="1000" b="0" i="0" u="none" strike="noStrike" baseline="0">
            <a:solidFill>
              <a:srgbClr val="000000"/>
            </a:solidFill>
            <a:latin typeface="Arial" pitchFamily="34" charset="0"/>
            <a:cs typeface="Arial" pitchFamily="34" charset="0"/>
          </a:endParaRPr>
        </a:p>
      </xdr:txBody>
    </xdr:sp>
    <xdr:clientData/>
  </xdr:twoCellAnchor>
  <xdr:twoCellAnchor>
    <xdr:from>
      <xdr:col>1</xdr:col>
      <xdr:colOff>724553</xdr:colOff>
      <xdr:row>17</xdr:row>
      <xdr:rowOff>23659</xdr:rowOff>
    </xdr:from>
    <xdr:to>
      <xdr:col>2</xdr:col>
      <xdr:colOff>154410</xdr:colOff>
      <xdr:row>18</xdr:row>
      <xdr:rowOff>60883</xdr:rowOff>
    </xdr:to>
    <xdr:sp macro="" textlink="'Variable Management'!B226">
      <xdr:nvSpPr>
        <xdr:cNvPr id="53" name="Text Box 262">
          <a:extLst>
            <a:ext uri="{FF2B5EF4-FFF2-40B4-BE49-F238E27FC236}">
              <a16:creationId xmlns:a16="http://schemas.microsoft.com/office/drawing/2014/main" id="{00000000-0008-0000-0100-000035000000}"/>
            </a:ext>
          </a:extLst>
        </xdr:cNvPr>
        <xdr:cNvSpPr txBox="1">
          <a:spLocks noChangeArrowheads="1" noTextEdit="1"/>
        </xdr:cNvSpPr>
      </xdr:nvSpPr>
      <xdr:spPr bwMode="auto">
        <a:xfrm>
          <a:off x="1304336" y="2839746"/>
          <a:ext cx="456900" cy="202876"/>
        </a:xfrm>
        <a:prstGeom prst="rect">
          <a:avLst/>
        </a:prstGeom>
        <a:noFill/>
        <a:ln w="9525">
          <a:noFill/>
          <a:miter lim="800000"/>
          <a:headEnd/>
          <a:tailEnd/>
        </a:ln>
      </xdr:spPr>
      <xdr:txBody>
        <a:bodyPr vertOverflow="clip" wrap="square" lIns="27432" tIns="22860" rIns="0" bIns="0" anchor="t" upright="1"/>
        <a:lstStyle/>
        <a:p>
          <a:pPr algn="l" rtl="0">
            <a:defRPr sz="1000"/>
          </a:pPr>
          <a:fld id="{2D8520E2-C481-4B17-83BA-3FA209B7A03A}" type="TxLink">
            <a:rPr lang="en-US" sz="1000" b="0" i="0" u="none" strike="noStrike" baseline="0">
              <a:solidFill>
                <a:srgbClr val="000000"/>
              </a:solidFill>
              <a:latin typeface="Arial" pitchFamily="34" charset="0"/>
              <a:cs typeface="Arial" pitchFamily="34" charset="0"/>
            </a:rPr>
            <a:pPr algn="l" rtl="0">
              <a:defRPr sz="1000"/>
            </a:pPr>
            <a:t>6pF</a:t>
          </a:fld>
          <a:endParaRPr lang="en-US" sz="1000" b="0" i="0" u="none" strike="noStrike" baseline="0">
            <a:solidFill>
              <a:srgbClr val="000000"/>
            </a:solidFill>
            <a:latin typeface="Arial" pitchFamily="34" charset="0"/>
            <a:cs typeface="Arial" pitchFamily="34" charset="0"/>
          </a:endParaRPr>
        </a:p>
      </xdr:txBody>
    </xdr:sp>
    <xdr:clientData/>
  </xdr:twoCellAnchor>
  <xdr:twoCellAnchor>
    <xdr:from>
      <xdr:col>0</xdr:col>
      <xdr:colOff>449353</xdr:colOff>
      <xdr:row>19</xdr:row>
      <xdr:rowOff>40781</xdr:rowOff>
    </xdr:from>
    <xdr:to>
      <xdr:col>1</xdr:col>
      <xdr:colOff>418915</xdr:colOff>
      <xdr:row>20</xdr:row>
      <xdr:rowOff>85242</xdr:rowOff>
    </xdr:to>
    <xdr:sp macro="" textlink="'Variable Management'!B230">
      <xdr:nvSpPr>
        <xdr:cNvPr id="54" name="Text Box 264">
          <a:extLst>
            <a:ext uri="{FF2B5EF4-FFF2-40B4-BE49-F238E27FC236}">
              <a16:creationId xmlns:a16="http://schemas.microsoft.com/office/drawing/2014/main" id="{00000000-0008-0000-0100-000036000000}"/>
            </a:ext>
          </a:extLst>
        </xdr:cNvPr>
        <xdr:cNvSpPr txBox="1">
          <a:spLocks noChangeArrowheads="1" noTextEdit="1"/>
        </xdr:cNvSpPr>
      </xdr:nvSpPr>
      <xdr:spPr bwMode="auto">
        <a:xfrm>
          <a:off x="449353" y="3255469"/>
          <a:ext cx="552968" cy="205195"/>
        </a:xfrm>
        <a:prstGeom prst="rect">
          <a:avLst/>
        </a:prstGeom>
        <a:noFill/>
        <a:ln w="9525">
          <a:noFill/>
          <a:miter lim="800000"/>
          <a:headEnd/>
          <a:tailEnd/>
        </a:ln>
      </xdr:spPr>
      <xdr:txBody>
        <a:bodyPr vertOverflow="clip" wrap="square" lIns="27432" tIns="22860" rIns="0" bIns="0" anchor="t" upright="1"/>
        <a:lstStyle/>
        <a:p>
          <a:pPr algn="r" rtl="0">
            <a:defRPr sz="1000"/>
          </a:pPr>
          <a:fld id="{4143709D-01BC-4A19-AF00-5C62DAE21E0B}" type="TxLink">
            <a:rPr lang="en-US" sz="1000" b="0" i="0" u="none" strike="noStrike" baseline="0">
              <a:solidFill>
                <a:srgbClr val="000000"/>
              </a:solidFill>
              <a:latin typeface="Arial" pitchFamily="34" charset="0"/>
              <a:cs typeface="Arial" pitchFamily="34" charset="0"/>
            </a:rPr>
            <a:pPr algn="r" rtl="0">
              <a:defRPr sz="1000"/>
            </a:pPr>
            <a:t>5.36kΩ</a:t>
          </a:fld>
          <a:endParaRPr lang="el-GR" sz="1000" b="0" i="0" u="none" strike="noStrike" baseline="0">
            <a:solidFill>
              <a:srgbClr val="000000"/>
            </a:solidFill>
            <a:latin typeface="Arial" pitchFamily="34" charset="0"/>
            <a:cs typeface="Arial" pitchFamily="34" charset="0"/>
          </a:endParaRPr>
        </a:p>
      </xdr:txBody>
    </xdr:sp>
    <xdr:clientData/>
  </xdr:twoCellAnchor>
  <xdr:twoCellAnchor>
    <xdr:from>
      <xdr:col>0</xdr:col>
      <xdr:colOff>331510</xdr:colOff>
      <xdr:row>6</xdr:row>
      <xdr:rowOff>15898</xdr:rowOff>
    </xdr:from>
    <xdr:to>
      <xdr:col>1</xdr:col>
      <xdr:colOff>150224</xdr:colOff>
      <xdr:row>7</xdr:row>
      <xdr:rowOff>105957</xdr:rowOff>
    </xdr:to>
    <xdr:sp macro="" textlink="'Variable Management'!B227">
      <xdr:nvSpPr>
        <xdr:cNvPr id="55" name="Text Box 265">
          <a:extLst>
            <a:ext uri="{FF2B5EF4-FFF2-40B4-BE49-F238E27FC236}">
              <a16:creationId xmlns:a16="http://schemas.microsoft.com/office/drawing/2014/main" id="{00000000-0008-0000-0100-000037000000}"/>
            </a:ext>
          </a:extLst>
        </xdr:cNvPr>
        <xdr:cNvSpPr txBox="1">
          <a:spLocks noChangeArrowheads="1" noTextEdit="1"/>
        </xdr:cNvSpPr>
      </xdr:nvSpPr>
      <xdr:spPr bwMode="auto">
        <a:xfrm>
          <a:off x="331510" y="987448"/>
          <a:ext cx="399739" cy="251984"/>
        </a:xfrm>
        <a:prstGeom prst="rect">
          <a:avLst/>
        </a:prstGeom>
        <a:noFill/>
        <a:ln w="9525">
          <a:noFill/>
          <a:miter lim="800000"/>
          <a:headEnd/>
          <a:tailEnd/>
        </a:ln>
      </xdr:spPr>
      <xdr:txBody>
        <a:bodyPr vertOverflow="clip" wrap="square" lIns="27432" tIns="22860" rIns="0" bIns="0" anchor="t" upright="1"/>
        <a:lstStyle/>
        <a:p>
          <a:pPr algn="ctr" rtl="0">
            <a:defRPr sz="1000"/>
          </a:pPr>
          <a:fld id="{8A5847E3-10F5-4FFF-8A55-57AE8AD8F48A}" type="TxLink">
            <a:rPr lang="el-GR" sz="1000" b="0" i="0" u="none" strike="noStrike" baseline="0">
              <a:solidFill>
                <a:srgbClr val="000000"/>
              </a:solidFill>
              <a:latin typeface="Arial" pitchFamily="34" charset="0"/>
              <a:cs typeface="Arial" pitchFamily="34" charset="0"/>
            </a:rPr>
            <a:pPr algn="ctr" rtl="0">
              <a:defRPr sz="1000"/>
            </a:pPr>
            <a:t>715Ω</a:t>
          </a:fld>
          <a:endParaRPr lang="el-GR" sz="1000" b="0" i="0" u="none" strike="noStrike" baseline="0">
            <a:solidFill>
              <a:srgbClr val="000000"/>
            </a:solidFill>
            <a:latin typeface="Arial" pitchFamily="34" charset="0"/>
            <a:cs typeface="Arial" pitchFamily="34" charset="0"/>
          </a:endParaRPr>
        </a:p>
      </xdr:txBody>
    </xdr:sp>
    <xdr:clientData/>
  </xdr:twoCellAnchor>
  <xdr:twoCellAnchor>
    <xdr:from>
      <xdr:col>0</xdr:col>
      <xdr:colOff>273397</xdr:colOff>
      <xdr:row>9</xdr:row>
      <xdr:rowOff>3540</xdr:rowOff>
    </xdr:from>
    <xdr:to>
      <xdr:col>1</xdr:col>
      <xdr:colOff>172867</xdr:colOff>
      <xdr:row>10</xdr:row>
      <xdr:rowOff>23018</xdr:rowOff>
    </xdr:to>
    <xdr:sp macro="" textlink="'Variable Management'!B228">
      <xdr:nvSpPr>
        <xdr:cNvPr id="56" name="Text Box 266">
          <a:extLst>
            <a:ext uri="{FF2B5EF4-FFF2-40B4-BE49-F238E27FC236}">
              <a16:creationId xmlns:a16="http://schemas.microsoft.com/office/drawing/2014/main" id="{00000000-0008-0000-0100-000038000000}"/>
            </a:ext>
          </a:extLst>
        </xdr:cNvPr>
        <xdr:cNvSpPr txBox="1">
          <a:spLocks noChangeArrowheads="1" noTextEdit="1"/>
        </xdr:cNvSpPr>
      </xdr:nvSpPr>
      <xdr:spPr bwMode="auto">
        <a:xfrm>
          <a:off x="273397" y="1460865"/>
          <a:ext cx="480495" cy="181403"/>
        </a:xfrm>
        <a:prstGeom prst="rect">
          <a:avLst/>
        </a:prstGeom>
        <a:noFill/>
        <a:ln w="9525">
          <a:noFill/>
          <a:miter lim="800000"/>
          <a:headEnd/>
          <a:tailEnd/>
        </a:ln>
      </xdr:spPr>
      <xdr:txBody>
        <a:bodyPr vertOverflow="clip" wrap="square" lIns="27432" tIns="22860" rIns="0" bIns="0" anchor="t" upright="1"/>
        <a:lstStyle/>
        <a:p>
          <a:pPr algn="ctr" rtl="0">
            <a:defRPr sz="1000"/>
          </a:pPr>
          <a:fld id="{6C3BF70F-B67A-49A8-941F-821453611716}" type="TxLink">
            <a:rPr lang="en-US" sz="1000" b="0" i="0" u="none" strike="noStrike" baseline="0">
              <a:solidFill>
                <a:srgbClr val="000000"/>
              </a:solidFill>
              <a:latin typeface="Arial" pitchFamily="34" charset="0"/>
              <a:cs typeface="Arial" pitchFamily="34" charset="0"/>
            </a:rPr>
            <a:pPr algn="ctr" rtl="0">
              <a:defRPr sz="1000"/>
            </a:pPr>
            <a:t>150pF</a:t>
          </a:fld>
          <a:endParaRPr lang="en-US" sz="1000" b="0" i="0" u="none" strike="noStrike" baseline="0">
            <a:solidFill>
              <a:srgbClr val="000000"/>
            </a:solidFill>
            <a:latin typeface="Arial" pitchFamily="34" charset="0"/>
            <a:cs typeface="Arial" pitchFamily="34" charset="0"/>
          </a:endParaRPr>
        </a:p>
      </xdr:txBody>
    </xdr:sp>
    <xdr:clientData/>
  </xdr:twoCellAnchor>
  <xdr:twoCellAnchor>
    <xdr:from>
      <xdr:col>1</xdr:col>
      <xdr:colOff>666730</xdr:colOff>
      <xdr:row>6</xdr:row>
      <xdr:rowOff>67895</xdr:rowOff>
    </xdr:from>
    <xdr:to>
      <xdr:col>2</xdr:col>
      <xdr:colOff>57150</xdr:colOff>
      <xdr:row>7</xdr:row>
      <xdr:rowOff>142875</xdr:rowOff>
    </xdr:to>
    <xdr:sp macro="" textlink="'Variable Management'!B229">
      <xdr:nvSpPr>
        <xdr:cNvPr id="58" name="Text Box 268">
          <a:extLst>
            <a:ext uri="{FF2B5EF4-FFF2-40B4-BE49-F238E27FC236}">
              <a16:creationId xmlns:a16="http://schemas.microsoft.com/office/drawing/2014/main" id="{00000000-0008-0000-0100-00003A000000}"/>
            </a:ext>
          </a:extLst>
        </xdr:cNvPr>
        <xdr:cNvSpPr txBox="1">
          <a:spLocks noChangeArrowheads="1" noTextEdit="1"/>
        </xdr:cNvSpPr>
      </xdr:nvSpPr>
      <xdr:spPr bwMode="auto">
        <a:xfrm>
          <a:off x="1247755" y="1039445"/>
          <a:ext cx="381020" cy="236905"/>
        </a:xfrm>
        <a:prstGeom prst="rect">
          <a:avLst/>
        </a:prstGeom>
        <a:noFill/>
        <a:ln w="9525">
          <a:noFill/>
          <a:miter lim="800000"/>
          <a:headEnd/>
          <a:tailEnd/>
        </a:ln>
      </xdr:spPr>
      <xdr:txBody>
        <a:bodyPr vertOverflow="clip" wrap="square" lIns="27432" tIns="22860" rIns="0" bIns="0" anchor="ctr" upright="1"/>
        <a:lstStyle/>
        <a:p>
          <a:pPr algn="l" rtl="0">
            <a:defRPr sz="1000"/>
          </a:pPr>
          <a:fld id="{DE4FB3C5-779F-4472-8885-3DB2A25A3AD8}" type="TxLink">
            <a:rPr lang="en-US" sz="1000" b="0" i="0" u="none" strike="noStrike">
              <a:solidFill>
                <a:srgbClr val="000000"/>
              </a:solidFill>
              <a:latin typeface="Arial" pitchFamily="34" charset="0"/>
              <a:cs typeface="Arial" pitchFamily="34" charset="0"/>
            </a:rPr>
            <a:pPr algn="l" rtl="0">
              <a:defRPr sz="1000"/>
            </a:pPr>
            <a:t>55kΩ</a:t>
          </a:fld>
          <a:endParaRPr lang="el-GR" sz="1000" b="0" i="0" strike="noStrike">
            <a:solidFill>
              <a:srgbClr val="000000"/>
            </a:solidFill>
            <a:latin typeface="Arial" pitchFamily="34" charset="0"/>
            <a:cs typeface="Arial" pitchFamily="34" charset="0"/>
          </a:endParaRPr>
        </a:p>
      </xdr:txBody>
    </xdr:sp>
    <xdr:clientData/>
  </xdr:twoCellAnchor>
  <xdr:twoCellAnchor>
    <xdr:from>
      <xdr:col>7</xdr:col>
      <xdr:colOff>514103</xdr:colOff>
      <xdr:row>7</xdr:row>
      <xdr:rowOff>36274</xdr:rowOff>
    </xdr:from>
    <xdr:to>
      <xdr:col>7</xdr:col>
      <xdr:colOff>958462</xdr:colOff>
      <xdr:row>8</xdr:row>
      <xdr:rowOff>99736</xdr:rowOff>
    </xdr:to>
    <xdr:sp macro="" textlink="'Variable Management'!B234">
      <xdr:nvSpPr>
        <xdr:cNvPr id="59" name="Text Box 269">
          <a:extLst>
            <a:ext uri="{FF2B5EF4-FFF2-40B4-BE49-F238E27FC236}">
              <a16:creationId xmlns:a16="http://schemas.microsoft.com/office/drawing/2014/main" id="{00000000-0008-0000-0100-00003B000000}"/>
            </a:ext>
          </a:extLst>
        </xdr:cNvPr>
        <xdr:cNvSpPr txBox="1">
          <a:spLocks noChangeArrowheads="1" noTextEdit="1"/>
        </xdr:cNvSpPr>
      </xdr:nvSpPr>
      <xdr:spPr bwMode="auto">
        <a:xfrm>
          <a:off x="7777951" y="1195839"/>
          <a:ext cx="444359" cy="229114"/>
        </a:xfrm>
        <a:prstGeom prst="rect">
          <a:avLst/>
        </a:prstGeom>
        <a:noFill/>
        <a:ln w="9525">
          <a:noFill/>
          <a:miter lim="800000"/>
          <a:headEnd/>
          <a:tailEnd/>
        </a:ln>
      </xdr:spPr>
      <xdr:txBody>
        <a:bodyPr vertOverflow="clip" wrap="square" lIns="27432" tIns="22860" rIns="0" bIns="0" anchor="t" upright="1"/>
        <a:lstStyle/>
        <a:p>
          <a:pPr algn="l" rtl="0">
            <a:defRPr sz="1000"/>
          </a:pPr>
          <a:fld id="{27A338A4-7C29-466C-A69F-C7848480F98E}" type="TxLink">
            <a:rPr lang="en-US" sz="1000" b="0" i="0" u="none" strike="noStrike" baseline="0">
              <a:solidFill>
                <a:srgbClr val="000000"/>
              </a:solidFill>
              <a:latin typeface="Arial" pitchFamily="34" charset="0"/>
              <a:cs typeface="Arial" pitchFamily="34" charset="0"/>
            </a:rPr>
            <a:pPr algn="l" rtl="0">
              <a:defRPr sz="1000"/>
            </a:pPr>
            <a:t>7.32kΩ</a:t>
          </a:fld>
          <a:endParaRPr lang="el-GR" sz="1000" b="0" i="0" u="none" strike="noStrike" baseline="0">
            <a:solidFill>
              <a:srgbClr val="000000"/>
            </a:solidFill>
            <a:latin typeface="Arial" pitchFamily="34" charset="0"/>
            <a:cs typeface="Arial" pitchFamily="34" charset="0"/>
          </a:endParaRPr>
        </a:p>
      </xdr:txBody>
    </xdr:sp>
    <xdr:clientData/>
  </xdr:twoCellAnchor>
  <xdr:twoCellAnchor>
    <xdr:from>
      <xdr:col>8</xdr:col>
      <xdr:colOff>886379</xdr:colOff>
      <xdr:row>4</xdr:row>
      <xdr:rowOff>62668</xdr:rowOff>
    </xdr:from>
    <xdr:to>
      <xdr:col>9</xdr:col>
      <xdr:colOff>474508</xdr:colOff>
      <xdr:row>5</xdr:row>
      <xdr:rowOff>109400</xdr:rowOff>
    </xdr:to>
    <xdr:sp macro="" textlink="'Variable Management'!B235">
      <xdr:nvSpPr>
        <xdr:cNvPr id="60" name="Text Box 270">
          <a:extLst>
            <a:ext uri="{FF2B5EF4-FFF2-40B4-BE49-F238E27FC236}">
              <a16:creationId xmlns:a16="http://schemas.microsoft.com/office/drawing/2014/main" id="{00000000-0008-0000-0100-00003C000000}"/>
            </a:ext>
          </a:extLst>
        </xdr:cNvPr>
        <xdr:cNvSpPr txBox="1">
          <a:spLocks noChangeArrowheads="1" noTextEdit="1"/>
        </xdr:cNvSpPr>
      </xdr:nvSpPr>
      <xdr:spPr bwMode="auto">
        <a:xfrm>
          <a:off x="9125504" y="710368"/>
          <a:ext cx="569204" cy="208657"/>
        </a:xfrm>
        <a:prstGeom prst="rect">
          <a:avLst/>
        </a:prstGeom>
        <a:noFill/>
        <a:ln w="9525">
          <a:noFill/>
          <a:miter lim="800000"/>
          <a:headEnd/>
          <a:tailEnd/>
        </a:ln>
      </xdr:spPr>
      <xdr:txBody>
        <a:bodyPr vertOverflow="clip" wrap="square" lIns="27432" tIns="22860" rIns="0" bIns="0" anchor="t" upright="1"/>
        <a:lstStyle/>
        <a:p>
          <a:pPr algn="l" rtl="0">
            <a:defRPr sz="1000"/>
          </a:pPr>
          <a:fld id="{3598138F-5782-4266-A907-51E6D0258BC3}" type="TxLink">
            <a:rPr lang="en-US" sz="1000" b="0" i="0" u="none" strike="noStrike" baseline="0">
              <a:solidFill>
                <a:srgbClr val="000000"/>
              </a:solidFill>
              <a:latin typeface="Arial" pitchFamily="34" charset="0"/>
              <a:cs typeface="Arial" pitchFamily="34" charset="0"/>
            </a:rPr>
            <a:pPr algn="l" rtl="0">
              <a:defRPr sz="1000"/>
            </a:pPr>
            <a:t>1.43kΩ</a:t>
          </a:fld>
          <a:endParaRPr lang="el-GR" sz="1000" b="0" i="0" u="none" strike="noStrike" baseline="0">
            <a:solidFill>
              <a:srgbClr val="000000"/>
            </a:solidFill>
            <a:latin typeface="Arial" pitchFamily="34" charset="0"/>
            <a:cs typeface="Arial" pitchFamily="34" charset="0"/>
          </a:endParaRPr>
        </a:p>
      </xdr:txBody>
    </xdr:sp>
    <xdr:clientData/>
  </xdr:twoCellAnchor>
  <xdr:twoCellAnchor>
    <xdr:from>
      <xdr:col>8</xdr:col>
      <xdr:colOff>184328</xdr:colOff>
      <xdr:row>6</xdr:row>
      <xdr:rowOff>127251</xdr:rowOff>
    </xdr:from>
    <xdr:to>
      <xdr:col>8</xdr:col>
      <xdr:colOff>662412</xdr:colOff>
      <xdr:row>8</xdr:row>
      <xdr:rowOff>49360</xdr:rowOff>
    </xdr:to>
    <xdr:sp macro="" textlink="'Variable Management'!B233">
      <xdr:nvSpPr>
        <xdr:cNvPr id="61" name="Text Box 274">
          <a:extLst>
            <a:ext uri="{FF2B5EF4-FFF2-40B4-BE49-F238E27FC236}">
              <a16:creationId xmlns:a16="http://schemas.microsoft.com/office/drawing/2014/main" id="{00000000-0008-0000-0100-00003D000000}"/>
            </a:ext>
          </a:extLst>
        </xdr:cNvPr>
        <xdr:cNvSpPr txBox="1">
          <a:spLocks noChangeArrowheads="1" noTextEdit="1"/>
        </xdr:cNvSpPr>
      </xdr:nvSpPr>
      <xdr:spPr bwMode="auto">
        <a:xfrm>
          <a:off x="8524915" y="1121164"/>
          <a:ext cx="478084" cy="253413"/>
        </a:xfrm>
        <a:prstGeom prst="rect">
          <a:avLst/>
        </a:prstGeom>
        <a:noFill/>
        <a:ln w="9525">
          <a:noFill/>
          <a:miter lim="800000"/>
          <a:headEnd/>
          <a:tailEnd/>
        </a:ln>
      </xdr:spPr>
      <xdr:txBody>
        <a:bodyPr vertOverflow="clip" wrap="square" lIns="27432" tIns="22860" rIns="0" bIns="0" anchor="t" upright="1"/>
        <a:lstStyle/>
        <a:p>
          <a:pPr algn="l" rtl="0">
            <a:defRPr sz="1000"/>
          </a:pPr>
          <a:fld id="{0DC16DAA-59E9-44C1-A2D2-01ECF4509AE4}" type="TxLink">
            <a:rPr lang="en-US" sz="1000" b="0" i="0" u="none" strike="noStrike">
              <a:solidFill>
                <a:srgbClr val="000000"/>
              </a:solidFill>
              <a:latin typeface="Arial" pitchFamily="34" charset="0"/>
              <a:cs typeface="Arial" pitchFamily="34" charset="0"/>
            </a:rPr>
            <a:pPr algn="l" rtl="0">
              <a:defRPr sz="1000"/>
            </a:pPr>
            <a:t>0.22µF</a:t>
          </a:fld>
          <a:endParaRPr lang="en-US" sz="1000" b="0" i="0" strike="noStrike">
            <a:solidFill>
              <a:srgbClr val="000000"/>
            </a:solidFill>
            <a:latin typeface="Arial" pitchFamily="34" charset="0"/>
            <a:cs typeface="Arial" pitchFamily="34" charset="0"/>
          </a:endParaRPr>
        </a:p>
      </xdr:txBody>
    </xdr:sp>
    <xdr:clientData/>
  </xdr:twoCellAnchor>
  <xdr:twoCellAnchor>
    <xdr:from>
      <xdr:col>7</xdr:col>
      <xdr:colOff>301422</xdr:colOff>
      <xdr:row>12</xdr:row>
      <xdr:rowOff>107047</xdr:rowOff>
    </xdr:from>
    <xdr:to>
      <xdr:col>7</xdr:col>
      <xdr:colOff>750976</xdr:colOff>
      <xdr:row>14</xdr:row>
      <xdr:rowOff>22500</xdr:rowOff>
    </xdr:to>
    <xdr:sp macro="" textlink="'Variable Management'!B212">
      <xdr:nvSpPr>
        <xdr:cNvPr id="62" name="Text Box 275">
          <a:extLst>
            <a:ext uri="{FF2B5EF4-FFF2-40B4-BE49-F238E27FC236}">
              <a16:creationId xmlns:a16="http://schemas.microsoft.com/office/drawing/2014/main" id="{00000000-0008-0000-0100-00003E000000}"/>
            </a:ext>
          </a:extLst>
        </xdr:cNvPr>
        <xdr:cNvSpPr txBox="1">
          <a:spLocks noChangeArrowheads="1" noTextEdit="1"/>
        </xdr:cNvSpPr>
      </xdr:nvSpPr>
      <xdr:spPr bwMode="auto">
        <a:xfrm>
          <a:off x="7565270" y="2094873"/>
          <a:ext cx="449554" cy="246757"/>
        </a:xfrm>
        <a:prstGeom prst="rect">
          <a:avLst/>
        </a:prstGeom>
        <a:noFill/>
        <a:ln w="9525">
          <a:noFill/>
          <a:miter lim="800000"/>
          <a:headEnd/>
          <a:tailEnd/>
        </a:ln>
      </xdr:spPr>
      <xdr:txBody>
        <a:bodyPr vertOverflow="clip" wrap="square" lIns="27432" tIns="22860" rIns="0" bIns="0" anchor="ctr" upright="1"/>
        <a:lstStyle/>
        <a:p>
          <a:pPr algn="l" rtl="0">
            <a:defRPr sz="1000"/>
          </a:pPr>
          <a:fld id="{ED0F9337-3E5A-436B-8905-45EE6C1A24BF}" type="TxLink">
            <a:rPr lang="en-US" sz="1000" b="0" i="0" u="none" strike="noStrike" baseline="0">
              <a:solidFill>
                <a:srgbClr val="000000"/>
              </a:solidFill>
              <a:latin typeface="Arialri"/>
              <a:cs typeface="Arial" pitchFamily="34" charset="0"/>
            </a:rPr>
            <a:pPr algn="l" rtl="0">
              <a:defRPr sz="1000"/>
            </a:pPr>
            <a:t>0.47µH</a:t>
          </a:fld>
          <a:endParaRPr lang="en-US" sz="1000" b="0" i="0" u="none" strike="noStrike" baseline="0">
            <a:solidFill>
              <a:srgbClr val="000000"/>
            </a:solidFill>
            <a:latin typeface="Arial" pitchFamily="34" charset="0"/>
            <a:cs typeface="Arial" pitchFamily="34" charset="0"/>
          </a:endParaRPr>
        </a:p>
      </xdr:txBody>
    </xdr:sp>
    <xdr:clientData/>
  </xdr:twoCellAnchor>
  <xdr:twoCellAnchor>
    <xdr:from>
      <xdr:col>5</xdr:col>
      <xdr:colOff>1159936</xdr:colOff>
      <xdr:row>26</xdr:row>
      <xdr:rowOff>23207</xdr:rowOff>
    </xdr:from>
    <xdr:to>
      <xdr:col>6</xdr:col>
      <xdr:colOff>162536</xdr:colOff>
      <xdr:row>27</xdr:row>
      <xdr:rowOff>84183</xdr:rowOff>
    </xdr:to>
    <xdr:sp macro="" textlink="">
      <xdr:nvSpPr>
        <xdr:cNvPr id="64" name="Text Box 277">
          <a:extLst>
            <a:ext uri="{FF2B5EF4-FFF2-40B4-BE49-F238E27FC236}">
              <a16:creationId xmlns:a16="http://schemas.microsoft.com/office/drawing/2014/main" id="{00000000-0008-0000-0100-000040000000}"/>
            </a:ext>
          </a:extLst>
        </xdr:cNvPr>
        <xdr:cNvSpPr txBox="1">
          <a:spLocks noChangeArrowheads="1"/>
        </xdr:cNvSpPr>
      </xdr:nvSpPr>
      <xdr:spPr bwMode="auto">
        <a:xfrm>
          <a:off x="6336566" y="4495816"/>
          <a:ext cx="377513" cy="226628"/>
        </a:xfrm>
        <a:prstGeom prst="rect">
          <a:avLst/>
        </a:prstGeom>
        <a:noFill/>
        <a:ln w="9525">
          <a:noFill/>
          <a:miter lim="800000"/>
          <a:headEnd/>
          <a:tailEnd/>
        </a:ln>
      </xdr:spPr>
      <xdr:txBody>
        <a:bodyPr vertOverflow="clip" wrap="square" lIns="27432" tIns="22860" rIns="0" bIns="0" anchor="t" upright="1"/>
        <a:lstStyle/>
        <a:p>
          <a:pPr algn="l" rtl="0">
            <a:defRPr sz="1000"/>
          </a:pPr>
          <a:r>
            <a:rPr lang="el-GR" sz="1000" b="0" i="0" strike="noStrike">
              <a:solidFill>
                <a:srgbClr val="000000"/>
              </a:solidFill>
              <a:latin typeface="Arial" pitchFamily="34" charset="0"/>
              <a:cs typeface="Arial" pitchFamily="34" charset="0"/>
            </a:rPr>
            <a:t>2.2Ω</a:t>
          </a:r>
        </a:p>
      </xdr:txBody>
    </xdr:sp>
    <xdr:clientData/>
  </xdr:twoCellAnchor>
  <xdr:twoCellAnchor>
    <xdr:from>
      <xdr:col>5</xdr:col>
      <xdr:colOff>160422</xdr:colOff>
      <xdr:row>29</xdr:row>
      <xdr:rowOff>160152</xdr:rowOff>
    </xdr:from>
    <xdr:to>
      <xdr:col>5</xdr:col>
      <xdr:colOff>486151</xdr:colOff>
      <xdr:row>31</xdr:row>
      <xdr:rowOff>45633</xdr:rowOff>
    </xdr:to>
    <xdr:sp macro="" textlink="">
      <xdr:nvSpPr>
        <xdr:cNvPr id="65" name="Text Box 278">
          <a:extLst>
            <a:ext uri="{FF2B5EF4-FFF2-40B4-BE49-F238E27FC236}">
              <a16:creationId xmlns:a16="http://schemas.microsoft.com/office/drawing/2014/main" id="{00000000-0008-0000-0100-000041000000}"/>
            </a:ext>
          </a:extLst>
        </xdr:cNvPr>
        <xdr:cNvSpPr txBox="1">
          <a:spLocks noChangeArrowheads="1"/>
        </xdr:cNvSpPr>
      </xdr:nvSpPr>
      <xdr:spPr bwMode="auto">
        <a:xfrm>
          <a:off x="5333230" y="4834729"/>
          <a:ext cx="325729" cy="207866"/>
        </a:xfrm>
        <a:prstGeom prst="rect">
          <a:avLst/>
        </a:prstGeom>
        <a:noFill/>
        <a:ln w="9525">
          <a:noFill/>
          <a:miter lim="800000"/>
          <a:headEnd/>
          <a:tailEnd/>
        </a:ln>
      </xdr:spPr>
      <xdr:txBody>
        <a:bodyPr vertOverflow="clip" wrap="square" lIns="27432" tIns="22860" rIns="0" bIns="0" anchor="ctr" upright="1"/>
        <a:lstStyle/>
        <a:p>
          <a:pPr algn="ctr" rtl="0">
            <a:defRPr sz="1000"/>
          </a:pPr>
          <a:r>
            <a:rPr lang="en-US" sz="1000" b="0" i="0" strike="noStrike">
              <a:solidFill>
                <a:srgbClr val="000000"/>
              </a:solidFill>
              <a:latin typeface="Arial" pitchFamily="34" charset="0"/>
              <a:cs typeface="Arial" pitchFamily="34" charset="0"/>
            </a:rPr>
            <a:t>1µF</a:t>
          </a:r>
        </a:p>
      </xdr:txBody>
    </xdr:sp>
    <xdr:clientData/>
  </xdr:twoCellAnchor>
  <xdr:twoCellAnchor>
    <xdr:from>
      <xdr:col>5</xdr:col>
      <xdr:colOff>818895</xdr:colOff>
      <xdr:row>8</xdr:row>
      <xdr:rowOff>54687</xdr:rowOff>
    </xdr:from>
    <xdr:to>
      <xdr:col>5</xdr:col>
      <xdr:colOff>1185471</xdr:colOff>
      <xdr:row>9</xdr:row>
      <xdr:rowOff>116226</xdr:rowOff>
    </xdr:to>
    <xdr:sp macro="" textlink="">
      <xdr:nvSpPr>
        <xdr:cNvPr id="66" name="Text Box 279">
          <a:extLst>
            <a:ext uri="{FF2B5EF4-FFF2-40B4-BE49-F238E27FC236}">
              <a16:creationId xmlns:a16="http://schemas.microsoft.com/office/drawing/2014/main" id="{00000000-0008-0000-0100-000042000000}"/>
            </a:ext>
          </a:extLst>
        </xdr:cNvPr>
        <xdr:cNvSpPr txBox="1">
          <a:spLocks noChangeArrowheads="1"/>
        </xdr:cNvSpPr>
      </xdr:nvSpPr>
      <xdr:spPr bwMode="auto">
        <a:xfrm>
          <a:off x="5962395" y="1350087"/>
          <a:ext cx="366576" cy="223464"/>
        </a:xfrm>
        <a:prstGeom prst="rect">
          <a:avLst/>
        </a:prstGeom>
        <a:noFill/>
        <a:ln w="9525">
          <a:noFill/>
          <a:miter lim="800000"/>
          <a:headEnd/>
          <a:tailEnd/>
        </a:ln>
      </xdr:spPr>
      <xdr:txBody>
        <a:bodyPr vertOverflow="clip" wrap="square" lIns="27432" tIns="27432" rIns="0" bIns="0"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en-US" sz="1000" b="0" i="0">
              <a:latin typeface="Arial" pitchFamily="34" charset="0"/>
              <a:ea typeface="+mn-ea"/>
              <a:cs typeface="Arial" pitchFamily="34" charset="0"/>
            </a:rPr>
            <a:t>0.1</a:t>
          </a:r>
          <a:r>
            <a:rPr lang="el-GR" sz="1000" b="0" i="0">
              <a:latin typeface="Arial" pitchFamily="34" charset="0"/>
              <a:ea typeface="+mn-ea"/>
              <a:cs typeface="Arial" pitchFamily="34" charset="0"/>
            </a:rPr>
            <a:t>μ</a:t>
          </a:r>
          <a:r>
            <a:rPr lang="en-US" sz="1000" b="0" i="0">
              <a:latin typeface="Arial" pitchFamily="34" charset="0"/>
              <a:ea typeface="+mn-ea"/>
              <a:cs typeface="Arial" pitchFamily="34" charset="0"/>
            </a:rPr>
            <a:t>F</a:t>
          </a:r>
          <a:endParaRPr lang="en-US" sz="1000">
            <a:latin typeface="Arial" pitchFamily="34" charset="0"/>
            <a:cs typeface="Arial" pitchFamily="34" charset="0"/>
          </a:endParaRPr>
        </a:p>
      </xdr:txBody>
    </xdr:sp>
    <xdr:clientData/>
  </xdr:twoCellAnchor>
  <xdr:twoCellAnchor>
    <xdr:from>
      <xdr:col>2</xdr:col>
      <xdr:colOff>516799</xdr:colOff>
      <xdr:row>6</xdr:row>
      <xdr:rowOff>21840</xdr:rowOff>
    </xdr:from>
    <xdr:to>
      <xdr:col>2</xdr:col>
      <xdr:colOff>871218</xdr:colOff>
      <xdr:row>7</xdr:row>
      <xdr:rowOff>94491</xdr:rowOff>
    </xdr:to>
    <xdr:sp macro="" textlink="'Variable Management'!B240">
      <xdr:nvSpPr>
        <xdr:cNvPr id="67" name="Text Box 281">
          <a:extLst>
            <a:ext uri="{FF2B5EF4-FFF2-40B4-BE49-F238E27FC236}">
              <a16:creationId xmlns:a16="http://schemas.microsoft.com/office/drawing/2014/main" id="{00000000-0008-0000-0100-000043000000}"/>
            </a:ext>
          </a:extLst>
        </xdr:cNvPr>
        <xdr:cNvSpPr txBox="1">
          <a:spLocks noChangeArrowheads="1" noTextEdit="1"/>
        </xdr:cNvSpPr>
      </xdr:nvSpPr>
      <xdr:spPr bwMode="auto">
        <a:xfrm>
          <a:off x="2123625" y="1015753"/>
          <a:ext cx="354419" cy="238303"/>
        </a:xfrm>
        <a:prstGeom prst="rect">
          <a:avLst/>
        </a:prstGeom>
        <a:noFill/>
        <a:ln w="9525">
          <a:noFill/>
          <a:miter lim="800000"/>
          <a:headEnd/>
          <a:tailEnd/>
        </a:ln>
      </xdr:spPr>
      <xdr:txBody>
        <a:bodyPr vertOverflow="clip" wrap="square" lIns="27432" tIns="22860" rIns="0" bIns="0" anchor="t" upright="1"/>
        <a:lstStyle/>
        <a:p>
          <a:pPr algn="l" rtl="0">
            <a:defRPr sz="1000"/>
          </a:pPr>
          <a:fld id="{77460045-3ADA-4E36-A50B-8C5C548E137C}" type="TxLink">
            <a:rPr lang="en-US" sz="1000" b="0" i="0" u="none" strike="noStrike">
              <a:solidFill>
                <a:srgbClr val="000000"/>
              </a:solidFill>
              <a:latin typeface="Arial" pitchFamily="34" charset="0"/>
              <a:cs typeface="Arial" pitchFamily="34" charset="0"/>
            </a:rPr>
            <a:pPr algn="l" rtl="0">
              <a:defRPr sz="1000"/>
            </a:pPr>
            <a:t>47nF</a:t>
          </a:fld>
          <a:endParaRPr lang="en-US" sz="1000" b="0" i="0" strike="noStrike">
            <a:solidFill>
              <a:srgbClr val="000000"/>
            </a:solidFill>
            <a:latin typeface="Arial" pitchFamily="34" charset="0"/>
            <a:cs typeface="Arial" pitchFamily="34" charset="0"/>
          </a:endParaRPr>
        </a:p>
      </xdr:txBody>
    </xdr:sp>
    <xdr:clientData/>
  </xdr:twoCellAnchor>
  <xdr:twoCellAnchor>
    <xdr:from>
      <xdr:col>6</xdr:col>
      <xdr:colOff>594136</xdr:colOff>
      <xdr:row>4</xdr:row>
      <xdr:rowOff>135087</xdr:rowOff>
    </xdr:from>
    <xdr:to>
      <xdr:col>7</xdr:col>
      <xdr:colOff>329710</xdr:colOff>
      <xdr:row>6</xdr:row>
      <xdr:rowOff>50261</xdr:rowOff>
    </xdr:to>
    <xdr:sp macro="" textlink="'Variable Management'!B244">
      <xdr:nvSpPr>
        <xdr:cNvPr id="68" name="Text Box 283">
          <a:extLst>
            <a:ext uri="{FF2B5EF4-FFF2-40B4-BE49-F238E27FC236}">
              <a16:creationId xmlns:a16="http://schemas.microsoft.com/office/drawing/2014/main" id="{00000000-0008-0000-0100-000044000000}"/>
            </a:ext>
          </a:extLst>
        </xdr:cNvPr>
        <xdr:cNvSpPr txBox="1">
          <a:spLocks noChangeArrowheads="1" noTextEdit="1"/>
        </xdr:cNvSpPr>
      </xdr:nvSpPr>
      <xdr:spPr bwMode="auto">
        <a:xfrm>
          <a:off x="7100444" y="779856"/>
          <a:ext cx="380343" cy="237559"/>
        </a:xfrm>
        <a:prstGeom prst="rect">
          <a:avLst/>
        </a:prstGeom>
        <a:noFill/>
        <a:ln w="9525">
          <a:noFill/>
          <a:miter lim="800000"/>
          <a:headEnd/>
          <a:tailEnd/>
        </a:ln>
      </xdr:spPr>
      <xdr:txBody>
        <a:bodyPr vertOverflow="clip" wrap="square" lIns="27432" tIns="22860" rIns="0" bIns="0" anchor="t" upright="1"/>
        <a:lstStyle/>
        <a:p>
          <a:pPr algn="l" rtl="0">
            <a:defRPr sz="1000"/>
          </a:pPr>
          <a:fld id="{211B0151-B00E-493E-8C8F-6E492416D93B}" type="TxLink">
            <a:rPr lang="en-US" sz="1200" b="1" i="0" u="none" strike="noStrike">
              <a:solidFill>
                <a:srgbClr val="000000"/>
              </a:solidFill>
              <a:latin typeface="Arial" pitchFamily="34" charset="0"/>
              <a:cs typeface="Arial" pitchFamily="34" charset="0"/>
            </a:rPr>
            <a:pPr algn="l" rtl="0">
              <a:defRPr sz="1000"/>
            </a:pPr>
            <a:t>12V</a:t>
          </a:fld>
          <a:endParaRPr lang="en-US" sz="1200" b="1" i="0" strike="noStrike">
            <a:solidFill>
              <a:srgbClr val="000000"/>
            </a:solidFill>
            <a:latin typeface="Arial" pitchFamily="34" charset="0"/>
            <a:cs typeface="Arial" pitchFamily="34" charset="0"/>
          </a:endParaRPr>
        </a:p>
      </xdr:txBody>
    </xdr:sp>
    <xdr:clientData/>
  </xdr:twoCellAnchor>
  <xdr:twoCellAnchor>
    <xdr:from>
      <xdr:col>1</xdr:col>
      <xdr:colOff>887639</xdr:colOff>
      <xdr:row>18</xdr:row>
      <xdr:rowOff>83836</xdr:rowOff>
    </xdr:from>
    <xdr:to>
      <xdr:col>2</xdr:col>
      <xdr:colOff>241375</xdr:colOff>
      <xdr:row>19</xdr:row>
      <xdr:rowOff>152753</xdr:rowOff>
    </xdr:to>
    <xdr:sp macro="" textlink="">
      <xdr:nvSpPr>
        <xdr:cNvPr id="69" name="Text Box 251">
          <a:extLst>
            <a:ext uri="{FF2B5EF4-FFF2-40B4-BE49-F238E27FC236}">
              <a16:creationId xmlns:a16="http://schemas.microsoft.com/office/drawing/2014/main" id="{00000000-0008-0000-0100-000045000000}"/>
            </a:ext>
          </a:extLst>
        </xdr:cNvPr>
        <xdr:cNvSpPr txBox="1">
          <a:spLocks noChangeArrowheads="1"/>
        </xdr:cNvSpPr>
      </xdr:nvSpPr>
      <xdr:spPr bwMode="auto">
        <a:xfrm>
          <a:off x="1466466" y="2985298"/>
          <a:ext cx="379505" cy="230109"/>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000" b="0" i="0" strike="noStrike">
              <a:solidFill>
                <a:srgbClr val="000000"/>
              </a:solidFill>
              <a:latin typeface="Arial" pitchFamily="34" charset="0"/>
              <a:cs typeface="Arial" pitchFamily="34" charset="0"/>
            </a:rPr>
            <a:t>R</a:t>
          </a:r>
          <a:r>
            <a:rPr lang="en-US" sz="1000" b="0" i="0" strike="noStrike" baseline="-25000">
              <a:solidFill>
                <a:srgbClr val="000000"/>
              </a:solidFill>
              <a:latin typeface="Arial" pitchFamily="34" charset="0"/>
              <a:cs typeface="Arial" pitchFamily="34" charset="0"/>
            </a:rPr>
            <a:t>FADJ</a:t>
          </a:r>
        </a:p>
      </xdr:txBody>
    </xdr:sp>
    <xdr:clientData/>
  </xdr:twoCellAnchor>
  <xdr:twoCellAnchor>
    <xdr:from>
      <xdr:col>1</xdr:col>
      <xdr:colOff>729835</xdr:colOff>
      <xdr:row>19</xdr:row>
      <xdr:rowOff>135324</xdr:rowOff>
    </xdr:from>
    <xdr:to>
      <xdr:col>2</xdr:col>
      <xdr:colOff>235765</xdr:colOff>
      <xdr:row>21</xdr:row>
      <xdr:rowOff>27390</xdr:rowOff>
    </xdr:to>
    <xdr:sp macro="" textlink="'Variable Management'!B239">
      <xdr:nvSpPr>
        <xdr:cNvPr id="70" name="Text Box 281">
          <a:extLst>
            <a:ext uri="{FF2B5EF4-FFF2-40B4-BE49-F238E27FC236}">
              <a16:creationId xmlns:a16="http://schemas.microsoft.com/office/drawing/2014/main" id="{00000000-0008-0000-0100-000046000000}"/>
            </a:ext>
          </a:extLst>
        </xdr:cNvPr>
        <xdr:cNvSpPr txBox="1">
          <a:spLocks noChangeArrowheads="1" noTextEdit="1"/>
        </xdr:cNvSpPr>
      </xdr:nvSpPr>
      <xdr:spPr bwMode="auto">
        <a:xfrm>
          <a:off x="1309618" y="3282715"/>
          <a:ext cx="532973" cy="223371"/>
        </a:xfrm>
        <a:prstGeom prst="rect">
          <a:avLst/>
        </a:prstGeom>
        <a:noFill/>
        <a:ln w="9525">
          <a:noFill/>
          <a:miter lim="800000"/>
          <a:headEnd/>
          <a:tailEnd/>
        </a:ln>
      </xdr:spPr>
      <xdr:txBody>
        <a:bodyPr vertOverflow="clip" wrap="square" lIns="27432" tIns="22860" rIns="0" bIns="0" anchor="t" upright="1"/>
        <a:lstStyle/>
        <a:p>
          <a:pPr algn="r" rtl="0">
            <a:defRPr sz="1000"/>
          </a:pPr>
          <a:fld id="{84EB9262-B954-486D-9975-AAB24967BDAC}" type="TxLink">
            <a:rPr lang="en-US" sz="1000" b="0" i="0" u="none" strike="noStrike">
              <a:solidFill>
                <a:srgbClr val="000000"/>
              </a:solidFill>
              <a:latin typeface="Arial" pitchFamily="34" charset="0"/>
              <a:cs typeface="Arial" pitchFamily="34" charset="0"/>
            </a:rPr>
            <a:pPr algn="r" rtl="0">
              <a:defRPr sz="1000"/>
            </a:pPr>
            <a:t>12.7kΩ</a:t>
          </a:fld>
          <a:endParaRPr lang="en-US" sz="1000" b="0" i="0" strike="noStrike">
            <a:solidFill>
              <a:srgbClr val="000000"/>
            </a:solidFill>
            <a:latin typeface="Arial" pitchFamily="34" charset="0"/>
            <a:cs typeface="Arial" pitchFamily="34" charset="0"/>
          </a:endParaRPr>
        </a:p>
      </xdr:txBody>
    </xdr:sp>
    <xdr:clientData/>
  </xdr:twoCellAnchor>
  <xdr:twoCellAnchor>
    <xdr:from>
      <xdr:col>5</xdr:col>
      <xdr:colOff>805120</xdr:colOff>
      <xdr:row>6</xdr:row>
      <xdr:rowOff>136955</xdr:rowOff>
    </xdr:from>
    <xdr:to>
      <xdr:col>5</xdr:col>
      <xdr:colOff>1192234</xdr:colOff>
      <xdr:row>8</xdr:row>
      <xdr:rowOff>28473</xdr:rowOff>
    </xdr:to>
    <xdr:sp macro="" textlink="">
      <xdr:nvSpPr>
        <xdr:cNvPr id="71" name="Text Box 247">
          <a:extLst>
            <a:ext uri="{FF2B5EF4-FFF2-40B4-BE49-F238E27FC236}">
              <a16:creationId xmlns:a16="http://schemas.microsoft.com/office/drawing/2014/main" id="{00000000-0008-0000-0100-000047000000}"/>
            </a:ext>
          </a:extLst>
        </xdr:cNvPr>
        <xdr:cNvSpPr txBox="1">
          <a:spLocks noChangeArrowheads="1"/>
        </xdr:cNvSpPr>
      </xdr:nvSpPr>
      <xdr:spPr bwMode="auto">
        <a:xfrm>
          <a:off x="5948620" y="1108505"/>
          <a:ext cx="387114" cy="215368"/>
        </a:xfrm>
        <a:prstGeom prst="rect">
          <a:avLst/>
        </a:prstGeom>
        <a:noFill/>
        <a:ln w="9525">
          <a:noFill/>
          <a:miter lim="800000"/>
          <a:headEnd/>
          <a:tailEnd/>
        </a:ln>
      </xdr:spPr>
      <xdr:txBody>
        <a:bodyPr vertOverflow="clip" wrap="square" lIns="27432" tIns="27432" rIns="0" bIns="0" anchor="ctr" upright="1"/>
        <a:lstStyle/>
        <a:p>
          <a:pPr algn="ctr" rtl="0">
            <a:defRPr sz="1000"/>
          </a:pPr>
          <a:r>
            <a:rPr lang="en-US" sz="1000" b="0" i="0" strike="noStrike">
              <a:solidFill>
                <a:srgbClr val="000000"/>
              </a:solidFill>
              <a:latin typeface="Arial" pitchFamily="34" charset="0"/>
              <a:cs typeface="Arial" pitchFamily="34" charset="0"/>
            </a:rPr>
            <a:t>C</a:t>
          </a:r>
          <a:r>
            <a:rPr lang="en-US" sz="1000" b="0" i="0" strike="noStrike" baseline="-25000">
              <a:solidFill>
                <a:srgbClr val="000000"/>
              </a:solidFill>
              <a:latin typeface="Arial" pitchFamily="34" charset="0"/>
              <a:cs typeface="Arial" pitchFamily="34" charset="0"/>
            </a:rPr>
            <a:t>BOOT</a:t>
          </a:r>
        </a:p>
      </xdr:txBody>
    </xdr:sp>
    <xdr:clientData/>
  </xdr:twoCellAnchor>
  <xdr:twoCellAnchor>
    <xdr:from>
      <xdr:col>4</xdr:col>
      <xdr:colOff>53388</xdr:colOff>
      <xdr:row>28</xdr:row>
      <xdr:rowOff>140237</xdr:rowOff>
    </xdr:from>
    <xdr:to>
      <xdr:col>4</xdr:col>
      <xdr:colOff>434916</xdr:colOff>
      <xdr:row>30</xdr:row>
      <xdr:rowOff>43280</xdr:rowOff>
    </xdr:to>
    <xdr:sp macro="" textlink="">
      <xdr:nvSpPr>
        <xdr:cNvPr id="72" name="Text Box 251">
          <a:extLst>
            <a:ext uri="{FF2B5EF4-FFF2-40B4-BE49-F238E27FC236}">
              <a16:creationId xmlns:a16="http://schemas.microsoft.com/office/drawing/2014/main" id="{00000000-0008-0000-0100-000048000000}"/>
            </a:ext>
          </a:extLst>
        </xdr:cNvPr>
        <xdr:cNvSpPr txBox="1">
          <a:spLocks noChangeArrowheads="1"/>
        </xdr:cNvSpPr>
      </xdr:nvSpPr>
      <xdr:spPr bwMode="auto">
        <a:xfrm>
          <a:off x="4089607" y="4801534"/>
          <a:ext cx="381528" cy="224512"/>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000" b="0" i="0" strike="noStrike">
              <a:solidFill>
                <a:srgbClr val="000000"/>
              </a:solidFill>
              <a:latin typeface="Arial" pitchFamily="34" charset="0"/>
              <a:cs typeface="Arial" pitchFamily="34" charset="0"/>
            </a:rPr>
            <a:t>R</a:t>
          </a:r>
          <a:r>
            <a:rPr lang="en-US" sz="1000" b="0" i="0" strike="noStrike" baseline="-25000">
              <a:solidFill>
                <a:srgbClr val="000000"/>
              </a:solidFill>
              <a:latin typeface="Arial" pitchFamily="34" charset="0"/>
              <a:cs typeface="Arial" pitchFamily="34" charset="0"/>
            </a:rPr>
            <a:t>OTP</a:t>
          </a:r>
        </a:p>
      </xdr:txBody>
    </xdr:sp>
    <xdr:clientData/>
  </xdr:twoCellAnchor>
  <xdr:twoCellAnchor>
    <xdr:from>
      <xdr:col>3</xdr:col>
      <xdr:colOff>497896</xdr:colOff>
      <xdr:row>29</xdr:row>
      <xdr:rowOff>54430</xdr:rowOff>
    </xdr:from>
    <xdr:to>
      <xdr:col>3</xdr:col>
      <xdr:colOff>862454</xdr:colOff>
      <xdr:row>30</xdr:row>
      <xdr:rowOff>78554</xdr:rowOff>
    </xdr:to>
    <xdr:sp macro="" textlink="">
      <xdr:nvSpPr>
        <xdr:cNvPr id="73" name="Text Box 251">
          <a:extLst>
            <a:ext uri="{FF2B5EF4-FFF2-40B4-BE49-F238E27FC236}">
              <a16:creationId xmlns:a16="http://schemas.microsoft.com/office/drawing/2014/main" id="{00000000-0008-0000-0100-000049000000}"/>
            </a:ext>
          </a:extLst>
        </xdr:cNvPr>
        <xdr:cNvSpPr txBox="1">
          <a:spLocks noChangeArrowheads="1"/>
        </xdr:cNvSpPr>
      </xdr:nvSpPr>
      <xdr:spPr bwMode="auto">
        <a:xfrm>
          <a:off x="3179550" y="4729007"/>
          <a:ext cx="364558" cy="185316"/>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000" b="0" i="0" strike="noStrike">
              <a:solidFill>
                <a:srgbClr val="000000"/>
              </a:solidFill>
              <a:latin typeface="Arial" pitchFamily="34" charset="0"/>
              <a:cs typeface="Arial" pitchFamily="34" charset="0"/>
            </a:rPr>
            <a:t>C</a:t>
          </a:r>
          <a:r>
            <a:rPr lang="en-US" sz="1000" b="0" i="0" strike="noStrike" baseline="-25000">
              <a:solidFill>
                <a:srgbClr val="000000"/>
              </a:solidFill>
              <a:latin typeface="Arial" pitchFamily="34" charset="0"/>
              <a:cs typeface="Arial" pitchFamily="34" charset="0"/>
            </a:rPr>
            <a:t>OTP</a:t>
          </a:r>
        </a:p>
      </xdr:txBody>
    </xdr:sp>
    <xdr:clientData/>
  </xdr:twoCellAnchor>
  <xdr:twoCellAnchor>
    <xdr:from>
      <xdr:col>3</xdr:col>
      <xdr:colOff>485401</xdr:colOff>
      <xdr:row>30</xdr:row>
      <xdr:rowOff>101202</xdr:rowOff>
    </xdr:from>
    <xdr:to>
      <xdr:col>3</xdr:col>
      <xdr:colOff>879563</xdr:colOff>
      <xdr:row>31</xdr:row>
      <xdr:rowOff>146957</xdr:rowOff>
    </xdr:to>
    <xdr:sp macro="" textlink="">
      <xdr:nvSpPr>
        <xdr:cNvPr id="74" name="Text Box 279">
          <a:extLst>
            <a:ext uri="{FF2B5EF4-FFF2-40B4-BE49-F238E27FC236}">
              <a16:creationId xmlns:a16="http://schemas.microsoft.com/office/drawing/2014/main" id="{00000000-0008-0000-0100-00004A000000}"/>
            </a:ext>
          </a:extLst>
        </xdr:cNvPr>
        <xdr:cNvSpPr txBox="1">
          <a:spLocks noChangeArrowheads="1"/>
        </xdr:cNvSpPr>
      </xdr:nvSpPr>
      <xdr:spPr bwMode="auto">
        <a:xfrm>
          <a:off x="3174172" y="5163059"/>
          <a:ext cx="394162" cy="209041"/>
        </a:xfrm>
        <a:prstGeom prst="rect">
          <a:avLst/>
        </a:prstGeom>
        <a:noFill/>
        <a:ln w="9525">
          <a:noFill/>
          <a:miter lim="800000"/>
          <a:headEnd/>
          <a:tailEnd/>
        </a:ln>
      </xdr:spPr>
      <xdr:txBody>
        <a:bodyPr vertOverflow="clip" wrap="square" lIns="27432" tIns="27432"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a:latin typeface="Arial" pitchFamily="34" charset="0"/>
              <a:ea typeface="+mn-ea"/>
              <a:cs typeface="Arial" pitchFamily="34" charset="0"/>
            </a:rPr>
            <a:t>0.1</a:t>
          </a:r>
          <a:r>
            <a:rPr lang="el-GR" sz="1000" b="0" i="0">
              <a:latin typeface="Arial" pitchFamily="34" charset="0"/>
              <a:ea typeface="+mn-ea"/>
              <a:cs typeface="Arial" pitchFamily="34" charset="0"/>
            </a:rPr>
            <a:t>μ</a:t>
          </a:r>
          <a:r>
            <a:rPr lang="en-US" sz="1000" b="0" i="0">
              <a:latin typeface="Arial" pitchFamily="34" charset="0"/>
              <a:ea typeface="+mn-ea"/>
              <a:cs typeface="Arial" pitchFamily="34" charset="0"/>
            </a:rPr>
            <a:t>F</a:t>
          </a:r>
          <a:endParaRPr lang="en-US" sz="1000">
            <a:latin typeface="Arial" pitchFamily="34" charset="0"/>
            <a:ea typeface="+mn-ea"/>
            <a:cs typeface="Arial" pitchFamily="34" charset="0"/>
          </a:endParaRPr>
        </a:p>
      </xdr:txBody>
    </xdr:sp>
    <xdr:clientData/>
  </xdr:twoCellAnchor>
  <xdr:twoCellAnchor>
    <xdr:from>
      <xdr:col>4</xdr:col>
      <xdr:colOff>53299</xdr:colOff>
      <xdr:row>30</xdr:row>
      <xdr:rowOff>9649</xdr:rowOff>
    </xdr:from>
    <xdr:to>
      <xdr:col>4</xdr:col>
      <xdr:colOff>654442</xdr:colOff>
      <xdr:row>31</xdr:row>
      <xdr:rowOff>104753</xdr:rowOff>
    </xdr:to>
    <xdr:sp macro="" textlink="'Variable Management'!B237">
      <xdr:nvSpPr>
        <xdr:cNvPr id="75" name="Text Box 281">
          <a:extLst>
            <a:ext uri="{FF2B5EF4-FFF2-40B4-BE49-F238E27FC236}">
              <a16:creationId xmlns:a16="http://schemas.microsoft.com/office/drawing/2014/main" id="{00000000-0008-0000-0100-00004B000000}"/>
            </a:ext>
          </a:extLst>
        </xdr:cNvPr>
        <xdr:cNvSpPr txBox="1">
          <a:spLocks noChangeArrowheads="1" noTextEdit="1"/>
        </xdr:cNvSpPr>
      </xdr:nvSpPr>
      <xdr:spPr bwMode="auto">
        <a:xfrm>
          <a:off x="4089518" y="4992415"/>
          <a:ext cx="601143" cy="255838"/>
        </a:xfrm>
        <a:prstGeom prst="rect">
          <a:avLst/>
        </a:prstGeom>
        <a:noFill/>
        <a:ln w="9525">
          <a:noFill/>
          <a:miter lim="800000"/>
          <a:headEnd/>
          <a:tailEnd/>
        </a:ln>
      </xdr:spPr>
      <xdr:txBody>
        <a:bodyPr vertOverflow="clip" wrap="square" lIns="27432" tIns="22860" rIns="0" bIns="0" anchor="ctr" upright="1"/>
        <a:lstStyle/>
        <a:p>
          <a:pPr algn="l" rtl="0">
            <a:defRPr sz="1000"/>
          </a:pPr>
          <a:fld id="{651F8184-BCDA-406A-B79A-4CA7A753E403}" type="TxLink">
            <a:rPr lang="en-US" sz="1000" b="0" i="0" u="none" strike="noStrike">
              <a:solidFill>
                <a:srgbClr val="000000"/>
              </a:solidFill>
              <a:latin typeface="Arial" pitchFamily="34" charset="0"/>
              <a:cs typeface="Arial" pitchFamily="34" charset="0"/>
            </a:rPr>
            <a:pPr algn="l" rtl="0">
              <a:defRPr sz="1000"/>
            </a:pPr>
            <a:t>84.5kΩ</a:t>
          </a:fld>
          <a:endParaRPr lang="en-US" sz="1000" b="0" i="0" strike="noStrike">
            <a:solidFill>
              <a:srgbClr val="000000"/>
            </a:solidFill>
            <a:latin typeface="Arial" pitchFamily="34" charset="0"/>
            <a:cs typeface="Arial" pitchFamily="34" charset="0"/>
          </a:endParaRPr>
        </a:p>
      </xdr:txBody>
    </xdr:sp>
    <xdr:clientData/>
  </xdr:twoCellAnchor>
  <xdr:twoCellAnchor>
    <xdr:from>
      <xdr:col>7</xdr:col>
      <xdr:colOff>415191</xdr:colOff>
      <xdr:row>4</xdr:row>
      <xdr:rowOff>65121</xdr:rowOff>
    </xdr:from>
    <xdr:to>
      <xdr:col>7</xdr:col>
      <xdr:colOff>1005326</xdr:colOff>
      <xdr:row>5</xdr:row>
      <xdr:rowOff>105564</xdr:rowOff>
    </xdr:to>
    <xdr:sp macro="" textlink="'Variable Management'!B235">
      <xdr:nvSpPr>
        <xdr:cNvPr id="76" name="Text Box 270">
          <a:extLst>
            <a:ext uri="{FF2B5EF4-FFF2-40B4-BE49-F238E27FC236}">
              <a16:creationId xmlns:a16="http://schemas.microsoft.com/office/drawing/2014/main" id="{00000000-0008-0000-0100-00004C000000}"/>
            </a:ext>
          </a:extLst>
        </xdr:cNvPr>
        <xdr:cNvSpPr txBox="1">
          <a:spLocks noChangeArrowheads="1" noTextEdit="1"/>
        </xdr:cNvSpPr>
      </xdr:nvSpPr>
      <xdr:spPr bwMode="auto">
        <a:xfrm>
          <a:off x="7577991" y="712821"/>
          <a:ext cx="590135" cy="202368"/>
        </a:xfrm>
        <a:prstGeom prst="rect">
          <a:avLst/>
        </a:prstGeom>
        <a:noFill/>
        <a:ln w="9525">
          <a:noFill/>
          <a:miter lim="800000"/>
          <a:headEnd/>
          <a:tailEnd/>
        </a:ln>
      </xdr:spPr>
      <xdr:txBody>
        <a:bodyPr vertOverflow="clip" wrap="square" lIns="27432" tIns="22860" rIns="0" bIns="0" anchor="t" upright="1"/>
        <a:lstStyle/>
        <a:p>
          <a:pPr algn="r" rtl="0">
            <a:defRPr sz="1000"/>
          </a:pPr>
          <a:fld id="{3598138F-5782-4266-A907-51E6D0258BC3}" type="TxLink">
            <a:rPr lang="en-US" sz="1000" b="0" i="0" u="none" strike="noStrike" baseline="0">
              <a:solidFill>
                <a:srgbClr val="000000"/>
              </a:solidFill>
              <a:latin typeface="Arial" pitchFamily="34" charset="0"/>
              <a:cs typeface="Arial" pitchFamily="34" charset="0"/>
            </a:rPr>
            <a:pPr algn="r" rtl="0">
              <a:defRPr sz="1000"/>
            </a:pPr>
            <a:t>1.43kΩ</a:t>
          </a:fld>
          <a:endParaRPr lang="el-GR" sz="1000" b="0" i="0" u="none" strike="noStrike" baseline="0">
            <a:solidFill>
              <a:srgbClr val="000000"/>
            </a:solidFill>
            <a:latin typeface="Arial" pitchFamily="34" charset="0"/>
            <a:cs typeface="Arial" pitchFamily="34" charset="0"/>
          </a:endParaRPr>
        </a:p>
      </xdr:txBody>
    </xdr:sp>
    <xdr:clientData/>
  </xdr:twoCellAnchor>
  <xdr:twoCellAnchor>
    <xdr:from>
      <xdr:col>2</xdr:col>
      <xdr:colOff>142697</xdr:colOff>
      <xdr:row>30</xdr:row>
      <xdr:rowOff>116846</xdr:rowOff>
    </xdr:from>
    <xdr:to>
      <xdr:col>2</xdr:col>
      <xdr:colOff>699894</xdr:colOff>
      <xdr:row>32</xdr:row>
      <xdr:rowOff>5489</xdr:rowOff>
    </xdr:to>
    <xdr:sp macro="" textlink="'Variable Management'!G77">
      <xdr:nvSpPr>
        <xdr:cNvPr id="77" name="Text Box 264">
          <a:extLst>
            <a:ext uri="{FF2B5EF4-FFF2-40B4-BE49-F238E27FC236}">
              <a16:creationId xmlns:a16="http://schemas.microsoft.com/office/drawing/2014/main" id="{00000000-0008-0000-0100-00004D000000}"/>
            </a:ext>
          </a:extLst>
        </xdr:cNvPr>
        <xdr:cNvSpPr txBox="1">
          <a:spLocks noChangeArrowheads="1" noTextEdit="1"/>
        </xdr:cNvSpPr>
      </xdr:nvSpPr>
      <xdr:spPr bwMode="auto">
        <a:xfrm>
          <a:off x="1709992" y="5052528"/>
          <a:ext cx="557197" cy="217688"/>
        </a:xfrm>
        <a:prstGeom prst="rect">
          <a:avLst/>
        </a:prstGeom>
        <a:noFill/>
        <a:ln w="9525">
          <a:noFill/>
          <a:miter lim="800000"/>
          <a:headEnd/>
          <a:tailEnd/>
        </a:ln>
      </xdr:spPr>
      <xdr:txBody>
        <a:bodyPr vertOverflow="clip" wrap="square" lIns="27432" tIns="22860" rIns="0" bIns="0" anchor="t" upright="1"/>
        <a:lstStyle/>
        <a:p>
          <a:pPr algn="r" rtl="0">
            <a:defRPr sz="1000"/>
          </a:pPr>
          <a:fld id="{123D91BC-1DE9-4CAD-9801-8A70C08E2402}" type="TxLink">
            <a:rPr lang="en-US" sz="1000" b="0" i="0" u="none" strike="noStrike" baseline="0">
              <a:solidFill>
                <a:srgbClr val="000000"/>
              </a:solidFill>
              <a:latin typeface="Arialri"/>
              <a:cs typeface="Arial" pitchFamily="34" charset="0"/>
            </a:rPr>
            <a:pPr algn="r" rtl="0">
              <a:defRPr sz="1000"/>
            </a:pPr>
            <a:t>14.7kΩ</a:t>
          </a:fld>
          <a:endParaRPr lang="el-GR" sz="1000" b="0" i="0" u="none" strike="noStrike" baseline="0">
            <a:solidFill>
              <a:srgbClr val="000000"/>
            </a:solidFill>
            <a:latin typeface="Arial" pitchFamily="34" charset="0"/>
            <a:cs typeface="Arial" pitchFamily="34" charset="0"/>
          </a:endParaRPr>
        </a:p>
      </xdr:txBody>
    </xdr:sp>
    <xdr:clientData/>
  </xdr:twoCellAnchor>
  <xdr:twoCellAnchor>
    <xdr:from>
      <xdr:col>2</xdr:col>
      <xdr:colOff>285448</xdr:colOff>
      <xdr:row>29</xdr:row>
      <xdr:rowOff>37779</xdr:rowOff>
    </xdr:from>
    <xdr:to>
      <xdr:col>2</xdr:col>
      <xdr:colOff>691159</xdr:colOff>
      <xdr:row>30</xdr:row>
      <xdr:rowOff>73975</xdr:rowOff>
    </xdr:to>
    <xdr:sp macro="" textlink="">
      <xdr:nvSpPr>
        <xdr:cNvPr id="78" name="Text Box 255">
          <a:extLst>
            <a:ext uri="{FF2B5EF4-FFF2-40B4-BE49-F238E27FC236}">
              <a16:creationId xmlns:a16="http://schemas.microsoft.com/office/drawing/2014/main" id="{00000000-0008-0000-0100-00004E000000}"/>
            </a:ext>
          </a:extLst>
        </xdr:cNvPr>
        <xdr:cNvSpPr txBox="1">
          <a:spLocks noChangeArrowheads="1"/>
        </xdr:cNvSpPr>
      </xdr:nvSpPr>
      <xdr:spPr bwMode="auto">
        <a:xfrm>
          <a:off x="1898745" y="4859810"/>
          <a:ext cx="405711" cy="196931"/>
        </a:xfrm>
        <a:prstGeom prst="rect">
          <a:avLst/>
        </a:prstGeom>
        <a:noFill/>
        <a:ln w="9525">
          <a:noFill/>
          <a:miter lim="800000"/>
          <a:headEnd/>
          <a:tailEnd/>
        </a:ln>
      </xdr:spPr>
      <xdr:txBody>
        <a:bodyPr vertOverflow="clip" wrap="square" lIns="27432" tIns="27432" rIns="0" bIns="0" anchor="t" upright="1"/>
        <a:lstStyle/>
        <a:p>
          <a:pPr algn="r" rtl="0">
            <a:defRPr sz="1000"/>
          </a:pPr>
          <a:r>
            <a:rPr lang="en-US" sz="1000" b="0" i="0" strike="noStrike">
              <a:solidFill>
                <a:srgbClr val="000000"/>
              </a:solidFill>
              <a:latin typeface="Arial" pitchFamily="34" charset="0"/>
              <a:cs typeface="Arial" pitchFamily="34" charset="0"/>
            </a:rPr>
            <a:t>R</a:t>
          </a:r>
          <a:r>
            <a:rPr lang="en-US" sz="1000" b="0" i="0" strike="noStrike" baseline="-25000">
              <a:solidFill>
                <a:srgbClr val="000000"/>
              </a:solidFill>
              <a:latin typeface="Arial" pitchFamily="34" charset="0"/>
              <a:cs typeface="Arial" pitchFamily="34" charset="0"/>
            </a:rPr>
            <a:t>UV2</a:t>
          </a:r>
        </a:p>
      </xdr:txBody>
    </xdr:sp>
    <xdr:clientData/>
  </xdr:twoCellAnchor>
  <xdr:twoCellAnchor>
    <xdr:from>
      <xdr:col>2</xdr:col>
      <xdr:colOff>135914</xdr:colOff>
      <xdr:row>26</xdr:row>
      <xdr:rowOff>68743</xdr:rowOff>
    </xdr:from>
    <xdr:to>
      <xdr:col>2</xdr:col>
      <xdr:colOff>693111</xdr:colOff>
      <xdr:row>27</xdr:row>
      <xdr:rowOff>113724</xdr:rowOff>
    </xdr:to>
    <xdr:sp macro="" textlink="'Variable Management'!G76">
      <xdr:nvSpPr>
        <xdr:cNvPr id="79" name="Text Box 264">
          <a:extLst>
            <a:ext uri="{FF2B5EF4-FFF2-40B4-BE49-F238E27FC236}">
              <a16:creationId xmlns:a16="http://schemas.microsoft.com/office/drawing/2014/main" id="{00000000-0008-0000-0100-00004F000000}"/>
            </a:ext>
          </a:extLst>
        </xdr:cNvPr>
        <xdr:cNvSpPr txBox="1">
          <a:spLocks noChangeArrowheads="1" noTextEdit="1"/>
        </xdr:cNvSpPr>
      </xdr:nvSpPr>
      <xdr:spPr bwMode="auto">
        <a:xfrm>
          <a:off x="1703209" y="4346334"/>
          <a:ext cx="557197" cy="209504"/>
        </a:xfrm>
        <a:prstGeom prst="rect">
          <a:avLst/>
        </a:prstGeom>
        <a:noFill/>
        <a:ln w="9525">
          <a:noFill/>
          <a:miter lim="800000"/>
          <a:headEnd/>
          <a:tailEnd/>
        </a:ln>
      </xdr:spPr>
      <xdr:txBody>
        <a:bodyPr vertOverflow="clip" wrap="square" lIns="27432" tIns="22860" rIns="0" bIns="0" anchor="t" upright="1"/>
        <a:lstStyle/>
        <a:p>
          <a:pPr algn="r" rtl="0">
            <a:defRPr sz="1000"/>
          </a:pPr>
          <a:fld id="{302BC79D-87FA-43D3-B7A3-AC5513B978CE}" type="TxLink">
            <a:rPr lang="en-US" sz="1000" b="0" i="0" u="none" strike="noStrike" baseline="0">
              <a:solidFill>
                <a:srgbClr val="000000"/>
              </a:solidFill>
              <a:latin typeface="Arialri"/>
              <a:cs typeface="Arial" pitchFamily="34" charset="0"/>
            </a:rPr>
            <a:pPr algn="r" rtl="0">
              <a:defRPr sz="1000"/>
            </a:pPr>
            <a:t>143kΩ</a:t>
          </a:fld>
          <a:endParaRPr lang="el-GR" sz="1000" b="0" i="0" u="none" strike="noStrike" baseline="0">
            <a:solidFill>
              <a:srgbClr val="000000"/>
            </a:solidFill>
            <a:latin typeface="Arial" pitchFamily="34" charset="0"/>
            <a:cs typeface="Arial" pitchFamily="34" charset="0"/>
          </a:endParaRPr>
        </a:p>
      </xdr:txBody>
    </xdr:sp>
    <xdr:clientData/>
  </xdr:twoCellAnchor>
  <xdr:twoCellAnchor>
    <xdr:from>
      <xdr:col>2</xdr:col>
      <xdr:colOff>333075</xdr:colOff>
      <xdr:row>25</xdr:row>
      <xdr:rowOff>1921</xdr:rowOff>
    </xdr:from>
    <xdr:to>
      <xdr:col>2</xdr:col>
      <xdr:colOff>738786</xdr:colOff>
      <xdr:row>26</xdr:row>
      <xdr:rowOff>38117</xdr:rowOff>
    </xdr:to>
    <xdr:sp macro="" textlink="">
      <xdr:nvSpPr>
        <xdr:cNvPr id="80" name="Text Box 255">
          <a:extLst>
            <a:ext uri="{FF2B5EF4-FFF2-40B4-BE49-F238E27FC236}">
              <a16:creationId xmlns:a16="http://schemas.microsoft.com/office/drawing/2014/main" id="{00000000-0008-0000-0100-000050000000}"/>
            </a:ext>
          </a:extLst>
        </xdr:cNvPr>
        <xdr:cNvSpPr txBox="1">
          <a:spLocks noChangeArrowheads="1"/>
        </xdr:cNvSpPr>
      </xdr:nvSpPr>
      <xdr:spPr bwMode="auto">
        <a:xfrm>
          <a:off x="1937671" y="4031729"/>
          <a:ext cx="405711" cy="197388"/>
        </a:xfrm>
        <a:prstGeom prst="rect">
          <a:avLst/>
        </a:prstGeom>
        <a:noFill/>
        <a:ln w="9525">
          <a:noFill/>
          <a:miter lim="800000"/>
          <a:headEnd/>
          <a:tailEnd/>
        </a:ln>
      </xdr:spPr>
      <xdr:txBody>
        <a:bodyPr vertOverflow="clip" wrap="square" lIns="27432" tIns="27432" rIns="0" bIns="0" anchor="t" upright="1"/>
        <a:lstStyle/>
        <a:p>
          <a:pPr algn="ctr" rtl="0">
            <a:defRPr sz="1000"/>
          </a:pPr>
          <a:r>
            <a:rPr lang="en-US" sz="1000" b="0" i="0" strike="noStrike">
              <a:solidFill>
                <a:srgbClr val="000000"/>
              </a:solidFill>
              <a:latin typeface="Arial" pitchFamily="34" charset="0"/>
              <a:cs typeface="Arial" pitchFamily="34" charset="0"/>
            </a:rPr>
            <a:t>R</a:t>
          </a:r>
          <a:r>
            <a:rPr lang="en-US" sz="1000" b="0" i="0" strike="noStrike" baseline="-25000">
              <a:solidFill>
                <a:srgbClr val="000000"/>
              </a:solidFill>
              <a:latin typeface="Arial" pitchFamily="34" charset="0"/>
              <a:cs typeface="Arial" pitchFamily="34" charset="0"/>
            </a:rPr>
            <a:t>UV1</a:t>
          </a:r>
        </a:p>
      </xdr:txBody>
    </xdr:sp>
    <xdr:clientData/>
  </xdr:twoCellAnchor>
  <xdr:twoCellAnchor>
    <xdr:from>
      <xdr:col>7</xdr:col>
      <xdr:colOff>263231</xdr:colOff>
      <xdr:row>13</xdr:row>
      <xdr:rowOff>135367</xdr:rowOff>
    </xdr:from>
    <xdr:to>
      <xdr:col>7</xdr:col>
      <xdr:colOff>774128</xdr:colOff>
      <xdr:row>15</xdr:row>
      <xdr:rowOff>45903</xdr:rowOff>
    </xdr:to>
    <xdr:sp macro="" textlink="'Variable Management'!B213">
      <xdr:nvSpPr>
        <xdr:cNvPr id="81" name="Text Box 275">
          <a:extLst>
            <a:ext uri="{FF2B5EF4-FFF2-40B4-BE49-F238E27FC236}">
              <a16:creationId xmlns:a16="http://schemas.microsoft.com/office/drawing/2014/main" id="{00000000-0008-0000-0100-000051000000}"/>
            </a:ext>
          </a:extLst>
        </xdr:cNvPr>
        <xdr:cNvSpPr txBox="1">
          <a:spLocks noChangeArrowheads="1" noTextEdit="1"/>
        </xdr:cNvSpPr>
      </xdr:nvSpPr>
      <xdr:spPr bwMode="auto">
        <a:xfrm>
          <a:off x="7527079" y="2288845"/>
          <a:ext cx="510897" cy="241841"/>
        </a:xfrm>
        <a:prstGeom prst="rect">
          <a:avLst/>
        </a:prstGeom>
        <a:noFill/>
        <a:ln w="9525">
          <a:noFill/>
          <a:miter lim="800000"/>
          <a:headEnd/>
          <a:tailEnd/>
        </a:ln>
      </xdr:spPr>
      <xdr:txBody>
        <a:bodyPr vertOverflow="clip" wrap="square" lIns="27432" tIns="22860" rIns="0" bIns="0" anchor="ctr" upright="1"/>
        <a:lstStyle/>
        <a:p>
          <a:pPr algn="l" rtl="0">
            <a:defRPr sz="1000"/>
          </a:pPr>
          <a:fld id="{952677B8-8C18-463F-B0C9-D2099A1EBA1B}" type="TxLink">
            <a:rPr lang="en-US" sz="1000" b="0" i="0" u="none" strike="noStrike" baseline="0">
              <a:solidFill>
                <a:srgbClr val="000000"/>
              </a:solidFill>
              <a:latin typeface="Arialri"/>
              <a:cs typeface="Arial" pitchFamily="34" charset="0"/>
            </a:rPr>
            <a:pPr algn="l" rtl="0">
              <a:defRPr sz="1000"/>
            </a:pPr>
            <a:t>0.32mΩ</a:t>
          </a:fld>
          <a:endParaRPr lang="en-US" sz="1000" b="0" i="0" u="none" strike="noStrike" baseline="0">
            <a:solidFill>
              <a:srgbClr val="000000"/>
            </a:solidFill>
            <a:latin typeface="Arial" pitchFamily="34" charset="0"/>
            <a:cs typeface="Arial" pitchFamily="34" charset="0"/>
          </a:endParaRPr>
        </a:p>
      </xdr:txBody>
    </xdr:sp>
    <xdr:clientData/>
  </xdr:twoCellAnchor>
  <xdr:twoCellAnchor>
    <xdr:from>
      <xdr:col>4</xdr:col>
      <xdr:colOff>1049037</xdr:colOff>
      <xdr:row>25</xdr:row>
      <xdr:rowOff>26578</xdr:rowOff>
    </xdr:from>
    <xdr:to>
      <xdr:col>5</xdr:col>
      <xdr:colOff>378146</xdr:colOff>
      <xdr:row>26</xdr:row>
      <xdr:rowOff>85570</xdr:rowOff>
    </xdr:to>
    <xdr:sp macro="" textlink="">
      <xdr:nvSpPr>
        <xdr:cNvPr id="82" name="Text Box 245">
          <a:extLst>
            <a:ext uri="{FF2B5EF4-FFF2-40B4-BE49-F238E27FC236}">
              <a16:creationId xmlns:a16="http://schemas.microsoft.com/office/drawing/2014/main" id="{00000000-0008-0000-0100-000052000000}"/>
            </a:ext>
          </a:extLst>
        </xdr:cNvPr>
        <xdr:cNvSpPr txBox="1">
          <a:spLocks noChangeArrowheads="1"/>
        </xdr:cNvSpPr>
      </xdr:nvSpPr>
      <xdr:spPr bwMode="auto">
        <a:xfrm>
          <a:off x="5071518" y="4056386"/>
          <a:ext cx="479436" cy="220184"/>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000" b="0" i="0" strike="noStrike">
              <a:solidFill>
                <a:srgbClr val="000000"/>
              </a:solidFill>
              <a:latin typeface="Arial" pitchFamily="34" charset="0"/>
              <a:cs typeface="Arial" pitchFamily="34" charset="0"/>
            </a:rPr>
            <a:t>R</a:t>
          </a:r>
          <a:r>
            <a:rPr lang="en-US" sz="1000" b="0" i="0" strike="noStrike" baseline="-25000">
              <a:solidFill>
                <a:srgbClr val="000000"/>
              </a:solidFill>
              <a:latin typeface="Arial" pitchFamily="34" charset="0"/>
              <a:cs typeface="Arial" pitchFamily="34" charset="0"/>
            </a:rPr>
            <a:t>PGOOD</a:t>
          </a:r>
        </a:p>
      </xdr:txBody>
    </xdr:sp>
    <xdr:clientData/>
  </xdr:twoCellAnchor>
  <xdr:twoCellAnchor>
    <xdr:from>
      <xdr:col>4</xdr:col>
      <xdr:colOff>1125916</xdr:colOff>
      <xdr:row>26</xdr:row>
      <xdr:rowOff>39441</xdr:rowOff>
    </xdr:from>
    <xdr:to>
      <xdr:col>5</xdr:col>
      <xdr:colOff>575777</xdr:colOff>
      <xdr:row>27</xdr:row>
      <xdr:rowOff>113984</xdr:rowOff>
    </xdr:to>
    <xdr:sp macro="" textlink="'Variable Management'!B238">
      <xdr:nvSpPr>
        <xdr:cNvPr id="83" name="Text Box 281">
          <a:extLst>
            <a:ext uri="{FF2B5EF4-FFF2-40B4-BE49-F238E27FC236}">
              <a16:creationId xmlns:a16="http://schemas.microsoft.com/office/drawing/2014/main" id="{00000000-0008-0000-0100-000053000000}"/>
            </a:ext>
          </a:extLst>
        </xdr:cNvPr>
        <xdr:cNvSpPr txBox="1">
          <a:spLocks noChangeArrowheads="1" noTextEdit="1"/>
        </xdr:cNvSpPr>
      </xdr:nvSpPr>
      <xdr:spPr bwMode="auto">
        <a:xfrm>
          <a:off x="5148397" y="4230441"/>
          <a:ext cx="600188" cy="235735"/>
        </a:xfrm>
        <a:prstGeom prst="rect">
          <a:avLst/>
        </a:prstGeom>
        <a:noFill/>
        <a:ln w="9525">
          <a:noFill/>
          <a:miter lim="800000"/>
          <a:headEnd/>
          <a:tailEnd/>
        </a:ln>
      </xdr:spPr>
      <xdr:txBody>
        <a:bodyPr vertOverflow="clip" wrap="square" lIns="27432" tIns="22860" rIns="0" bIns="0" anchor="ctr" upright="1"/>
        <a:lstStyle/>
        <a:p>
          <a:pPr algn="l" rtl="0">
            <a:defRPr sz="1000"/>
          </a:pPr>
          <a:fld id="{89760BEF-9E88-4172-89E5-A2E0AD0D10FF}" type="TxLink">
            <a:rPr lang="en-US" sz="1000" b="0" i="0" u="none" strike="noStrike">
              <a:solidFill>
                <a:srgbClr val="000000"/>
              </a:solidFill>
              <a:latin typeface="Arialri"/>
              <a:cs typeface="Arial" pitchFamily="34" charset="0"/>
            </a:rPr>
            <a:pPr algn="l" rtl="0">
              <a:defRPr sz="1000"/>
            </a:pPr>
            <a:t>20kΩ</a:t>
          </a:fld>
          <a:endParaRPr lang="en-US" sz="1000" b="0" i="0" strike="noStrike">
            <a:solidFill>
              <a:srgbClr val="000000"/>
            </a:solidFill>
            <a:latin typeface="Arial" pitchFamily="34" charset="0"/>
            <a:cs typeface="Arial" pitchFamily="34" charset="0"/>
          </a:endParaRPr>
        </a:p>
      </xdr:txBody>
    </xdr:sp>
    <xdr:clientData/>
  </xdr:twoCellAnchor>
  <xdr:twoCellAnchor>
    <xdr:from>
      <xdr:col>3</xdr:col>
      <xdr:colOff>1134671</xdr:colOff>
      <xdr:row>25</xdr:row>
      <xdr:rowOff>37923</xdr:rowOff>
    </xdr:from>
    <xdr:to>
      <xdr:col>4</xdr:col>
      <xdr:colOff>153823</xdr:colOff>
      <xdr:row>26</xdr:row>
      <xdr:rowOff>106619</xdr:rowOff>
    </xdr:to>
    <xdr:sp macro="" textlink="">
      <xdr:nvSpPr>
        <xdr:cNvPr id="84" name="Text Box 251">
          <a:extLst>
            <a:ext uri="{FF2B5EF4-FFF2-40B4-BE49-F238E27FC236}">
              <a16:creationId xmlns:a16="http://schemas.microsoft.com/office/drawing/2014/main" id="{00000000-0008-0000-0100-000054000000}"/>
            </a:ext>
          </a:extLst>
        </xdr:cNvPr>
        <xdr:cNvSpPr txBox="1">
          <a:spLocks noChangeArrowheads="1"/>
        </xdr:cNvSpPr>
      </xdr:nvSpPr>
      <xdr:spPr bwMode="auto">
        <a:xfrm>
          <a:off x="3825484" y="4217017"/>
          <a:ext cx="364558" cy="229430"/>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000" b="0" i="0" strike="noStrike">
              <a:solidFill>
                <a:srgbClr val="000000"/>
              </a:solidFill>
              <a:latin typeface="Arial" pitchFamily="34" charset="0"/>
              <a:cs typeface="Arial" pitchFamily="34" charset="0"/>
            </a:rPr>
            <a:t>C</a:t>
          </a:r>
          <a:r>
            <a:rPr lang="en-US" sz="1000" b="0" i="0" strike="noStrike" baseline="-25000">
              <a:solidFill>
                <a:srgbClr val="000000"/>
              </a:solidFill>
              <a:latin typeface="Arial" pitchFamily="34" charset="0"/>
              <a:cs typeface="Arial" pitchFamily="34" charset="0"/>
            </a:rPr>
            <a:t>D</a:t>
          </a:r>
        </a:p>
      </xdr:txBody>
    </xdr:sp>
    <xdr:clientData/>
  </xdr:twoCellAnchor>
  <xdr:twoCellAnchor>
    <xdr:from>
      <xdr:col>1</xdr:col>
      <xdr:colOff>669471</xdr:colOff>
      <xdr:row>12</xdr:row>
      <xdr:rowOff>49325</xdr:rowOff>
    </xdr:from>
    <xdr:to>
      <xdr:col>2</xdr:col>
      <xdr:colOff>20320</xdr:colOff>
      <xdr:row>13</xdr:row>
      <xdr:rowOff>88820</xdr:rowOff>
    </xdr:to>
    <xdr:sp macro="" textlink="'Variable Management'!B224">
      <xdr:nvSpPr>
        <xdr:cNvPr id="85" name="Text Box 268">
          <a:extLst>
            <a:ext uri="{FF2B5EF4-FFF2-40B4-BE49-F238E27FC236}">
              <a16:creationId xmlns:a16="http://schemas.microsoft.com/office/drawing/2014/main" id="{00000000-0008-0000-0100-000055000000}"/>
            </a:ext>
          </a:extLst>
        </xdr:cNvPr>
        <xdr:cNvSpPr txBox="1">
          <a:spLocks noChangeArrowheads="1" noTextEdit="1"/>
        </xdr:cNvSpPr>
      </xdr:nvSpPr>
      <xdr:spPr bwMode="auto">
        <a:xfrm>
          <a:off x="1251857" y="2172039"/>
          <a:ext cx="379549" cy="202781"/>
        </a:xfrm>
        <a:prstGeom prst="rect">
          <a:avLst/>
        </a:prstGeom>
        <a:noFill/>
        <a:ln w="9525">
          <a:noFill/>
          <a:miter lim="800000"/>
          <a:headEnd/>
          <a:tailEnd/>
        </a:ln>
      </xdr:spPr>
      <xdr:txBody>
        <a:bodyPr vertOverflow="clip" wrap="square" lIns="27432" tIns="22860" rIns="0" bIns="0" anchor="ctr" upright="1"/>
        <a:lstStyle/>
        <a:p>
          <a:pPr algn="ctr" rtl="0">
            <a:defRPr sz="1000"/>
          </a:pPr>
          <a:fld id="{4B33C4C3-0115-4071-92DE-EA7C9B86DB41}" type="TxLink">
            <a:rPr lang="en-US" sz="1000" b="0" i="0" u="none" strike="noStrike">
              <a:solidFill>
                <a:srgbClr val="000000"/>
              </a:solidFill>
              <a:latin typeface="Arialri"/>
              <a:cs typeface="Arial" pitchFamily="34" charset="0"/>
            </a:rPr>
            <a:pPr algn="ctr" rtl="0">
              <a:defRPr sz="1000"/>
            </a:pPr>
            <a:t>30.1kΩ</a:t>
          </a:fld>
          <a:endParaRPr lang="el-GR" sz="1000" b="0" i="0" strike="noStrike">
            <a:solidFill>
              <a:srgbClr val="000000"/>
            </a:solidFill>
            <a:latin typeface="Arial" pitchFamily="34" charset="0"/>
            <a:cs typeface="Arial" pitchFamily="34" charset="0"/>
          </a:endParaRPr>
        </a:p>
      </xdr:txBody>
    </xdr:sp>
    <xdr:clientData/>
  </xdr:twoCellAnchor>
  <xdr:twoCellAnchor>
    <xdr:from>
      <xdr:col>3</xdr:col>
      <xdr:colOff>1079122</xdr:colOff>
      <xdr:row>26</xdr:row>
      <xdr:rowOff>56538</xdr:rowOff>
    </xdr:from>
    <xdr:to>
      <xdr:col>4</xdr:col>
      <xdr:colOff>193293</xdr:colOff>
      <xdr:row>27</xdr:row>
      <xdr:rowOff>93762</xdr:rowOff>
    </xdr:to>
    <xdr:sp macro="" textlink="'Variable Management'!B241">
      <xdr:nvSpPr>
        <xdr:cNvPr id="86" name="Text Box 262">
          <a:extLst>
            <a:ext uri="{FF2B5EF4-FFF2-40B4-BE49-F238E27FC236}">
              <a16:creationId xmlns:a16="http://schemas.microsoft.com/office/drawing/2014/main" id="{00000000-0008-0000-0100-000056000000}"/>
            </a:ext>
          </a:extLst>
        </xdr:cNvPr>
        <xdr:cNvSpPr txBox="1">
          <a:spLocks noChangeArrowheads="1" noTextEdit="1"/>
        </xdr:cNvSpPr>
      </xdr:nvSpPr>
      <xdr:spPr bwMode="auto">
        <a:xfrm>
          <a:off x="3767893" y="4465252"/>
          <a:ext cx="458557" cy="200510"/>
        </a:xfrm>
        <a:prstGeom prst="rect">
          <a:avLst/>
        </a:prstGeom>
        <a:noFill/>
        <a:ln w="9525">
          <a:noFill/>
          <a:miter lim="800000"/>
          <a:headEnd/>
          <a:tailEnd/>
        </a:ln>
      </xdr:spPr>
      <xdr:txBody>
        <a:bodyPr vertOverflow="clip" wrap="square" lIns="27432" tIns="22860" rIns="0" bIns="0" anchor="t" upright="1"/>
        <a:lstStyle/>
        <a:p>
          <a:pPr algn="l" rtl="0">
            <a:defRPr sz="1000"/>
          </a:pPr>
          <a:fld id="{492BA9B9-9921-4B2E-800D-E846E5D0B031}" type="TxLink">
            <a:rPr lang="en-US" sz="1000" b="0" i="0" u="none" strike="noStrike" baseline="0">
              <a:solidFill>
                <a:srgbClr val="000000"/>
              </a:solidFill>
              <a:latin typeface="Arialri"/>
              <a:cs typeface="Arial" pitchFamily="34" charset="0"/>
            </a:rPr>
            <a:pPr algn="l" rtl="0">
              <a:defRPr sz="1000"/>
            </a:pPr>
            <a:t>1nF</a:t>
          </a:fld>
          <a:endParaRPr lang="en-US" sz="1000" b="0" i="0" u="none" strike="noStrike" baseline="0">
            <a:solidFill>
              <a:srgbClr val="000000"/>
            </a:solidFill>
            <a:latin typeface="Arial" pitchFamily="34" charset="0"/>
            <a:cs typeface="Arial" pitchFamily="34" charset="0"/>
          </a:endParaRPr>
        </a:p>
      </xdr:txBody>
    </xdr:sp>
    <xdr:clientData/>
  </xdr:twoCellAnchor>
  <xdr:twoCellAnchor>
    <xdr:from>
      <xdr:col>6</xdr:col>
      <xdr:colOff>191061</xdr:colOff>
      <xdr:row>8</xdr:row>
      <xdr:rowOff>101008</xdr:rowOff>
    </xdr:from>
    <xdr:to>
      <xdr:col>6</xdr:col>
      <xdr:colOff>378615</xdr:colOff>
      <xdr:row>9</xdr:row>
      <xdr:rowOff>155775</xdr:rowOff>
    </xdr:to>
    <xdr:sp macro="" textlink="">
      <xdr:nvSpPr>
        <xdr:cNvPr id="87" name="Text Box 234">
          <a:extLst>
            <a:ext uri="{FF2B5EF4-FFF2-40B4-BE49-F238E27FC236}">
              <a16:creationId xmlns:a16="http://schemas.microsoft.com/office/drawing/2014/main" id="{00000000-0008-0000-0100-000057000000}"/>
            </a:ext>
          </a:extLst>
        </xdr:cNvPr>
        <xdr:cNvSpPr txBox="1">
          <a:spLocks noChangeArrowheads="1"/>
        </xdr:cNvSpPr>
      </xdr:nvSpPr>
      <xdr:spPr bwMode="auto">
        <a:xfrm>
          <a:off x="6734003" y="1390546"/>
          <a:ext cx="187554" cy="215960"/>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000" b="0" i="0" strike="noStrike">
              <a:solidFill>
                <a:srgbClr val="000000"/>
              </a:solidFill>
              <a:latin typeface="Arial" pitchFamily="34" charset="0"/>
              <a:cs typeface="Arial" pitchFamily="34" charset="0"/>
            </a:rPr>
            <a:t>Q</a:t>
          </a:r>
          <a:r>
            <a:rPr lang="en-US" sz="1000" b="0" i="0" strike="noStrike" baseline="-25000">
              <a:solidFill>
                <a:srgbClr val="000000"/>
              </a:solidFill>
              <a:latin typeface="Arial" pitchFamily="34" charset="0"/>
              <a:cs typeface="Arial" pitchFamily="34" charset="0"/>
            </a:rPr>
            <a:t>1</a:t>
          </a:r>
        </a:p>
      </xdr:txBody>
    </xdr:sp>
    <xdr:clientData/>
  </xdr:twoCellAnchor>
  <xdr:twoCellAnchor>
    <xdr:from>
      <xdr:col>6</xdr:col>
      <xdr:colOff>196007</xdr:colOff>
      <xdr:row>14</xdr:row>
      <xdr:rowOff>119233</xdr:rowOff>
    </xdr:from>
    <xdr:to>
      <xdr:col>6</xdr:col>
      <xdr:colOff>383561</xdr:colOff>
      <xdr:row>16</xdr:row>
      <xdr:rowOff>12809</xdr:rowOff>
    </xdr:to>
    <xdr:sp macro="" textlink="">
      <xdr:nvSpPr>
        <xdr:cNvPr id="88" name="Text Box 234">
          <a:extLst>
            <a:ext uri="{FF2B5EF4-FFF2-40B4-BE49-F238E27FC236}">
              <a16:creationId xmlns:a16="http://schemas.microsoft.com/office/drawing/2014/main" id="{00000000-0008-0000-0100-000058000000}"/>
            </a:ext>
          </a:extLst>
        </xdr:cNvPr>
        <xdr:cNvSpPr txBox="1">
          <a:spLocks noChangeArrowheads="1"/>
        </xdr:cNvSpPr>
      </xdr:nvSpPr>
      <xdr:spPr bwMode="auto">
        <a:xfrm>
          <a:off x="6738949" y="2375925"/>
          <a:ext cx="187554" cy="215961"/>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000" b="0" i="0" strike="noStrike">
              <a:solidFill>
                <a:srgbClr val="000000"/>
              </a:solidFill>
              <a:latin typeface="Arial" pitchFamily="34" charset="0"/>
              <a:cs typeface="Arial" pitchFamily="34" charset="0"/>
            </a:rPr>
            <a:t>Q</a:t>
          </a:r>
          <a:r>
            <a:rPr lang="en-US" sz="1000" b="0" i="0" strike="noStrike" baseline="-25000">
              <a:solidFill>
                <a:srgbClr val="000000"/>
              </a:solidFill>
              <a:latin typeface="Arial" pitchFamily="34" charset="0"/>
              <a:cs typeface="Arial" pitchFamily="34" charset="0"/>
            </a:rPr>
            <a:t>2</a:t>
          </a:r>
        </a:p>
      </xdr:txBody>
    </xdr:sp>
    <xdr:clientData/>
  </xdr:twoCellAnchor>
  <xdr:twoCellAnchor>
    <xdr:from>
      <xdr:col>8</xdr:col>
      <xdr:colOff>166867</xdr:colOff>
      <xdr:row>15</xdr:row>
      <xdr:rowOff>38025</xdr:rowOff>
    </xdr:from>
    <xdr:to>
      <xdr:col>8</xdr:col>
      <xdr:colOff>571803</xdr:colOff>
      <xdr:row>16</xdr:row>
      <xdr:rowOff>110933</xdr:rowOff>
    </xdr:to>
    <xdr:sp macro="" textlink="">
      <xdr:nvSpPr>
        <xdr:cNvPr id="91" name="Text Box 248">
          <a:extLst>
            <a:ext uri="{FF2B5EF4-FFF2-40B4-BE49-F238E27FC236}">
              <a16:creationId xmlns:a16="http://schemas.microsoft.com/office/drawing/2014/main" id="{00000000-0008-0000-0100-00005B000000}"/>
            </a:ext>
          </a:extLst>
        </xdr:cNvPr>
        <xdr:cNvSpPr txBox="1">
          <a:spLocks noChangeArrowheads="1"/>
        </xdr:cNvSpPr>
      </xdr:nvSpPr>
      <xdr:spPr bwMode="auto">
        <a:xfrm>
          <a:off x="8405992" y="2466900"/>
          <a:ext cx="404936" cy="234833"/>
        </a:xfrm>
        <a:prstGeom prst="rect">
          <a:avLst/>
        </a:prstGeom>
        <a:noFill/>
        <a:ln w="9525">
          <a:noFill/>
          <a:miter lim="800000"/>
          <a:headEnd/>
          <a:tailEnd/>
        </a:ln>
      </xdr:spPr>
      <xdr:txBody>
        <a:bodyPr vertOverflow="clip" wrap="square" lIns="27432" tIns="27432" rIns="0" bIns="0" anchor="ctr" upright="1"/>
        <a:lstStyle/>
        <a:p>
          <a:pPr algn="l" rtl="0">
            <a:defRPr sz="1000"/>
          </a:pPr>
          <a:r>
            <a:rPr lang="en-US" sz="1000" b="0" i="0" strike="noStrike">
              <a:solidFill>
                <a:srgbClr val="000000"/>
              </a:solidFill>
              <a:latin typeface="Arial" pitchFamily="34" charset="0"/>
              <a:cs typeface="Arial" pitchFamily="34" charset="0"/>
            </a:rPr>
            <a:t>Q</a:t>
          </a:r>
          <a:r>
            <a:rPr lang="en-US" sz="1000" b="0" i="0" strike="noStrike" baseline="-25000">
              <a:solidFill>
                <a:srgbClr val="000000"/>
              </a:solidFill>
              <a:latin typeface="Arial" pitchFamily="34" charset="0"/>
              <a:cs typeface="Arial" pitchFamily="34" charset="0"/>
            </a:rPr>
            <a:t>T</a:t>
          </a:r>
        </a:p>
      </xdr:txBody>
    </xdr:sp>
    <xdr:clientData/>
  </xdr:twoCellAnchor>
  <xdr:twoCellAnchor>
    <xdr:from>
      <xdr:col>6</xdr:col>
      <xdr:colOff>591374</xdr:colOff>
      <xdr:row>14</xdr:row>
      <xdr:rowOff>119269</xdr:rowOff>
    </xdr:from>
    <xdr:to>
      <xdr:col>7</xdr:col>
      <xdr:colOff>349828</xdr:colOff>
      <xdr:row>16</xdr:row>
      <xdr:rowOff>8808</xdr:rowOff>
    </xdr:to>
    <xdr:sp macro="" textlink="'Variable Management'!B222">
      <xdr:nvSpPr>
        <xdr:cNvPr id="92" name="Text Box 276">
          <a:extLst>
            <a:ext uri="{FF2B5EF4-FFF2-40B4-BE49-F238E27FC236}">
              <a16:creationId xmlns:a16="http://schemas.microsoft.com/office/drawing/2014/main" id="{00000000-0008-0000-0100-00005C000000}"/>
            </a:ext>
          </a:extLst>
        </xdr:cNvPr>
        <xdr:cNvSpPr txBox="1">
          <a:spLocks noChangeArrowheads="1" noTextEdit="1"/>
        </xdr:cNvSpPr>
      </xdr:nvSpPr>
      <xdr:spPr bwMode="auto">
        <a:xfrm>
          <a:off x="7142917" y="2438399"/>
          <a:ext cx="470759" cy="220844"/>
        </a:xfrm>
        <a:prstGeom prst="rect">
          <a:avLst/>
        </a:prstGeom>
        <a:noFill/>
        <a:ln w="9525">
          <a:noFill/>
          <a:miter lim="800000"/>
          <a:headEnd/>
          <a:tailEnd/>
        </a:ln>
      </xdr:spPr>
      <xdr:txBody>
        <a:bodyPr vertOverflow="clip" wrap="square" lIns="27432" tIns="22860" rIns="0" bIns="0" anchor="ctr" upright="1"/>
        <a:lstStyle/>
        <a:p>
          <a:pPr algn="l" rtl="0">
            <a:defRPr sz="1000"/>
          </a:pPr>
          <a:fld id="{F7819C42-9D73-4A1D-B514-80CDFD54256D}" type="TxLink">
            <a:rPr lang="en-US" sz="1000" b="0" i="0" u="none" strike="noStrike" baseline="0">
              <a:solidFill>
                <a:srgbClr val="000000"/>
              </a:solidFill>
              <a:latin typeface="Arialri"/>
              <a:cs typeface="Arial" pitchFamily="34" charset="0"/>
            </a:rPr>
            <a:pPr algn="l" rtl="0">
              <a:defRPr sz="1000"/>
            </a:pPr>
            <a:t>5 x</a:t>
          </a:fld>
          <a:endParaRPr lang="en-US" sz="1000" b="0" i="0" u="none" strike="noStrike" baseline="0">
            <a:solidFill>
              <a:srgbClr val="000000"/>
            </a:solidFill>
            <a:latin typeface="Arial" pitchFamily="34" charset="0"/>
            <a:cs typeface="Arial" pitchFamily="34" charset="0"/>
          </a:endParaRPr>
        </a:p>
      </xdr:txBody>
    </xdr:sp>
    <xdr:clientData/>
  </xdr:twoCellAnchor>
  <xdr:twoCellAnchor>
    <xdr:from>
      <xdr:col>3</xdr:col>
      <xdr:colOff>133351</xdr:colOff>
      <xdr:row>4</xdr:row>
      <xdr:rowOff>64066</xdr:rowOff>
    </xdr:from>
    <xdr:to>
      <xdr:col>3</xdr:col>
      <xdr:colOff>488825</xdr:colOff>
      <xdr:row>5</xdr:row>
      <xdr:rowOff>114395</xdr:rowOff>
    </xdr:to>
    <xdr:sp macro="" textlink="">
      <xdr:nvSpPr>
        <xdr:cNvPr id="94" name="Text Box 259">
          <a:extLst>
            <a:ext uri="{FF2B5EF4-FFF2-40B4-BE49-F238E27FC236}">
              <a16:creationId xmlns:a16="http://schemas.microsoft.com/office/drawing/2014/main" id="{00000000-0008-0000-0100-00005E000000}"/>
            </a:ext>
          </a:extLst>
        </xdr:cNvPr>
        <xdr:cNvSpPr txBox="1">
          <a:spLocks noChangeArrowheads="1"/>
        </xdr:cNvSpPr>
      </xdr:nvSpPr>
      <xdr:spPr bwMode="auto">
        <a:xfrm>
          <a:off x="2816916" y="726675"/>
          <a:ext cx="355474" cy="215981"/>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000" b="0" i="0" strike="noStrike">
              <a:solidFill>
                <a:srgbClr val="000000"/>
              </a:solidFill>
              <a:latin typeface="Arial" pitchFamily="34" charset="0"/>
              <a:cs typeface="Arial" pitchFamily="34" charset="0"/>
            </a:rPr>
            <a:t>U</a:t>
          </a:r>
          <a:r>
            <a:rPr lang="en-US" sz="1000" b="0" i="0" strike="noStrike" baseline="-25000">
              <a:solidFill>
                <a:srgbClr val="000000"/>
              </a:solidFill>
              <a:latin typeface="Arial" pitchFamily="34" charset="0"/>
              <a:cs typeface="Arial" pitchFamily="34" charset="0"/>
            </a:rPr>
            <a:t>1</a:t>
          </a:r>
        </a:p>
      </xdr:txBody>
    </xdr:sp>
    <xdr:clientData/>
  </xdr:twoCellAnchor>
  <xdr:twoCellAnchor>
    <xdr:from>
      <xdr:col>9</xdr:col>
      <xdr:colOff>28349</xdr:colOff>
      <xdr:row>15</xdr:row>
      <xdr:rowOff>157367</xdr:rowOff>
    </xdr:from>
    <xdr:to>
      <xdr:col>9</xdr:col>
      <xdr:colOff>431572</xdr:colOff>
      <xdr:row>17</xdr:row>
      <xdr:rowOff>46907</xdr:rowOff>
    </xdr:to>
    <xdr:sp macro="" textlink="'Variable Management'!B217">
      <xdr:nvSpPr>
        <xdr:cNvPr id="95" name="Text Box 276">
          <a:extLst>
            <a:ext uri="{FF2B5EF4-FFF2-40B4-BE49-F238E27FC236}">
              <a16:creationId xmlns:a16="http://schemas.microsoft.com/office/drawing/2014/main" id="{00000000-0008-0000-0100-00005F000000}"/>
            </a:ext>
          </a:extLst>
        </xdr:cNvPr>
        <xdr:cNvSpPr txBox="1">
          <a:spLocks noChangeArrowheads="1" noTextEdit="1"/>
        </xdr:cNvSpPr>
      </xdr:nvSpPr>
      <xdr:spPr bwMode="auto">
        <a:xfrm>
          <a:off x="9238291" y="2575252"/>
          <a:ext cx="403223" cy="211924"/>
        </a:xfrm>
        <a:prstGeom prst="rect">
          <a:avLst/>
        </a:prstGeom>
        <a:noFill/>
        <a:ln w="9525">
          <a:noFill/>
          <a:miter lim="800000"/>
          <a:headEnd/>
          <a:tailEnd/>
        </a:ln>
      </xdr:spPr>
      <xdr:txBody>
        <a:bodyPr vertOverflow="clip" wrap="square" lIns="27432" tIns="22860" rIns="0" bIns="0" anchor="ctr" upright="1"/>
        <a:lstStyle/>
        <a:p>
          <a:pPr algn="l" rtl="0">
            <a:defRPr sz="1000"/>
          </a:pPr>
          <a:fld id="{685D3738-5ABE-4B4E-B06A-00C3820FCB43}" type="TxLink">
            <a:rPr lang="en-US" sz="1000" b="0" i="0" u="none" strike="noStrike" baseline="0">
              <a:solidFill>
                <a:srgbClr val="000000"/>
              </a:solidFill>
              <a:latin typeface="Arialri"/>
              <a:cs typeface="Arial" pitchFamily="34" charset="0"/>
            </a:rPr>
            <a:pPr algn="l" rtl="0">
              <a:defRPr sz="1000"/>
            </a:pPr>
            <a:t>100µF</a:t>
          </a:fld>
          <a:endParaRPr lang="en-US" sz="1000" b="0" i="0" u="none" strike="noStrike" baseline="0">
            <a:solidFill>
              <a:srgbClr val="000000"/>
            </a:solidFill>
            <a:latin typeface="Arial" pitchFamily="34" charset="0"/>
            <a:cs typeface="Arial" pitchFamily="34" charset="0"/>
          </a:endParaRPr>
        </a:p>
      </xdr:txBody>
    </xdr:sp>
    <xdr:clientData/>
  </xdr:twoCellAnchor>
  <xdr:twoCellAnchor>
    <xdr:from>
      <xdr:col>9</xdr:col>
      <xdr:colOff>49182</xdr:colOff>
      <xdr:row>14</xdr:row>
      <xdr:rowOff>159726</xdr:rowOff>
    </xdr:from>
    <xdr:to>
      <xdr:col>9</xdr:col>
      <xdr:colOff>452405</xdr:colOff>
      <xdr:row>16</xdr:row>
      <xdr:rowOff>49265</xdr:rowOff>
    </xdr:to>
    <xdr:sp macro="" textlink="'Variable Management'!B218">
      <xdr:nvSpPr>
        <xdr:cNvPr id="96" name="Text Box 276">
          <a:extLst>
            <a:ext uri="{FF2B5EF4-FFF2-40B4-BE49-F238E27FC236}">
              <a16:creationId xmlns:a16="http://schemas.microsoft.com/office/drawing/2014/main" id="{00000000-0008-0000-0100-000060000000}"/>
            </a:ext>
          </a:extLst>
        </xdr:cNvPr>
        <xdr:cNvSpPr txBox="1">
          <a:spLocks noChangeArrowheads="1" noTextEdit="1"/>
        </xdr:cNvSpPr>
      </xdr:nvSpPr>
      <xdr:spPr bwMode="auto">
        <a:xfrm>
          <a:off x="9259124" y="2416418"/>
          <a:ext cx="403223" cy="211924"/>
        </a:xfrm>
        <a:prstGeom prst="rect">
          <a:avLst/>
        </a:prstGeom>
        <a:noFill/>
        <a:ln w="9525">
          <a:noFill/>
          <a:miter lim="800000"/>
          <a:headEnd/>
          <a:tailEnd/>
        </a:ln>
      </xdr:spPr>
      <xdr:txBody>
        <a:bodyPr vertOverflow="clip" wrap="square" lIns="27432" tIns="22860" rIns="0" bIns="0" anchor="ctr" upright="1"/>
        <a:lstStyle/>
        <a:p>
          <a:pPr algn="l" rtl="0">
            <a:defRPr sz="1000"/>
          </a:pPr>
          <a:fld id="{55A5E480-A149-4617-A245-D5E398CDA407}" type="TxLink">
            <a:rPr lang="en-US" sz="1000" b="0" i="0" u="none" strike="noStrike" baseline="0">
              <a:solidFill>
                <a:srgbClr val="000000"/>
              </a:solidFill>
              <a:latin typeface="Arialri"/>
              <a:cs typeface="Arial" pitchFamily="34" charset="0"/>
            </a:rPr>
            <a:pPr algn="l" rtl="0">
              <a:defRPr sz="1000"/>
            </a:pPr>
            <a:t>2 x</a:t>
          </a:fld>
          <a:endParaRPr lang="en-US" sz="1000" b="0" i="0" u="none" strike="noStrike" baseline="0">
            <a:solidFill>
              <a:srgbClr val="000000"/>
            </a:solidFill>
            <a:latin typeface="Arial" pitchFamily="34" charset="0"/>
            <a:cs typeface="Arial"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54321</xdr:colOff>
      <xdr:row>35</xdr:row>
      <xdr:rowOff>66676</xdr:rowOff>
    </xdr:from>
    <xdr:to>
      <xdr:col>21</xdr:col>
      <xdr:colOff>420909</xdr:colOff>
      <xdr:row>89</xdr:row>
      <xdr:rowOff>104775</xdr:rowOff>
    </xdr:to>
    <xdr:pic>
      <xdr:nvPicPr>
        <xdr:cNvPr id="4" name="Picture 3" descr="POL Module Top and Bottom Side PCB Layout.jpg">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stretch>
          <a:fillRect/>
        </a:stretch>
      </xdr:blipFill>
      <xdr:spPr>
        <a:xfrm>
          <a:off x="7369521" y="6267451"/>
          <a:ext cx="6472113" cy="8782049"/>
        </a:xfrm>
        <a:prstGeom prst="rect">
          <a:avLst/>
        </a:prstGeom>
      </xdr:spPr>
    </xdr:pic>
    <xdr:clientData/>
  </xdr:twoCellAnchor>
  <xdr:twoCellAnchor editAs="oneCell">
    <xdr:from>
      <xdr:col>1</xdr:col>
      <xdr:colOff>19050</xdr:colOff>
      <xdr:row>7</xdr:row>
      <xdr:rowOff>66675</xdr:rowOff>
    </xdr:from>
    <xdr:to>
      <xdr:col>9</xdr:col>
      <xdr:colOff>578693</xdr:colOff>
      <xdr:row>32</xdr:row>
      <xdr:rowOff>152400</xdr:rowOff>
    </xdr:to>
    <xdr:pic>
      <xdr:nvPicPr>
        <xdr:cNvPr id="5" name="Picture 4" descr="LM27403 EVM OBL A comp.jpg">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stretch>
          <a:fillRect/>
        </a:stretch>
      </xdr:blipFill>
      <xdr:spPr>
        <a:xfrm>
          <a:off x="628650" y="1733550"/>
          <a:ext cx="5436443" cy="4133850"/>
        </a:xfrm>
        <a:prstGeom prst="rect">
          <a:avLst/>
        </a:prstGeom>
      </xdr:spPr>
    </xdr:pic>
    <xdr:clientData/>
  </xdr:twoCellAnchor>
  <xdr:twoCellAnchor editAs="oneCell">
    <xdr:from>
      <xdr:col>0</xdr:col>
      <xdr:colOff>247650</xdr:colOff>
      <xdr:row>35</xdr:row>
      <xdr:rowOff>133350</xdr:rowOff>
    </xdr:from>
    <xdr:to>
      <xdr:col>10</xdr:col>
      <xdr:colOff>298840</xdr:colOff>
      <xdr:row>89</xdr:row>
      <xdr:rowOff>114300</xdr:rowOff>
    </xdr:to>
    <xdr:pic>
      <xdr:nvPicPr>
        <xdr:cNvPr id="6" name="Picture 5" descr="EVM Top and Bottom Side PCB Layout.jpg">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3" cstate="print"/>
        <a:stretch>
          <a:fillRect/>
        </a:stretch>
      </xdr:blipFill>
      <xdr:spPr>
        <a:xfrm>
          <a:off x="247650" y="6334125"/>
          <a:ext cx="6147190" cy="8724900"/>
        </a:xfrm>
        <a:prstGeom prst="rect">
          <a:avLst/>
        </a:prstGeom>
      </xdr:spPr>
    </xdr:pic>
    <xdr:clientData/>
  </xdr:twoCellAnchor>
  <xdr:twoCellAnchor editAs="oneCell">
    <xdr:from>
      <xdr:col>11</xdr:col>
      <xdr:colOff>527049</xdr:colOff>
      <xdr:row>7</xdr:row>
      <xdr:rowOff>76131</xdr:rowOff>
    </xdr:from>
    <xdr:to>
      <xdr:col>21</xdr:col>
      <xdr:colOff>387603</xdr:colOff>
      <xdr:row>31</xdr:row>
      <xdr:rowOff>90296</xdr:rowOff>
    </xdr:to>
    <xdr:pic>
      <xdr:nvPicPr>
        <xdr:cNvPr id="10" name="Picture 9" descr="New module with dimensions and component labels - simplified.jpg">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4" cstate="print"/>
        <a:stretch>
          <a:fillRect/>
        </a:stretch>
      </xdr:blipFill>
      <xdr:spPr>
        <a:xfrm>
          <a:off x="7232649" y="1743006"/>
          <a:ext cx="6575679" cy="390036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215900</xdr:colOff>
          <xdr:row>8</xdr:row>
          <xdr:rowOff>114300</xdr:rowOff>
        </xdr:from>
        <xdr:to>
          <xdr:col>17</xdr:col>
          <xdr:colOff>292100</xdr:colOff>
          <xdr:row>29</xdr:row>
          <xdr:rowOff>114300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36</xdr:col>
      <xdr:colOff>200025</xdr:colOff>
      <xdr:row>8</xdr:row>
      <xdr:rowOff>19050</xdr:rowOff>
    </xdr:from>
    <xdr:to>
      <xdr:col>44</xdr:col>
      <xdr:colOff>742950</xdr:colOff>
      <xdr:row>30</xdr:row>
      <xdr:rowOff>85725</xdr:rowOff>
    </xdr:to>
    <xdr:graphicFrame macro="">
      <xdr:nvGraphicFramePr>
        <xdr:cNvPr id="21446051" name="Chart 11">
          <a:extLst>
            <a:ext uri="{FF2B5EF4-FFF2-40B4-BE49-F238E27FC236}">
              <a16:creationId xmlns:a16="http://schemas.microsoft.com/office/drawing/2014/main" id="{00000000-0008-0000-0500-0000A33D4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200025</xdr:colOff>
      <xdr:row>8</xdr:row>
      <xdr:rowOff>28575</xdr:rowOff>
    </xdr:from>
    <xdr:to>
      <xdr:col>36</xdr:col>
      <xdr:colOff>180975</xdr:colOff>
      <xdr:row>30</xdr:row>
      <xdr:rowOff>123825</xdr:rowOff>
    </xdr:to>
    <xdr:graphicFrame macro="">
      <xdr:nvGraphicFramePr>
        <xdr:cNvPr id="21446052" name="Chart 15">
          <a:extLst>
            <a:ext uri="{FF2B5EF4-FFF2-40B4-BE49-F238E27FC236}">
              <a16:creationId xmlns:a16="http://schemas.microsoft.com/office/drawing/2014/main" id="{00000000-0008-0000-0500-0000A43D4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9525</xdr:colOff>
      <xdr:row>30</xdr:row>
      <xdr:rowOff>152400</xdr:rowOff>
    </xdr:from>
    <xdr:to>
      <xdr:col>36</xdr:col>
      <xdr:colOff>209550</xdr:colOff>
      <xdr:row>53</xdr:row>
      <xdr:rowOff>95250</xdr:rowOff>
    </xdr:to>
    <xdr:graphicFrame macro="">
      <xdr:nvGraphicFramePr>
        <xdr:cNvPr id="21446053" name="Chart 16">
          <a:extLst>
            <a:ext uri="{FF2B5EF4-FFF2-40B4-BE49-F238E27FC236}">
              <a16:creationId xmlns:a16="http://schemas.microsoft.com/office/drawing/2014/main" id="{00000000-0008-0000-0500-0000A53D4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75</xdr:col>
      <xdr:colOff>466725</xdr:colOff>
      <xdr:row>6</xdr:row>
      <xdr:rowOff>76200</xdr:rowOff>
    </xdr:from>
    <xdr:to>
      <xdr:col>84</xdr:col>
      <xdr:colOff>238125</xdr:colOff>
      <xdr:row>29</xdr:row>
      <xdr:rowOff>19050</xdr:rowOff>
    </xdr:to>
    <xdr:graphicFrame macro="">
      <xdr:nvGraphicFramePr>
        <xdr:cNvPr id="21446054" name="Chart 18">
          <a:extLst>
            <a:ext uri="{FF2B5EF4-FFF2-40B4-BE49-F238E27FC236}">
              <a16:creationId xmlns:a16="http://schemas.microsoft.com/office/drawing/2014/main" id="{00000000-0008-0000-0500-0000A63D4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238125</xdr:colOff>
      <xdr:row>40</xdr:row>
      <xdr:rowOff>104775</xdr:rowOff>
    </xdr:from>
    <xdr:to>
      <xdr:col>16</xdr:col>
      <xdr:colOff>247650</xdr:colOff>
      <xdr:row>69</xdr:row>
      <xdr:rowOff>123825</xdr:rowOff>
    </xdr:to>
    <xdr:graphicFrame macro="">
      <xdr:nvGraphicFramePr>
        <xdr:cNvPr id="22259766" name="Chart 1">
          <a:extLst>
            <a:ext uri="{FF2B5EF4-FFF2-40B4-BE49-F238E27FC236}">
              <a16:creationId xmlns:a16="http://schemas.microsoft.com/office/drawing/2014/main" id="{00000000-0008-0000-0600-000036A853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257175</xdr:colOff>
      <xdr:row>11</xdr:row>
      <xdr:rowOff>85725</xdr:rowOff>
    </xdr:from>
    <xdr:to>
      <xdr:col>26</xdr:col>
      <xdr:colOff>542925</xdr:colOff>
      <xdr:row>40</xdr:row>
      <xdr:rowOff>114300</xdr:rowOff>
    </xdr:to>
    <xdr:graphicFrame macro="">
      <xdr:nvGraphicFramePr>
        <xdr:cNvPr id="22259767" name="Chart 2">
          <a:extLst>
            <a:ext uri="{FF2B5EF4-FFF2-40B4-BE49-F238E27FC236}">
              <a16:creationId xmlns:a16="http://schemas.microsoft.com/office/drawing/2014/main" id="{00000000-0008-0000-0600-000037A853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247650</xdr:colOff>
      <xdr:row>11</xdr:row>
      <xdr:rowOff>76200</xdr:rowOff>
    </xdr:from>
    <xdr:to>
      <xdr:col>16</xdr:col>
      <xdr:colOff>247650</xdr:colOff>
      <xdr:row>40</xdr:row>
      <xdr:rowOff>104775</xdr:rowOff>
    </xdr:to>
    <xdr:graphicFrame macro="">
      <xdr:nvGraphicFramePr>
        <xdr:cNvPr id="22259768" name="Chart 4">
          <a:extLst>
            <a:ext uri="{FF2B5EF4-FFF2-40B4-BE49-F238E27FC236}">
              <a16:creationId xmlns:a16="http://schemas.microsoft.com/office/drawing/2014/main" id="{00000000-0008-0000-0600-000038A853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hegartyuser/National/TI/LED/UCC28810EVM-003%20Calculation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hegartyuser/National/TI/LED/TPS92660_Design_Too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roduction"/>
      <sheetName val="User Inputs"/>
      <sheetName val="Magnetics Build Sheet"/>
      <sheetName val="PFC Stage"/>
      <sheetName val="Buck Stage"/>
      <sheetName val="Half Bridge"/>
      <sheetName val="Calculations"/>
    </sheetNames>
    <sheetDataSet>
      <sheetData sheetId="0"/>
      <sheetData sheetId="1">
        <row r="5">
          <cell r="B5">
            <v>85</v>
          </cell>
        </row>
        <row r="6">
          <cell r="B6">
            <v>265</v>
          </cell>
          <cell r="G6">
            <v>680</v>
          </cell>
        </row>
        <row r="7">
          <cell r="B7">
            <v>47</v>
          </cell>
        </row>
        <row r="10">
          <cell r="B10">
            <v>3.9</v>
          </cell>
        </row>
        <row r="11">
          <cell r="B11">
            <v>3.5</v>
          </cell>
        </row>
        <row r="12">
          <cell r="B12">
            <v>3.1</v>
          </cell>
          <cell r="F12">
            <v>0.4</v>
          </cell>
        </row>
        <row r="13">
          <cell r="B13">
            <v>0.5</v>
          </cell>
        </row>
        <row r="14">
          <cell r="B14">
            <v>0.66600000000000004</v>
          </cell>
        </row>
        <row r="15">
          <cell r="B15">
            <v>15</v>
          </cell>
        </row>
        <row r="16">
          <cell r="B16">
            <v>4</v>
          </cell>
        </row>
        <row r="20">
          <cell r="B20">
            <v>25</v>
          </cell>
        </row>
        <row r="22">
          <cell r="B22">
            <v>300</v>
          </cell>
        </row>
        <row r="25">
          <cell r="B25">
            <v>65</v>
          </cell>
        </row>
        <row r="28">
          <cell r="B28">
            <v>110</v>
          </cell>
          <cell r="G28">
            <v>0.39</v>
          </cell>
        </row>
        <row r="29">
          <cell r="B29">
            <v>440</v>
          </cell>
          <cell r="G29">
            <v>1.0609999999999999</v>
          </cell>
        </row>
        <row r="30">
          <cell r="G30">
            <v>1.17</v>
          </cell>
        </row>
        <row r="34">
          <cell r="G34">
            <v>800</v>
          </cell>
        </row>
        <row r="35">
          <cell r="G35">
            <v>0.09</v>
          </cell>
        </row>
      </sheetData>
      <sheetData sheetId="2"/>
      <sheetData sheetId="3"/>
      <sheetData sheetId="4"/>
      <sheetData sheetId="5"/>
      <sheetData sheetId="6">
        <row r="3">
          <cell r="U3">
            <v>100</v>
          </cell>
          <cell r="X3">
            <v>100</v>
          </cell>
          <cell r="AA3">
            <v>1</v>
          </cell>
        </row>
        <row r="4">
          <cell r="I4">
            <v>290</v>
          </cell>
          <cell r="K4">
            <v>399.7665940288702</v>
          </cell>
        </row>
        <row r="6">
          <cell r="E6">
            <v>399.7665940288702</v>
          </cell>
          <cell r="I6">
            <v>178.32233741753063</v>
          </cell>
          <cell r="J6">
            <v>200.94250706880302</v>
          </cell>
          <cell r="K6">
            <v>223.56267672007542</v>
          </cell>
        </row>
        <row r="8">
          <cell r="D8">
            <v>115.13157894736842</v>
          </cell>
          <cell r="E8">
            <v>128.28947368421052</v>
          </cell>
          <cell r="I8">
            <v>96.875</v>
          </cell>
          <cell r="J8">
            <v>109.375</v>
          </cell>
          <cell r="K8">
            <v>121.875</v>
          </cell>
        </row>
        <row r="9">
          <cell r="D9">
            <v>95</v>
          </cell>
          <cell r="J9">
            <v>95</v>
          </cell>
        </row>
        <row r="10">
          <cell r="D10">
            <v>20</v>
          </cell>
          <cell r="J10">
            <v>0.94</v>
          </cell>
        </row>
        <row r="12">
          <cell r="I12">
            <v>58.92335671718925</v>
          </cell>
          <cell r="K12">
            <v>114.97630912262359</v>
          </cell>
        </row>
        <row r="14">
          <cell r="AB14">
            <v>10</v>
          </cell>
        </row>
        <row r="18">
          <cell r="D18">
            <v>15</v>
          </cell>
        </row>
        <row r="26">
          <cell r="P26">
            <v>0.22109223909516817</v>
          </cell>
          <cell r="Y26">
            <v>1000</v>
          </cell>
        </row>
        <row r="36">
          <cell r="D36">
            <v>2</v>
          </cell>
        </row>
        <row r="38">
          <cell r="D38">
            <v>33</v>
          </cell>
        </row>
        <row r="47">
          <cell r="Q47">
            <v>0.8</v>
          </cell>
        </row>
        <row r="48">
          <cell r="J48">
            <v>511</v>
          </cell>
        </row>
        <row r="50">
          <cell r="V50">
            <v>1000</v>
          </cell>
        </row>
        <row r="63">
          <cell r="P63">
            <v>0.68</v>
          </cell>
        </row>
        <row r="68">
          <cell r="D68">
            <v>1</v>
          </cell>
        </row>
        <row r="69">
          <cell r="D69">
            <v>13.3</v>
          </cell>
        </row>
        <row r="73">
          <cell r="D73">
            <v>2.2599999999999998</v>
          </cell>
        </row>
        <row r="74">
          <cell r="D74">
            <v>6800</v>
          </cell>
        </row>
        <row r="75">
          <cell r="D75">
            <v>2200</v>
          </cell>
        </row>
        <row r="84">
          <cell r="D84">
            <v>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Inputs"/>
      <sheetName val="LED Driver"/>
    </sheetNames>
    <sheetDataSet>
      <sheetData sheetId="0"/>
      <sheetData sheetId="1">
        <row r="6">
          <cell r="G6">
            <v>58</v>
          </cell>
          <cell r="H6">
            <v>60</v>
          </cell>
          <cell r="I6">
            <v>62</v>
          </cell>
        </row>
        <row r="8">
          <cell r="H8">
            <v>48</v>
          </cell>
        </row>
      </sheetData>
      <sheetData sheetId="2">
        <row r="6">
          <cell r="C6">
            <v>120</v>
          </cell>
        </row>
        <row r="9">
          <cell r="C9">
            <v>1000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noFill/>
        <a:ln w="9525">
          <a:noFill/>
          <a:miter lim="800000"/>
          <a:headEnd/>
          <a:tailEnd/>
        </a:ln>
      </a:spPr>
      <a:bodyPr vertOverflow="clip" wrap="square" lIns="27432" tIns="27432" rIns="0" bIns="0" anchor="t" upright="1"/>
      <a:lstStyle>
        <a:defPPr algn="l" rtl="0">
          <a:defRPr sz="1100" b="0" i="0" strike="noStrike">
            <a:solidFill>
              <a:srgbClr val="000000"/>
            </a:solidFill>
            <a:latin typeface="Calibri"/>
          </a:defRPr>
        </a:defPPr>
      </a:lst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1.bin"/><Relationship Id="rId7" Type="http://schemas.openxmlformats.org/officeDocument/2006/relationships/ctrlProp" Target="../ctrlProps/ctrlProp1.xml"/><Relationship Id="rId12" Type="http://schemas.openxmlformats.org/officeDocument/2006/relationships/comments" Target="../comments1.xml"/><Relationship Id="rId2" Type="http://schemas.openxmlformats.org/officeDocument/2006/relationships/hyperlink" Target="http://www.ti.com/pol" TargetMode="External"/><Relationship Id="rId1" Type="http://schemas.openxmlformats.org/officeDocument/2006/relationships/hyperlink" Target="http://www.ti.com/product/lm27403" TargetMode="External"/><Relationship Id="rId6" Type="http://schemas.openxmlformats.org/officeDocument/2006/relationships/vmlDrawing" Target="../drawings/vmlDrawing2.vml"/><Relationship Id="rId11" Type="http://schemas.openxmlformats.org/officeDocument/2006/relationships/ctrlProp" Target="../ctrlProps/ctrlProp5.xml"/><Relationship Id="rId5" Type="http://schemas.openxmlformats.org/officeDocument/2006/relationships/vmlDrawing" Target="../drawings/vmlDrawing1.vml"/><Relationship Id="rId10" Type="http://schemas.openxmlformats.org/officeDocument/2006/relationships/ctrlProp" Target="../ctrlProps/ctrlProp4.xml"/><Relationship Id="rId4" Type="http://schemas.openxmlformats.org/officeDocument/2006/relationships/drawing" Target="../drawings/drawing1.xml"/><Relationship Id="rId9"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 Id="rId5" Type="http://schemas.openxmlformats.org/officeDocument/2006/relationships/image" Target="../media/image12.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AI926"/>
  <sheetViews>
    <sheetView tabSelected="1" topLeftCell="A34" zoomScale="117" zoomScaleNormal="100" zoomScaleSheetLayoutView="100" workbookViewId="0">
      <selection activeCell="E65" sqref="E65"/>
    </sheetView>
  </sheetViews>
  <sheetFormatPr baseColWidth="10" defaultColWidth="9.1640625" defaultRowHeight="14"/>
  <cols>
    <col min="1" max="1" width="8.33203125" style="346" customWidth="1"/>
    <col min="2" max="2" width="8.33203125" style="163" customWidth="1"/>
    <col min="3" max="3" width="10.33203125" style="163" customWidth="1"/>
    <col min="4" max="4" width="10.83203125" style="163" customWidth="1"/>
    <col min="5" max="5" width="6.33203125" style="163" customWidth="1"/>
    <col min="6" max="6" width="8.33203125" style="163" customWidth="1"/>
    <col min="7" max="7" width="9.1640625" style="163" customWidth="1"/>
    <col min="8" max="8" width="11.83203125" style="163" customWidth="1"/>
    <col min="9" max="9" width="9.1640625" style="163"/>
    <col min="10" max="10" width="12.5" style="163" bestFit="1" customWidth="1"/>
    <col min="11" max="11" width="9.1640625" style="163"/>
    <col min="12" max="12" width="12.5" style="163" bestFit="1" customWidth="1"/>
    <col min="13" max="15" width="9.1640625" style="163"/>
    <col min="16" max="16" width="10.1640625" style="163" customWidth="1"/>
    <col min="17" max="17" width="34.83203125" style="163" customWidth="1"/>
    <col min="18" max="18" width="3.1640625" style="163" customWidth="1"/>
    <col min="19" max="19" width="10" style="163" bestFit="1" customWidth="1"/>
    <col min="20" max="16384" width="9.1640625" style="163"/>
  </cols>
  <sheetData>
    <row r="1" spans="1:19" ht="47.25" customHeight="1">
      <c r="A1" s="480" t="s">
        <v>607</v>
      </c>
      <c r="B1" s="481"/>
      <c r="C1" s="481"/>
      <c r="D1" s="481"/>
      <c r="E1" s="481"/>
      <c r="F1" s="481"/>
      <c r="G1" s="481"/>
      <c r="H1" s="481"/>
      <c r="I1" s="481"/>
      <c r="J1" s="481"/>
      <c r="K1" s="481"/>
      <c r="L1" s="481"/>
      <c r="M1" s="481"/>
      <c r="N1" s="481"/>
      <c r="O1" s="481"/>
      <c r="P1" s="481"/>
      <c r="Q1" s="481"/>
      <c r="R1" s="458"/>
    </row>
    <row r="2" spans="1:19" ht="14" customHeight="1">
      <c r="A2" s="474"/>
      <c r="B2" s="462"/>
      <c r="C2" s="462"/>
      <c r="D2" s="462"/>
      <c r="E2" s="462"/>
      <c r="F2" s="462"/>
      <c r="G2" s="462"/>
      <c r="H2" s="462"/>
      <c r="I2" s="462"/>
      <c r="J2" s="462"/>
      <c r="K2" s="462"/>
      <c r="L2" s="462"/>
      <c r="M2" s="462"/>
      <c r="N2" s="462"/>
      <c r="O2" s="477" t="s">
        <v>635</v>
      </c>
      <c r="P2" s="462"/>
      <c r="Q2" s="462"/>
      <c r="R2" s="458"/>
    </row>
    <row r="3" spans="1:19" ht="16" customHeight="1">
      <c r="A3" s="475" t="s">
        <v>523</v>
      </c>
      <c r="B3" s="463"/>
      <c r="C3" s="476" t="s">
        <v>524</v>
      </c>
      <c r="D3" s="464"/>
      <c r="E3" s="231"/>
      <c r="F3" s="466" t="s">
        <v>291</v>
      </c>
      <c r="G3" s="465"/>
      <c r="H3" s="462"/>
      <c r="I3" s="462"/>
      <c r="J3" s="465"/>
      <c r="K3" s="467"/>
      <c r="L3" s="468"/>
      <c r="M3" s="458"/>
      <c r="N3" s="458"/>
      <c r="O3" s="479" t="s">
        <v>117</v>
      </c>
      <c r="P3" s="479"/>
      <c r="Q3" s="458" t="s">
        <v>331</v>
      </c>
      <c r="R3" s="458"/>
    </row>
    <row r="4" spans="1:19" ht="14" customHeight="1" thickBot="1">
      <c r="A4" s="469"/>
      <c r="B4" s="470"/>
      <c r="C4" s="471"/>
      <c r="D4" s="471"/>
      <c r="E4" s="471"/>
      <c r="F4" s="471"/>
      <c r="G4" s="471"/>
      <c r="H4" s="471"/>
      <c r="I4" s="471"/>
      <c r="J4" s="471"/>
      <c r="K4" s="471"/>
      <c r="L4" s="471"/>
      <c r="M4" s="472"/>
      <c r="N4" s="472"/>
      <c r="O4" s="472"/>
      <c r="P4" s="472"/>
      <c r="Q4" s="473"/>
      <c r="R4" s="458"/>
    </row>
    <row r="5" spans="1:19" ht="20" customHeight="1" thickBot="1">
      <c r="A5" s="274" t="s">
        <v>466</v>
      </c>
      <c r="B5" s="229"/>
      <c r="C5" s="164"/>
      <c r="D5" s="164"/>
      <c r="E5" s="166"/>
      <c r="F5" s="164"/>
      <c r="G5" s="209"/>
      <c r="H5" s="167"/>
      <c r="I5" s="167"/>
      <c r="J5" s="167"/>
      <c r="K5" s="167"/>
      <c r="L5" s="167"/>
      <c r="M5" s="167"/>
      <c r="N5" s="167"/>
      <c r="O5" s="167"/>
      <c r="P5" s="167"/>
      <c r="Q5" s="208"/>
      <c r="R5" s="458"/>
    </row>
    <row r="6" spans="1:19" ht="14" customHeight="1">
      <c r="A6" s="340"/>
      <c r="B6" s="286"/>
      <c r="C6" s="287"/>
      <c r="D6" s="288" t="s">
        <v>650</v>
      </c>
      <c r="E6" s="289">
        <v>12</v>
      </c>
      <c r="F6" s="290" t="s">
        <v>0</v>
      </c>
      <c r="G6" s="241"/>
      <c r="H6" s="239"/>
      <c r="I6" s="167"/>
      <c r="J6" s="167"/>
      <c r="K6" s="167"/>
      <c r="L6" s="167"/>
      <c r="M6" s="167"/>
      <c r="N6" s="167"/>
      <c r="O6" s="167"/>
      <c r="P6" s="167"/>
      <c r="Q6" s="208"/>
      <c r="R6" s="458"/>
    </row>
    <row r="7" spans="1:19" ht="14" customHeight="1">
      <c r="A7" s="238"/>
      <c r="B7" s="239"/>
      <c r="C7" s="236"/>
      <c r="D7" s="280" t="s">
        <v>651</v>
      </c>
      <c r="E7" s="240">
        <v>6.75</v>
      </c>
      <c r="F7" s="291" t="s">
        <v>0</v>
      </c>
      <c r="G7" s="241"/>
      <c r="H7" s="239"/>
      <c r="I7" s="167"/>
      <c r="J7" s="167"/>
      <c r="K7" s="167"/>
      <c r="L7" s="167"/>
      <c r="M7" s="167"/>
      <c r="N7" s="167"/>
      <c r="O7" s="167"/>
      <c r="P7" s="167"/>
      <c r="Q7" s="208"/>
      <c r="R7" s="458"/>
      <c r="S7" s="162"/>
    </row>
    <row r="8" spans="1:19" ht="14" customHeight="1">
      <c r="A8" s="238"/>
      <c r="B8" s="239"/>
      <c r="C8" s="236"/>
      <c r="D8" s="280" t="s">
        <v>652</v>
      </c>
      <c r="E8" s="240">
        <v>30</v>
      </c>
      <c r="F8" s="291" t="s">
        <v>2</v>
      </c>
      <c r="G8" s="241"/>
      <c r="H8" s="239"/>
      <c r="I8" s="167"/>
      <c r="J8" s="167"/>
      <c r="K8" s="167"/>
      <c r="L8" s="167"/>
      <c r="M8" s="167"/>
      <c r="N8" s="167"/>
      <c r="O8" s="167"/>
      <c r="P8" s="167"/>
      <c r="Q8" s="208"/>
      <c r="R8" s="458"/>
      <c r="S8" s="162"/>
    </row>
    <row r="9" spans="1:19" ht="14" customHeight="1">
      <c r="A9" s="238"/>
      <c r="B9" s="239"/>
      <c r="C9" s="236"/>
      <c r="D9" s="280" t="s">
        <v>492</v>
      </c>
      <c r="E9" s="242">
        <v>650</v>
      </c>
      <c r="F9" s="291" t="s">
        <v>3</v>
      </c>
      <c r="G9" s="241"/>
      <c r="H9" s="239"/>
      <c r="I9" s="167"/>
      <c r="J9" s="167"/>
      <c r="K9" s="167"/>
      <c r="L9" s="167"/>
      <c r="M9" s="167"/>
      <c r="N9" s="167"/>
      <c r="O9" s="167"/>
      <c r="P9" s="167"/>
      <c r="Q9" s="208"/>
      <c r="R9" s="458"/>
    </row>
    <row r="10" spans="1:19" ht="14" customHeight="1">
      <c r="A10" s="238"/>
      <c r="B10" s="239"/>
      <c r="C10" s="236"/>
      <c r="D10" s="280" t="s">
        <v>493</v>
      </c>
      <c r="E10" s="242">
        <v>300</v>
      </c>
      <c r="F10" s="291" t="s">
        <v>3</v>
      </c>
      <c r="G10" s="243"/>
      <c r="H10" s="239"/>
      <c r="I10" s="167"/>
      <c r="J10" s="167"/>
      <c r="K10" s="167"/>
      <c r="L10" s="167"/>
      <c r="M10" s="167"/>
      <c r="N10" s="167"/>
      <c r="O10" s="167"/>
      <c r="P10" s="167"/>
      <c r="Q10" s="208"/>
      <c r="R10" s="458"/>
    </row>
    <row r="11" spans="1:19" ht="16" customHeight="1" thickBot="1">
      <c r="A11" s="292"/>
      <c r="B11" s="293"/>
      <c r="C11" s="237"/>
      <c r="D11" s="237" t="s">
        <v>494</v>
      </c>
      <c r="E11" s="308">
        <f>IF('Standard Value Calculator'!S4/1000&gt;105, "N/A",'Standard Value Calculator'!S4/1000)</f>
        <v>12.7</v>
      </c>
      <c r="F11" s="294" t="s">
        <v>116</v>
      </c>
      <c r="G11" s="241"/>
      <c r="H11" s="239"/>
      <c r="I11" s="167"/>
      <c r="J11" s="167"/>
      <c r="K11" s="167"/>
      <c r="L11" s="167"/>
      <c r="M11" s="167"/>
      <c r="N11" s="167"/>
      <c r="O11" s="167"/>
      <c r="P11" s="167"/>
      <c r="Q11" s="208"/>
      <c r="R11" s="458"/>
    </row>
    <row r="12" spans="1:19" ht="14" customHeight="1">
      <c r="A12" s="238"/>
      <c r="B12" s="239"/>
      <c r="C12" s="239"/>
      <c r="D12" s="244"/>
      <c r="E12" s="245"/>
      <c r="F12" s="239"/>
      <c r="G12" s="241"/>
      <c r="H12" s="239"/>
      <c r="I12" s="167"/>
      <c r="J12" s="167"/>
      <c r="K12" s="167"/>
      <c r="L12" s="167"/>
      <c r="M12" s="167"/>
      <c r="N12" s="167"/>
      <c r="O12" s="167"/>
      <c r="P12" s="167"/>
      <c r="Q12" s="208"/>
      <c r="R12" s="458"/>
    </row>
    <row r="13" spans="1:19" ht="20" customHeight="1" thickBot="1">
      <c r="A13" s="274" t="s">
        <v>455</v>
      </c>
      <c r="B13" s="246"/>
      <c r="C13" s="247"/>
      <c r="D13" s="247"/>
      <c r="E13" s="248"/>
      <c r="F13" s="247"/>
      <c r="G13" s="241"/>
      <c r="H13" s="239"/>
      <c r="I13" s="167"/>
      <c r="J13" s="167"/>
      <c r="K13" s="167"/>
      <c r="L13" s="167"/>
      <c r="M13" s="167"/>
      <c r="N13" s="167"/>
      <c r="O13" s="167"/>
      <c r="P13" s="167"/>
      <c r="Q13" s="208"/>
      <c r="R13" s="458"/>
    </row>
    <row r="14" spans="1:19" ht="14" customHeight="1">
      <c r="A14" s="340"/>
      <c r="B14" s="286"/>
      <c r="C14" s="287"/>
      <c r="D14" s="287" t="s">
        <v>495</v>
      </c>
      <c r="E14" s="295">
        <f>Lout1*1000000</f>
        <v>0.45478170478170477</v>
      </c>
      <c r="F14" s="296" t="s">
        <v>435</v>
      </c>
      <c r="G14" s="241"/>
      <c r="H14" s="239"/>
      <c r="I14" s="167"/>
      <c r="J14" s="167"/>
      <c r="K14" s="167"/>
      <c r="L14" s="167"/>
      <c r="M14" s="167"/>
      <c r="N14" s="167"/>
      <c r="O14" s="167"/>
      <c r="P14" s="167"/>
      <c r="Q14" s="208"/>
      <c r="R14" s="458"/>
    </row>
    <row r="15" spans="1:19" ht="14" customHeight="1">
      <c r="A15" s="238"/>
      <c r="B15" s="239"/>
      <c r="C15" s="236"/>
      <c r="D15" s="280" t="s">
        <v>496</v>
      </c>
      <c r="E15" s="240">
        <v>0.47</v>
      </c>
      <c r="F15" s="291" t="s">
        <v>435</v>
      </c>
      <c r="G15" s="241"/>
      <c r="H15" s="239"/>
      <c r="I15" s="167"/>
      <c r="J15" s="167"/>
      <c r="K15" s="167"/>
      <c r="L15" s="167"/>
      <c r="M15" s="167"/>
      <c r="N15" s="167"/>
      <c r="O15" s="167"/>
      <c r="P15" s="167"/>
      <c r="Q15" s="208"/>
      <c r="R15" s="458"/>
    </row>
    <row r="16" spans="1:19" ht="14" customHeight="1">
      <c r="A16" s="238"/>
      <c r="B16" s="239"/>
      <c r="C16" s="236"/>
      <c r="D16" s="280" t="s">
        <v>497</v>
      </c>
      <c r="E16" s="240">
        <v>0.32</v>
      </c>
      <c r="F16" s="291" t="s">
        <v>115</v>
      </c>
      <c r="G16" s="241"/>
      <c r="H16" s="239"/>
      <c r="I16" s="167"/>
      <c r="J16" s="167"/>
      <c r="K16" s="167"/>
      <c r="L16" s="167"/>
      <c r="M16" s="167"/>
      <c r="N16" s="167"/>
      <c r="O16" s="167"/>
      <c r="P16" s="167"/>
      <c r="Q16" s="208"/>
      <c r="R16" s="458"/>
    </row>
    <row r="17" spans="1:19" ht="14" customHeight="1">
      <c r="A17" s="238"/>
      <c r="B17" s="239"/>
      <c r="C17" s="236"/>
      <c r="D17" s="236" t="s">
        <v>498</v>
      </c>
      <c r="E17" s="276">
        <f>Iripple1</f>
        <v>9.6802782324058931</v>
      </c>
      <c r="F17" s="297" t="s">
        <v>475</v>
      </c>
      <c r="G17" s="241"/>
      <c r="H17" s="239"/>
      <c r="I17" s="167"/>
      <c r="J17" s="167"/>
      <c r="K17" s="167"/>
      <c r="L17" s="167"/>
      <c r="M17" s="167"/>
      <c r="N17" s="167"/>
      <c r="O17" s="167"/>
      <c r="P17" s="167"/>
      <c r="Q17" s="208"/>
      <c r="R17" s="458"/>
    </row>
    <row r="18" spans="1:19" ht="14" customHeight="1" thickBot="1">
      <c r="A18" s="292"/>
      <c r="B18" s="293"/>
      <c r="C18" s="237"/>
      <c r="D18" s="237" t="s">
        <v>636</v>
      </c>
      <c r="E18" s="298">
        <f>Iripple1/Iout*100</f>
        <v>32.267594108019644</v>
      </c>
      <c r="F18" s="294" t="s">
        <v>307</v>
      </c>
      <c r="G18" s="241"/>
      <c r="H18" s="239"/>
      <c r="I18" s="167"/>
      <c r="J18" s="167"/>
      <c r="K18" s="167"/>
      <c r="L18" s="167"/>
      <c r="M18" s="167"/>
      <c r="N18" s="167"/>
      <c r="O18" s="167"/>
      <c r="P18" s="167"/>
      <c r="Q18" s="208"/>
      <c r="R18" s="458"/>
    </row>
    <row r="19" spans="1:19" ht="14" customHeight="1">
      <c r="A19" s="238"/>
      <c r="B19" s="239"/>
      <c r="C19" s="239"/>
      <c r="D19" s="239"/>
      <c r="E19" s="239"/>
      <c r="F19" s="239"/>
      <c r="G19" s="241"/>
      <c r="H19" s="239"/>
      <c r="I19" s="167"/>
      <c r="J19" s="167"/>
      <c r="K19" s="167"/>
      <c r="L19" s="167"/>
      <c r="M19" s="167"/>
      <c r="N19" s="167"/>
      <c r="O19" s="167"/>
      <c r="P19" s="167"/>
      <c r="Q19" s="208"/>
      <c r="R19" s="458"/>
    </row>
    <row r="20" spans="1:19" ht="20" customHeight="1" thickBot="1">
      <c r="A20" s="273" t="s">
        <v>454</v>
      </c>
      <c r="B20" s="249"/>
      <c r="C20" s="239"/>
      <c r="D20" s="239"/>
      <c r="E20" s="239"/>
      <c r="F20" s="239"/>
      <c r="G20" s="241"/>
      <c r="H20" s="239"/>
      <c r="I20" s="167"/>
      <c r="J20" s="167"/>
      <c r="K20" s="167"/>
      <c r="L20" s="167"/>
      <c r="M20" s="167"/>
      <c r="N20" s="167"/>
      <c r="O20" s="167"/>
      <c r="P20" s="167"/>
      <c r="Q20" s="208"/>
      <c r="R20" s="458"/>
    </row>
    <row r="21" spans="1:19" ht="14" customHeight="1">
      <c r="A21" s="340"/>
      <c r="B21" s="286"/>
      <c r="C21" s="286"/>
      <c r="D21" s="288" t="s">
        <v>499</v>
      </c>
      <c r="E21" s="289">
        <v>40</v>
      </c>
      <c r="F21" s="290" t="s">
        <v>2</v>
      </c>
      <c r="G21" s="241"/>
      <c r="H21" s="239"/>
      <c r="I21" s="167"/>
      <c r="J21" s="167"/>
      <c r="K21" s="167"/>
      <c r="L21" s="167"/>
      <c r="M21" s="167"/>
      <c r="N21" s="167"/>
      <c r="O21" s="167"/>
      <c r="P21" s="167"/>
      <c r="Q21" s="208"/>
      <c r="R21" s="458"/>
      <c r="S21" s="163" t="s">
        <v>406</v>
      </c>
    </row>
    <row r="22" spans="1:19" ht="14" customHeight="1">
      <c r="A22" s="238"/>
      <c r="B22" s="239"/>
      <c r="C22" s="239"/>
      <c r="D22" s="236" t="s">
        <v>500</v>
      </c>
      <c r="E22" s="275">
        <f>'Standard Value Calculator'!S22/1000</f>
        <v>1.43</v>
      </c>
      <c r="F22" s="297" t="s">
        <v>116</v>
      </c>
      <c r="G22" s="241"/>
      <c r="H22" s="239"/>
      <c r="I22" s="167"/>
      <c r="J22" s="167"/>
      <c r="K22" s="167"/>
      <c r="L22" s="167"/>
      <c r="M22" s="167"/>
      <c r="N22" s="167"/>
      <c r="O22" s="167"/>
      <c r="P22" s="167"/>
      <c r="Q22" s="208"/>
      <c r="R22" s="458"/>
    </row>
    <row r="23" spans="1:19" ht="14" customHeight="1">
      <c r="A23" s="239"/>
      <c r="B23" s="239"/>
      <c r="C23" s="239"/>
      <c r="D23" s="236" t="s">
        <v>614</v>
      </c>
      <c r="E23" s="239">
        <f>Rs/1000</f>
        <v>7.32</v>
      </c>
      <c r="F23" s="297" t="s">
        <v>116</v>
      </c>
      <c r="G23" s="243"/>
      <c r="H23" s="239"/>
      <c r="I23" s="167"/>
      <c r="J23" s="167"/>
      <c r="K23" s="167"/>
      <c r="L23" s="167"/>
      <c r="M23" s="167"/>
      <c r="N23" s="167"/>
      <c r="O23" s="167"/>
      <c r="P23" s="167"/>
      <c r="Q23" s="208"/>
      <c r="R23" s="458"/>
    </row>
    <row r="24" spans="1:19" ht="14" customHeight="1">
      <c r="A24" s="238"/>
      <c r="B24" s="239"/>
      <c r="C24" s="239"/>
      <c r="D24" s="236" t="s">
        <v>615</v>
      </c>
      <c r="E24" s="275">
        <f>Cs*1000000</f>
        <v>0.22</v>
      </c>
      <c r="F24" s="297" t="s">
        <v>436</v>
      </c>
      <c r="G24" s="239"/>
      <c r="H24" s="239"/>
      <c r="I24" s="167"/>
      <c r="J24" s="167"/>
      <c r="K24" s="167"/>
      <c r="L24" s="167"/>
      <c r="M24" s="167"/>
      <c r="N24" s="167"/>
      <c r="O24" s="167"/>
      <c r="P24" s="167"/>
      <c r="Q24" s="208"/>
      <c r="R24" s="458"/>
    </row>
    <row r="25" spans="1:19" ht="14" customHeight="1" thickBot="1">
      <c r="A25" s="292"/>
      <c r="B25" s="293"/>
      <c r="C25" s="293"/>
      <c r="D25" s="237" t="s">
        <v>501</v>
      </c>
      <c r="E25" s="299">
        <f>Ilimit2</f>
        <v>39.400485883797046</v>
      </c>
      <c r="F25" s="294" t="s">
        <v>2</v>
      </c>
      <c r="G25" s="239"/>
      <c r="H25" s="239"/>
      <c r="I25" s="167"/>
      <c r="J25" s="167"/>
      <c r="K25" s="167"/>
      <c r="L25" s="167"/>
      <c r="M25" s="167"/>
      <c r="N25" s="167"/>
      <c r="O25" s="167"/>
      <c r="P25" s="167"/>
      <c r="Q25" s="208"/>
      <c r="R25" s="458"/>
    </row>
    <row r="26" spans="1:19" ht="14" customHeight="1">
      <c r="A26" s="238"/>
      <c r="B26" s="239"/>
      <c r="C26" s="261"/>
      <c r="D26" s="261"/>
      <c r="E26" s="261"/>
      <c r="F26" s="261"/>
      <c r="G26" s="239"/>
      <c r="H26" s="239"/>
      <c r="I26" s="167"/>
      <c r="J26" s="167"/>
      <c r="K26" s="167"/>
      <c r="L26" s="167"/>
      <c r="M26" s="167"/>
      <c r="N26" s="167"/>
      <c r="O26" s="167"/>
      <c r="P26" s="167"/>
      <c r="Q26" s="208"/>
      <c r="R26" s="458"/>
    </row>
    <row r="27" spans="1:19" ht="19" thickBot="1">
      <c r="A27" s="274" t="s">
        <v>282</v>
      </c>
      <c r="B27" s="246"/>
      <c r="C27" s="247"/>
      <c r="D27" s="247"/>
      <c r="E27" s="248"/>
      <c r="F27" s="247"/>
      <c r="G27" s="239"/>
      <c r="H27" s="239"/>
      <c r="I27" s="167"/>
      <c r="J27" s="167"/>
      <c r="K27" s="167"/>
      <c r="L27" s="167"/>
      <c r="M27" s="167"/>
      <c r="N27" s="167"/>
      <c r="O27" s="167"/>
      <c r="P27" s="167"/>
      <c r="Q27" s="208"/>
      <c r="R27" s="458"/>
    </row>
    <row r="28" spans="1:19" ht="14" customHeight="1">
      <c r="A28" s="341"/>
      <c r="B28" s="300"/>
      <c r="C28" s="287"/>
      <c r="D28" s="301" t="s">
        <v>502</v>
      </c>
      <c r="E28" s="302">
        <v>20</v>
      </c>
      <c r="F28" s="290" t="s">
        <v>476</v>
      </c>
      <c r="G28" s="239"/>
      <c r="H28" s="239"/>
      <c r="I28" s="167"/>
      <c r="J28" s="167"/>
      <c r="K28" s="167"/>
      <c r="L28" s="167"/>
      <c r="M28" s="167"/>
      <c r="N28" s="167"/>
      <c r="O28" s="167"/>
      <c r="P28" s="167"/>
      <c r="Q28" s="208"/>
      <c r="R28" s="458"/>
    </row>
    <row r="29" spans="1:19" ht="14" customHeight="1">
      <c r="A29" s="238"/>
      <c r="B29" s="239"/>
      <c r="C29" s="236"/>
      <c r="D29" s="236" t="s">
        <v>503</v>
      </c>
      <c r="E29" s="277">
        <f>Coutmin*1000000</f>
        <v>93.079598388518207</v>
      </c>
      <c r="F29" s="297" t="s">
        <v>436</v>
      </c>
      <c r="G29" s="239"/>
      <c r="H29" s="239"/>
      <c r="I29" s="167"/>
      <c r="J29" s="167"/>
      <c r="K29" s="167"/>
      <c r="L29" s="167"/>
      <c r="M29" s="167"/>
      <c r="N29" s="167"/>
      <c r="O29" s="167"/>
      <c r="P29" s="167"/>
      <c r="Q29" s="208"/>
      <c r="R29" s="458"/>
    </row>
    <row r="30" spans="1:19" ht="14" customHeight="1">
      <c r="A30" s="238"/>
      <c r="B30" s="239"/>
      <c r="C30" s="236"/>
      <c r="D30" s="235" t="s">
        <v>504</v>
      </c>
      <c r="E30" s="242">
        <v>120</v>
      </c>
      <c r="F30" s="291" t="s">
        <v>436</v>
      </c>
      <c r="G30" s="241"/>
      <c r="H30" s="239"/>
      <c r="I30" s="167"/>
      <c r="J30" s="167"/>
      <c r="K30" s="167"/>
      <c r="L30" s="167"/>
      <c r="M30" s="167"/>
      <c r="N30" s="167"/>
      <c r="O30" s="167"/>
      <c r="P30" s="167"/>
      <c r="Q30" s="208"/>
      <c r="R30" s="458"/>
    </row>
    <row r="31" spans="1:19" ht="14" customHeight="1">
      <c r="A31" s="238"/>
      <c r="B31" s="239"/>
      <c r="C31" s="236"/>
      <c r="D31" s="236" t="s">
        <v>505</v>
      </c>
      <c r="E31" s="278">
        <f>IF(ISERROR(Resrmax*1000),"N/A",Resrmax*1000)</f>
        <v>1.3039850480129251</v>
      </c>
      <c r="F31" s="297" t="s">
        <v>115</v>
      </c>
      <c r="G31" s="241"/>
      <c r="H31" s="239"/>
      <c r="I31" s="167"/>
      <c r="J31" s="167"/>
      <c r="K31" s="167"/>
      <c r="L31" s="167"/>
      <c r="M31" s="167"/>
      <c r="N31" s="167"/>
      <c r="O31" s="167"/>
      <c r="P31" s="167"/>
      <c r="Q31" s="208"/>
      <c r="R31" s="458"/>
    </row>
    <row r="32" spans="1:19" ht="14" customHeight="1">
      <c r="A32" s="238"/>
      <c r="B32" s="239"/>
      <c r="C32" s="236"/>
      <c r="D32" s="235" t="s">
        <v>506</v>
      </c>
      <c r="E32" s="242">
        <v>1.55</v>
      </c>
      <c r="F32" s="291" t="s">
        <v>115</v>
      </c>
      <c r="G32" s="241"/>
      <c r="H32" s="239"/>
      <c r="I32" s="167"/>
      <c r="J32" s="167"/>
      <c r="K32" s="167"/>
      <c r="L32" s="167"/>
      <c r="M32" s="167"/>
      <c r="N32" s="167"/>
      <c r="O32" s="167"/>
      <c r="P32" s="167"/>
      <c r="Q32" s="208"/>
      <c r="R32" s="458"/>
    </row>
    <row r="33" spans="1:18" ht="14" customHeight="1">
      <c r="A33" s="238"/>
      <c r="B33" s="239"/>
      <c r="C33" s="239"/>
      <c r="D33" s="236" t="s">
        <v>507</v>
      </c>
      <c r="E33" s="277">
        <f>Vripple2*1000</f>
        <v>21.582270311089538</v>
      </c>
      <c r="F33" s="297" t="s">
        <v>487</v>
      </c>
      <c r="G33" s="241"/>
      <c r="H33" s="239"/>
      <c r="I33" s="167"/>
      <c r="J33" s="167"/>
      <c r="K33" s="167"/>
      <c r="L33" s="167"/>
      <c r="M33" s="167"/>
      <c r="N33" s="167"/>
      <c r="O33" s="167"/>
      <c r="P33" s="167"/>
      <c r="Q33" s="208"/>
      <c r="R33" s="458"/>
    </row>
    <row r="34" spans="1:18" ht="14" customHeight="1" thickBot="1">
      <c r="A34" s="292"/>
      <c r="B34" s="293"/>
      <c r="C34" s="293"/>
      <c r="D34" s="237" t="s">
        <v>508</v>
      </c>
      <c r="E34" s="299">
        <f>Icoutrms</f>
        <v>2.7944556216550085</v>
      </c>
      <c r="F34" s="294" t="s">
        <v>288</v>
      </c>
      <c r="G34" s="243"/>
      <c r="H34" s="239"/>
      <c r="I34" s="167"/>
      <c r="J34" s="167"/>
      <c r="K34" s="210"/>
      <c r="L34" s="167"/>
      <c r="M34" s="167"/>
      <c r="N34" s="167"/>
      <c r="O34" s="167"/>
      <c r="P34" s="167"/>
      <c r="Q34" s="208"/>
      <c r="R34" s="458"/>
    </row>
    <row r="35" spans="1:18" ht="14" customHeight="1">
      <c r="A35" s="342"/>
      <c r="B35" s="250"/>
      <c r="C35" s="250"/>
      <c r="D35" s="250"/>
      <c r="E35" s="250"/>
      <c r="F35" s="250"/>
      <c r="G35" s="239"/>
      <c r="H35" s="239"/>
      <c r="I35" s="167"/>
      <c r="J35" s="167"/>
      <c r="K35" s="167"/>
      <c r="L35" s="167"/>
      <c r="M35" s="167"/>
      <c r="N35" s="167"/>
      <c r="O35" s="167"/>
      <c r="P35" s="167"/>
      <c r="Q35" s="208"/>
      <c r="R35" s="458"/>
    </row>
    <row r="36" spans="1:18" ht="19" thickBot="1">
      <c r="A36" s="273" t="s">
        <v>283</v>
      </c>
      <c r="B36" s="249"/>
      <c r="C36" s="251"/>
      <c r="D36" s="251"/>
      <c r="E36" s="239"/>
      <c r="F36" s="239"/>
      <c r="G36" s="239"/>
      <c r="H36" s="239"/>
      <c r="I36" s="167"/>
      <c r="J36" s="167"/>
      <c r="K36" s="167"/>
      <c r="L36" s="211"/>
      <c r="M36" s="167"/>
      <c r="N36" s="167"/>
      <c r="O36" s="167"/>
      <c r="P36" s="167"/>
      <c r="Q36" s="208"/>
      <c r="R36" s="458"/>
    </row>
    <row r="37" spans="1:18" ht="14" customHeight="1">
      <c r="A37" s="319"/>
      <c r="B37" s="303"/>
      <c r="C37" s="286"/>
      <c r="D37" s="288" t="s">
        <v>509</v>
      </c>
      <c r="E37" s="302">
        <v>200</v>
      </c>
      <c r="F37" s="304" t="s">
        <v>476</v>
      </c>
      <c r="G37" s="239"/>
      <c r="H37" s="239"/>
      <c r="I37" s="167"/>
      <c r="J37" s="212"/>
      <c r="K37" s="167"/>
      <c r="L37" s="167"/>
      <c r="M37" s="167"/>
      <c r="N37" s="167"/>
      <c r="O37" s="167"/>
      <c r="P37" s="167"/>
      <c r="Q37" s="208"/>
      <c r="R37" s="458"/>
    </row>
    <row r="38" spans="1:18" ht="14" customHeight="1">
      <c r="A38" s="252"/>
      <c r="B38" s="251"/>
      <c r="C38" s="239"/>
      <c r="D38" s="236" t="s">
        <v>510</v>
      </c>
      <c r="E38" s="277">
        <f>'Variable Management'!B59*1000000</f>
        <v>56.767640769230773</v>
      </c>
      <c r="F38" s="297" t="s">
        <v>436</v>
      </c>
      <c r="G38" s="239"/>
      <c r="H38" s="239"/>
      <c r="I38" s="167"/>
      <c r="J38" s="212"/>
      <c r="K38" s="167"/>
      <c r="L38" s="167"/>
      <c r="M38" s="167"/>
      <c r="N38" s="167"/>
      <c r="O38" s="167"/>
      <c r="P38" s="167"/>
      <c r="Q38" s="208"/>
      <c r="R38" s="458"/>
    </row>
    <row r="39" spans="1:18" ht="14" customHeight="1">
      <c r="A39" s="238"/>
      <c r="B39" s="239"/>
      <c r="C39" s="251"/>
      <c r="D39" s="280" t="s">
        <v>511</v>
      </c>
      <c r="E39" s="253">
        <v>100</v>
      </c>
      <c r="F39" s="291" t="s">
        <v>436</v>
      </c>
      <c r="G39" s="239"/>
      <c r="H39" s="239"/>
      <c r="I39" s="167"/>
      <c r="J39" s="212"/>
      <c r="K39" s="167"/>
      <c r="L39" s="167"/>
      <c r="M39" s="167"/>
      <c r="N39" s="167"/>
      <c r="O39" s="167"/>
      <c r="P39" s="167"/>
      <c r="Q39" s="208"/>
      <c r="R39" s="458"/>
    </row>
    <row r="40" spans="1:18" ht="14" customHeight="1">
      <c r="A40" s="238"/>
      <c r="B40" s="239"/>
      <c r="C40" s="251"/>
      <c r="D40" s="236" t="s">
        <v>505</v>
      </c>
      <c r="E40" s="278">
        <f>IF(CinEsrMax*1000&lt;0,"N/A",CinEsrMax*1000)</f>
        <v>2.4817558326374969</v>
      </c>
      <c r="F40" s="297" t="s">
        <v>115</v>
      </c>
      <c r="G40" s="239"/>
      <c r="H40" s="239"/>
      <c r="I40" s="167"/>
      <c r="J40" s="213"/>
      <c r="K40" s="167"/>
      <c r="L40" s="167"/>
      <c r="M40" s="167"/>
      <c r="N40" s="167"/>
      <c r="O40" s="167"/>
      <c r="P40" s="167"/>
      <c r="Q40" s="208" t="s">
        <v>355</v>
      </c>
      <c r="R40" s="458"/>
    </row>
    <row r="41" spans="1:18" ht="14" customHeight="1">
      <c r="A41" s="238"/>
      <c r="B41" s="239"/>
      <c r="C41" s="251"/>
      <c r="D41" s="280" t="s">
        <v>512</v>
      </c>
      <c r="E41" s="253">
        <v>2</v>
      </c>
      <c r="F41" s="291" t="s">
        <v>115</v>
      </c>
      <c r="G41" s="239"/>
      <c r="H41" s="239"/>
      <c r="I41" s="167"/>
      <c r="J41" s="213"/>
      <c r="K41" s="167"/>
      <c r="L41" s="167"/>
      <c r="M41" s="167"/>
      <c r="N41" s="167"/>
      <c r="O41" s="167"/>
      <c r="P41" s="167"/>
      <c r="Q41" s="208"/>
      <c r="R41" s="458"/>
    </row>
    <row r="42" spans="1:18" ht="14" customHeight="1">
      <c r="A42" s="238"/>
      <c r="B42" s="239"/>
      <c r="C42" s="251"/>
      <c r="D42" s="236" t="s">
        <v>513</v>
      </c>
      <c r="E42" s="277">
        <f>Vinripple2*1000</f>
        <v>183.21555977086746</v>
      </c>
      <c r="F42" s="297" t="s">
        <v>487</v>
      </c>
      <c r="G42" s="239"/>
      <c r="H42" s="239"/>
      <c r="I42" s="167"/>
      <c r="J42" s="213"/>
      <c r="K42" s="167"/>
      <c r="L42" s="167"/>
      <c r="M42" s="167"/>
      <c r="N42" s="167"/>
      <c r="O42" s="167"/>
      <c r="P42" s="167"/>
      <c r="Q42" s="208"/>
      <c r="R42" s="458"/>
    </row>
    <row r="43" spans="1:18" ht="14" customHeight="1" thickBot="1">
      <c r="A43" s="292"/>
      <c r="B43" s="293"/>
      <c r="C43" s="293"/>
      <c r="D43" s="237" t="s">
        <v>514</v>
      </c>
      <c r="E43" s="299">
        <f>Icinrms</f>
        <v>14.879307745994097</v>
      </c>
      <c r="F43" s="305" t="s">
        <v>288</v>
      </c>
      <c r="G43" s="239"/>
      <c r="H43" s="239"/>
      <c r="I43" s="167"/>
      <c r="J43" s="167"/>
      <c r="K43" s="167"/>
      <c r="L43" s="167"/>
      <c r="M43" s="167"/>
      <c r="N43" s="167"/>
      <c r="O43" s="167"/>
      <c r="P43" s="167"/>
      <c r="Q43" s="208"/>
      <c r="R43" s="458"/>
    </row>
    <row r="44" spans="1:18" ht="14" customHeight="1">
      <c r="A44" s="238"/>
      <c r="B44" s="239"/>
      <c r="C44" s="239"/>
      <c r="D44" s="236"/>
      <c r="E44" s="239"/>
      <c r="F44" s="239"/>
      <c r="G44" s="239"/>
      <c r="H44" s="239"/>
      <c r="I44" s="167"/>
      <c r="J44" s="167"/>
      <c r="K44" s="167"/>
      <c r="L44" s="167"/>
      <c r="M44" s="167"/>
      <c r="N44" s="167"/>
      <c r="O44" s="167"/>
      <c r="P44" s="167"/>
      <c r="Q44" s="208"/>
      <c r="R44" s="458"/>
    </row>
    <row r="45" spans="1:18" ht="19" thickBot="1">
      <c r="A45" s="273" t="s">
        <v>601</v>
      </c>
      <c r="B45" s="249"/>
      <c r="C45" s="239"/>
      <c r="D45" s="236"/>
      <c r="E45" s="239"/>
      <c r="F45" s="239"/>
      <c r="G45" s="239"/>
      <c r="H45" s="254"/>
      <c r="I45" s="230"/>
      <c r="J45" s="230"/>
      <c r="K45" s="230"/>
      <c r="L45" s="230"/>
      <c r="M45" s="220"/>
      <c r="N45" s="167"/>
      <c r="O45" s="167"/>
      <c r="P45" s="167"/>
      <c r="Q45" s="208"/>
      <c r="R45" s="458"/>
    </row>
    <row r="46" spans="1:18" ht="14" customHeight="1">
      <c r="A46" s="340"/>
      <c r="B46" s="286"/>
      <c r="C46" s="286"/>
      <c r="D46" s="306" t="s">
        <v>653</v>
      </c>
      <c r="E46" s="307">
        <v>10</v>
      </c>
      <c r="F46" s="290" t="s">
        <v>298</v>
      </c>
      <c r="G46" s="239"/>
      <c r="H46" s="250"/>
      <c r="I46" s="220"/>
      <c r="J46" s="220"/>
      <c r="K46" s="220"/>
      <c r="L46" s="220"/>
      <c r="M46" s="220"/>
      <c r="N46" s="167"/>
      <c r="O46" s="167"/>
      <c r="P46" s="167"/>
      <c r="Q46" s="208"/>
      <c r="R46" s="458"/>
    </row>
    <row r="47" spans="1:18" ht="14" customHeight="1">
      <c r="A47" s="238"/>
      <c r="B47" s="239"/>
      <c r="C47" s="239"/>
      <c r="D47" s="236" t="s">
        <v>515</v>
      </c>
      <c r="E47" s="279">
        <f>IF(Tss&gt;1.28/1000,Css_u*1000000000,"N/A")</f>
        <v>47</v>
      </c>
      <c r="F47" s="297" t="s">
        <v>284</v>
      </c>
      <c r="G47" s="239"/>
      <c r="H47" s="250"/>
      <c r="I47" s="220"/>
      <c r="J47" s="220"/>
      <c r="K47" s="220"/>
      <c r="L47" s="220"/>
      <c r="M47" s="220"/>
      <c r="N47" s="167"/>
      <c r="O47" s="167"/>
      <c r="P47" s="167"/>
      <c r="Q47" s="208"/>
      <c r="R47" s="458"/>
    </row>
    <row r="48" spans="1:18" ht="14" customHeight="1">
      <c r="A48" s="238"/>
      <c r="B48" s="239"/>
      <c r="C48" s="239"/>
      <c r="D48" s="281" t="s">
        <v>516</v>
      </c>
      <c r="E48" s="253">
        <v>105</v>
      </c>
      <c r="F48" s="291" t="s">
        <v>468</v>
      </c>
      <c r="G48" s="239"/>
      <c r="H48" s="239"/>
      <c r="I48" s="167"/>
      <c r="J48" s="165"/>
      <c r="K48" s="234"/>
      <c r="L48" s="167"/>
      <c r="M48" s="220"/>
      <c r="N48" s="167"/>
      <c r="O48" s="167"/>
      <c r="P48" s="167"/>
      <c r="Q48" s="208"/>
      <c r="R48" s="458"/>
    </row>
    <row r="49" spans="1:35" ht="14" customHeight="1">
      <c r="A49" s="238"/>
      <c r="B49" s="239"/>
      <c r="C49" s="239"/>
      <c r="D49" s="236" t="s">
        <v>517</v>
      </c>
      <c r="E49" s="278">
        <f>Rotp_exact/1000</f>
        <v>84.969841269841268</v>
      </c>
      <c r="F49" s="297" t="s">
        <v>116</v>
      </c>
      <c r="G49" s="239"/>
      <c r="H49" s="239"/>
      <c r="I49" s="167"/>
      <c r="J49" s="165"/>
      <c r="K49" s="234"/>
      <c r="L49" s="167"/>
      <c r="M49" s="220"/>
      <c r="N49" s="167"/>
      <c r="O49" s="167"/>
      <c r="P49" s="167"/>
      <c r="Q49" s="208"/>
      <c r="R49" s="458"/>
    </row>
    <row r="50" spans="1:35" ht="14" customHeight="1">
      <c r="A50" s="238"/>
      <c r="B50" s="239"/>
      <c r="C50" s="251"/>
      <c r="D50" s="235" t="s">
        <v>616</v>
      </c>
      <c r="E50" s="384">
        <v>12</v>
      </c>
      <c r="F50" s="291" t="s">
        <v>0</v>
      </c>
      <c r="G50" s="239"/>
      <c r="H50" s="239"/>
      <c r="I50" s="167"/>
      <c r="J50" s="165"/>
      <c r="K50" s="234"/>
      <c r="L50" s="167"/>
      <c r="M50" s="220"/>
      <c r="N50" s="167"/>
      <c r="O50" s="167"/>
      <c r="P50" s="167"/>
      <c r="Q50" s="208"/>
      <c r="R50" s="458"/>
    </row>
    <row r="51" spans="1:35" ht="14" customHeight="1">
      <c r="A51" s="238"/>
      <c r="B51" s="239"/>
      <c r="C51" s="251"/>
      <c r="D51" s="235" t="s">
        <v>617</v>
      </c>
      <c r="E51" s="384">
        <v>9</v>
      </c>
      <c r="F51" s="291" t="s">
        <v>0</v>
      </c>
      <c r="G51" s="239"/>
      <c r="H51" s="239"/>
      <c r="I51" s="167"/>
      <c r="J51" s="165"/>
      <c r="K51" s="234"/>
      <c r="L51" s="167"/>
      <c r="M51" s="220"/>
      <c r="N51" s="167"/>
      <c r="O51" s="167"/>
      <c r="P51" s="167"/>
      <c r="Q51" s="208"/>
      <c r="R51" s="458"/>
    </row>
    <row r="52" spans="1:35" ht="14" customHeight="1">
      <c r="A52" s="238"/>
      <c r="B52" s="239"/>
      <c r="C52" s="239"/>
      <c r="D52" s="236" t="s">
        <v>576</v>
      </c>
      <c r="E52" s="383">
        <f>'Variable Management'!F76</f>
        <v>143</v>
      </c>
      <c r="F52" s="297" t="s">
        <v>116</v>
      </c>
      <c r="G52" s="239"/>
      <c r="H52" s="239"/>
      <c r="I52" s="167"/>
      <c r="J52" s="165"/>
      <c r="K52" s="234"/>
      <c r="L52" s="167"/>
      <c r="M52" s="220"/>
      <c r="N52" s="167"/>
      <c r="O52" s="167"/>
      <c r="P52" s="167"/>
      <c r="Q52" s="208"/>
      <c r="R52" s="458"/>
    </row>
    <row r="53" spans="1:35" ht="14" customHeight="1" thickBot="1">
      <c r="A53" s="292"/>
      <c r="B53" s="293"/>
      <c r="C53" s="293"/>
      <c r="D53" s="237" t="s">
        <v>577</v>
      </c>
      <c r="E53" s="308">
        <f>'Variable Management'!F77</f>
        <v>14.700000000000001</v>
      </c>
      <c r="F53" s="294" t="s">
        <v>116</v>
      </c>
      <c r="G53" s="239"/>
      <c r="H53" s="239"/>
      <c r="I53" s="167"/>
      <c r="J53" s="165"/>
      <c r="K53" s="234"/>
      <c r="L53" s="167"/>
      <c r="M53" s="220"/>
      <c r="N53" s="167"/>
      <c r="O53" s="167"/>
      <c r="P53" s="167"/>
      <c r="Q53" s="208"/>
      <c r="R53" s="458"/>
    </row>
    <row r="54" spans="1:35" ht="14" customHeight="1">
      <c r="A54" s="238" t="s">
        <v>486</v>
      </c>
      <c r="B54" s="239"/>
      <c r="C54" s="239"/>
      <c r="D54" s="236"/>
      <c r="E54" s="255"/>
      <c r="F54" s="239"/>
      <c r="G54" s="239"/>
      <c r="H54" s="239"/>
      <c r="I54" s="167"/>
      <c r="J54" s="165"/>
      <c r="K54" s="234"/>
      <c r="L54" s="167"/>
      <c r="M54" s="220"/>
      <c r="N54" s="167"/>
      <c r="O54" s="167"/>
      <c r="P54" s="167"/>
      <c r="Q54" s="208"/>
      <c r="R54" s="458"/>
    </row>
    <row r="55" spans="1:35" ht="14" customHeight="1">
      <c r="A55" s="347"/>
      <c r="B55" s="239"/>
      <c r="C55" s="239"/>
      <c r="D55" s="236"/>
      <c r="E55" s="255"/>
      <c r="F55" s="239"/>
      <c r="G55" s="239"/>
      <c r="H55" s="239"/>
      <c r="I55" s="167"/>
      <c r="J55" s="165"/>
      <c r="K55" s="234"/>
      <c r="L55" s="167"/>
      <c r="M55" s="220"/>
      <c r="N55" s="167"/>
      <c r="O55" s="167"/>
      <c r="P55" s="167"/>
      <c r="Q55" s="208"/>
      <c r="R55" s="458"/>
    </row>
    <row r="56" spans="1:35" ht="25" customHeight="1" thickBot="1">
      <c r="A56" s="339" t="s">
        <v>490</v>
      </c>
      <c r="B56" s="257"/>
      <c r="C56" s="247"/>
      <c r="D56" s="247"/>
      <c r="E56" s="248"/>
      <c r="F56" s="247"/>
      <c r="G56" s="239"/>
      <c r="H56" s="239"/>
      <c r="I56" s="167"/>
      <c r="J56" s="167"/>
      <c r="K56" s="167"/>
      <c r="L56" s="167"/>
      <c r="M56" s="167"/>
      <c r="N56" s="167"/>
      <c r="O56" s="167"/>
      <c r="P56" s="167"/>
      <c r="Q56" s="208"/>
      <c r="R56" s="459"/>
      <c r="S56" s="116"/>
      <c r="T56" s="116"/>
      <c r="W56" s="116"/>
      <c r="X56" s="116"/>
      <c r="Y56" s="116"/>
      <c r="AB56" s="116"/>
      <c r="AC56" s="116"/>
      <c r="AD56" s="116"/>
      <c r="AG56" s="116"/>
      <c r="AH56" s="116"/>
      <c r="AI56" s="116"/>
    </row>
    <row r="57" spans="1:35" ht="14" customHeight="1">
      <c r="A57" s="340"/>
      <c r="B57" s="286"/>
      <c r="C57" s="287"/>
      <c r="D57" s="287" t="s">
        <v>518</v>
      </c>
      <c r="E57" s="310">
        <f>Fo/1000</f>
        <v>21.134813205417224</v>
      </c>
      <c r="F57" s="296" t="s">
        <v>3</v>
      </c>
      <c r="G57" s="239"/>
      <c r="H57" s="239"/>
      <c r="I57" s="167"/>
      <c r="J57" s="167"/>
      <c r="K57" s="167"/>
      <c r="L57" s="167"/>
      <c r="M57" s="167"/>
      <c r="N57" s="167"/>
      <c r="O57" s="167"/>
      <c r="P57" s="167"/>
      <c r="Q57" s="208"/>
      <c r="R57" s="459"/>
      <c r="S57" s="116"/>
      <c r="T57" s="116"/>
      <c r="W57" s="116"/>
      <c r="X57" s="116"/>
      <c r="Y57" s="116"/>
      <c r="AB57" s="116"/>
      <c r="AC57" s="116"/>
      <c r="AD57" s="116"/>
      <c r="AG57" s="116"/>
      <c r="AH57" s="116"/>
      <c r="AI57" s="116"/>
    </row>
    <row r="58" spans="1:35" ht="14" customHeight="1">
      <c r="A58" s="238"/>
      <c r="B58" s="239"/>
      <c r="C58" s="236"/>
      <c r="D58" s="236" t="s">
        <v>519</v>
      </c>
      <c r="E58" s="277">
        <f>Fesr/1000</f>
        <v>855.67173803094829</v>
      </c>
      <c r="F58" s="297" t="s">
        <v>3</v>
      </c>
      <c r="G58" s="239"/>
      <c r="H58" s="239"/>
      <c r="I58" s="167"/>
      <c r="J58" s="167"/>
      <c r="K58" s="167"/>
      <c r="L58" s="167"/>
      <c r="M58" s="167"/>
      <c r="N58" s="167"/>
      <c r="O58" s="167"/>
      <c r="P58" s="167"/>
      <c r="Q58" s="208"/>
      <c r="R58" s="459"/>
      <c r="S58" s="116"/>
      <c r="T58" s="116"/>
      <c r="W58" s="116"/>
      <c r="X58" s="116"/>
      <c r="Y58" s="116"/>
      <c r="AB58" s="116"/>
      <c r="AC58" s="116"/>
      <c r="AD58" s="116"/>
      <c r="AG58" s="116"/>
      <c r="AH58" s="116"/>
      <c r="AI58" s="116"/>
    </row>
    <row r="59" spans="1:35" ht="14" customHeight="1">
      <c r="A59" s="238"/>
      <c r="B59" s="239"/>
      <c r="C59" s="236"/>
      <c r="D59" s="235" t="s">
        <v>530</v>
      </c>
      <c r="E59" s="282">
        <v>105</v>
      </c>
      <c r="F59" s="309" t="str">
        <f>"     kHz "</f>
        <v xml:space="preserve">     kHz </v>
      </c>
      <c r="G59" s="239"/>
      <c r="H59" s="239"/>
      <c r="I59" s="167"/>
      <c r="J59" s="167"/>
      <c r="K59" s="167"/>
      <c r="L59" s="167"/>
      <c r="M59" s="167"/>
      <c r="N59" s="167"/>
      <c r="O59" s="167"/>
      <c r="P59" s="167"/>
      <c r="Q59" s="208"/>
      <c r="R59" s="459"/>
      <c r="S59" s="116"/>
      <c r="T59" s="116"/>
      <c r="W59" s="116"/>
      <c r="X59" s="116"/>
      <c r="Y59" s="116"/>
      <c r="AB59" s="116"/>
      <c r="AC59" s="116"/>
      <c r="AD59" s="116"/>
      <c r="AG59" s="116"/>
      <c r="AH59" s="116"/>
      <c r="AI59" s="116"/>
    </row>
    <row r="60" spans="1:35" ht="14" customHeight="1">
      <c r="A60" s="238"/>
      <c r="B60" s="239"/>
      <c r="C60" s="236"/>
      <c r="D60" s="236" t="s">
        <v>520</v>
      </c>
      <c r="E60" s="275">
        <f>Kmidband</f>
        <v>0.55201181828644197</v>
      </c>
      <c r="F60" s="297" t="s">
        <v>49</v>
      </c>
      <c r="G60" s="239"/>
      <c r="H60" s="239"/>
      <c r="I60" s="167"/>
      <c r="J60" s="167"/>
      <c r="K60" s="167"/>
      <c r="L60" s="167"/>
      <c r="M60" s="167"/>
      <c r="N60" s="167"/>
      <c r="O60" s="167"/>
      <c r="P60" s="167"/>
      <c r="Q60" s="208"/>
      <c r="R60" s="459"/>
      <c r="S60" s="116"/>
      <c r="T60" s="116"/>
      <c r="W60" s="116"/>
      <c r="X60" s="116"/>
      <c r="Y60" s="116"/>
      <c r="AB60" s="116"/>
      <c r="AC60" s="116"/>
      <c r="AD60" s="116"/>
      <c r="AG60" s="116"/>
      <c r="AH60" s="116"/>
      <c r="AI60" s="116"/>
    </row>
    <row r="61" spans="1:35" ht="16" customHeight="1">
      <c r="A61" s="238"/>
      <c r="B61" s="239"/>
      <c r="C61" s="236"/>
      <c r="D61" s="235" t="s">
        <v>521</v>
      </c>
      <c r="E61" s="283">
        <v>55</v>
      </c>
      <c r="F61" s="291" t="s">
        <v>116</v>
      </c>
      <c r="G61" s="239"/>
      <c r="H61" s="239"/>
      <c r="I61" s="167"/>
      <c r="J61" s="167"/>
      <c r="K61" s="167"/>
      <c r="L61" s="167"/>
      <c r="M61" s="167"/>
      <c r="N61" s="167"/>
      <c r="O61" s="167"/>
      <c r="P61" s="167"/>
      <c r="Q61" s="208"/>
      <c r="R61" s="459"/>
      <c r="S61" s="116"/>
      <c r="T61" s="116"/>
      <c r="W61" s="116"/>
      <c r="X61" s="116"/>
      <c r="Y61" s="116"/>
      <c r="AB61" s="116"/>
      <c r="AC61" s="116"/>
      <c r="AD61" s="116"/>
      <c r="AG61" s="116"/>
      <c r="AH61" s="116"/>
      <c r="AI61" s="116"/>
    </row>
    <row r="62" spans="1:35" ht="16" customHeight="1" thickBot="1">
      <c r="A62" s="292"/>
      <c r="B62" s="293"/>
      <c r="C62" s="237"/>
      <c r="D62" s="237" t="s">
        <v>522</v>
      </c>
      <c r="E62" s="308">
        <f>IF(Vout=Vref,"OPEN",Rfb2_u/1000)</f>
        <v>5.36</v>
      </c>
      <c r="F62" s="294" t="str">
        <f>IF(Vout=Vref,"","kΩ")</f>
        <v>kΩ</v>
      </c>
      <c r="G62" s="239"/>
      <c r="H62" s="239"/>
      <c r="I62" s="167"/>
      <c r="J62" s="167"/>
      <c r="K62" s="167"/>
      <c r="L62" s="167"/>
      <c r="M62" s="167"/>
      <c r="N62" s="167"/>
      <c r="O62" s="167"/>
      <c r="P62" s="167"/>
      <c r="Q62" s="208"/>
      <c r="R62" s="459"/>
      <c r="S62" s="116"/>
      <c r="T62" s="116"/>
      <c r="W62" s="116"/>
      <c r="X62" s="116"/>
      <c r="Y62" s="116"/>
      <c r="AB62" s="116"/>
      <c r="AC62" s="116"/>
      <c r="AD62" s="116"/>
      <c r="AG62" s="116"/>
      <c r="AH62" s="116"/>
      <c r="AI62" s="116"/>
    </row>
    <row r="63" spans="1:35" ht="15" thickBot="1">
      <c r="A63" s="238"/>
      <c r="B63" s="239"/>
      <c r="C63" s="236"/>
      <c r="D63" s="258"/>
      <c r="E63" s="259"/>
      <c r="F63" s="260"/>
      <c r="G63" s="239"/>
      <c r="H63" s="239"/>
      <c r="I63" s="167"/>
      <c r="J63" s="167"/>
      <c r="K63" s="167"/>
      <c r="L63" s="167"/>
      <c r="M63" s="167"/>
      <c r="N63" s="167"/>
      <c r="O63" s="167"/>
      <c r="P63" s="167"/>
      <c r="Q63" s="208"/>
      <c r="R63" s="459"/>
      <c r="S63" s="116"/>
      <c r="T63" s="116"/>
      <c r="W63" s="116"/>
      <c r="X63" s="116"/>
      <c r="Y63" s="116"/>
      <c r="AB63" s="116"/>
      <c r="AC63" s="116"/>
      <c r="AD63" s="116"/>
      <c r="AG63" s="116"/>
      <c r="AH63" s="116"/>
      <c r="AI63" s="116"/>
    </row>
    <row r="64" spans="1:35" ht="16" customHeight="1">
      <c r="A64" s="435" t="s">
        <v>472</v>
      </c>
      <c r="B64" s="348"/>
      <c r="C64" s="348"/>
      <c r="D64" s="351" t="s">
        <v>612</v>
      </c>
      <c r="E64" s="352">
        <v>8</v>
      </c>
      <c r="F64" s="354" t="str">
        <f>"     kHz  "</f>
        <v xml:space="preserve">     kHz  </v>
      </c>
      <c r="G64" s="263"/>
      <c r="H64" s="264"/>
      <c r="I64" s="167"/>
      <c r="J64" s="167"/>
      <c r="K64" s="167"/>
      <c r="L64" s="167"/>
      <c r="M64" s="167"/>
      <c r="N64" s="167"/>
      <c r="O64" s="167"/>
      <c r="P64" s="167"/>
      <c r="Q64" s="208"/>
      <c r="R64" s="459"/>
      <c r="S64" s="116"/>
      <c r="T64" s="116"/>
      <c r="W64" s="116"/>
      <c r="X64" s="116"/>
      <c r="Y64" s="116"/>
      <c r="AB64" s="116"/>
      <c r="AC64" s="116"/>
      <c r="AD64" s="116"/>
      <c r="AG64" s="116"/>
      <c r="AH64" s="116"/>
      <c r="AI64" s="116"/>
    </row>
    <row r="65" spans="1:35" ht="16" customHeight="1">
      <c r="A65" s="445" t="str">
        <f>"Baseline P/Z Frequencies:"</f>
        <v>Baseline P/Z Frequencies:</v>
      </c>
      <c r="B65" s="230"/>
      <c r="C65" s="230"/>
      <c r="D65" s="262" t="s">
        <v>613</v>
      </c>
      <c r="E65" s="284">
        <v>18</v>
      </c>
      <c r="F65" s="309" t="str">
        <f>"     kHz"</f>
        <v xml:space="preserve">     kHz</v>
      </c>
      <c r="G65" s="263"/>
      <c r="H65" s="264"/>
      <c r="I65" s="167"/>
      <c r="J65" s="167"/>
      <c r="K65" s="167"/>
      <c r="L65" s="167"/>
      <c r="M65" s="167"/>
      <c r="N65" s="167"/>
      <c r="O65" s="167"/>
      <c r="P65" s="167"/>
      <c r="Q65" s="208"/>
      <c r="R65" s="459"/>
      <c r="S65" s="116"/>
      <c r="T65" s="116"/>
      <c r="W65" s="116"/>
      <c r="X65" s="116"/>
      <c r="Y65" s="116"/>
      <c r="AB65" s="116"/>
      <c r="AC65" s="116"/>
      <c r="AD65" s="116"/>
      <c r="AG65" s="116"/>
      <c r="AH65" s="116"/>
      <c r="AI65" s="116"/>
    </row>
    <row r="66" spans="1:35" ht="16" customHeight="1">
      <c r="A66" s="347"/>
      <c r="B66" s="230"/>
      <c r="C66" s="230"/>
      <c r="D66" s="265" t="s">
        <v>610</v>
      </c>
      <c r="E66" s="285">
        <v>1400</v>
      </c>
      <c r="F66" s="309" t="str">
        <f>"     kHz"</f>
        <v xml:space="preserve">     kHz</v>
      </c>
      <c r="G66" s="266"/>
      <c r="H66" s="264"/>
      <c r="I66" s="167"/>
      <c r="J66" s="167"/>
      <c r="K66" s="167"/>
      <c r="L66" s="167"/>
      <c r="M66" s="167"/>
      <c r="N66" s="167"/>
      <c r="O66" s="167"/>
      <c r="P66" s="167"/>
      <c r="Q66" s="208"/>
      <c r="R66" s="459"/>
      <c r="S66" s="116"/>
      <c r="T66" s="116"/>
      <c r="W66" s="116"/>
      <c r="X66" s="116"/>
      <c r="Y66" s="116"/>
      <c r="AB66" s="116"/>
      <c r="AC66" s="116"/>
      <c r="AD66" s="116"/>
      <c r="AG66" s="116"/>
      <c r="AH66" s="116"/>
      <c r="AI66" s="116"/>
    </row>
    <row r="67" spans="1:35" ht="16" customHeight="1" thickBot="1">
      <c r="A67" s="349"/>
      <c r="B67" s="350"/>
      <c r="C67" s="350"/>
      <c r="D67" s="336" t="s">
        <v>611</v>
      </c>
      <c r="E67" s="337">
        <v>900</v>
      </c>
      <c r="F67" s="338" t="str">
        <f>"     kHz"</f>
        <v xml:space="preserve">     kHz</v>
      </c>
      <c r="G67" s="266"/>
      <c r="H67" s="264"/>
      <c r="I67" s="167"/>
      <c r="J67" s="167"/>
      <c r="K67" s="167"/>
      <c r="L67" s="167"/>
      <c r="M67" s="167"/>
      <c r="N67" s="167"/>
      <c r="O67" s="167"/>
      <c r="P67" s="167"/>
      <c r="Q67" s="208"/>
      <c r="R67" s="459"/>
      <c r="S67" s="116"/>
      <c r="T67" s="116"/>
      <c r="W67" s="116"/>
      <c r="X67" s="116"/>
      <c r="Y67" s="116"/>
      <c r="AB67" s="116"/>
      <c r="AC67" s="116"/>
      <c r="AD67" s="116"/>
      <c r="AG67" s="116"/>
      <c r="AH67" s="116"/>
      <c r="AI67" s="116"/>
    </row>
    <row r="68" spans="1:35" ht="16" customHeight="1">
      <c r="A68" s="343"/>
      <c r="B68" s="267"/>
      <c r="C68" s="268"/>
      <c r="D68" s="250"/>
      <c r="E68" s="250"/>
      <c r="F68" s="250"/>
      <c r="G68" s="266"/>
      <c r="H68" s="264"/>
      <c r="I68" s="167"/>
      <c r="J68" s="167"/>
      <c r="K68" s="167"/>
      <c r="L68" s="167"/>
      <c r="M68" s="167"/>
      <c r="N68" s="167"/>
      <c r="O68" s="167"/>
      <c r="P68" s="167"/>
      <c r="Q68" s="208"/>
      <c r="R68" s="459"/>
      <c r="S68" s="116"/>
      <c r="T68" s="116"/>
      <c r="W68" s="116"/>
      <c r="X68" s="116"/>
      <c r="Y68" s="116"/>
      <c r="AB68" s="116"/>
      <c r="AC68" s="116"/>
      <c r="AD68" s="116"/>
      <c r="AG68" s="116"/>
      <c r="AH68" s="116"/>
      <c r="AI68" s="116"/>
    </row>
    <row r="69" spans="1:35" ht="18" customHeight="1">
      <c r="A69" s="252" t="s">
        <v>473</v>
      </c>
      <c r="B69" s="269"/>
      <c r="C69" s="236"/>
      <c r="D69" s="258"/>
      <c r="E69" s="259"/>
      <c r="F69" s="260"/>
      <c r="G69" s="270"/>
      <c r="H69" s="239"/>
      <c r="I69" s="167"/>
      <c r="J69" s="167"/>
      <c r="K69" s="167"/>
      <c r="L69" s="167"/>
      <c r="M69" s="167"/>
      <c r="N69" s="167"/>
      <c r="O69" s="167"/>
      <c r="P69" s="167"/>
      <c r="Q69" s="208"/>
      <c r="R69" s="459"/>
      <c r="S69" s="355"/>
      <c r="T69" s="355"/>
      <c r="U69" s="356"/>
      <c r="V69" s="356"/>
      <c r="W69" s="355"/>
      <c r="X69" s="355"/>
      <c r="Y69" s="355"/>
      <c r="Z69" s="356"/>
      <c r="AA69" s="356"/>
      <c r="AB69" s="355"/>
      <c r="AC69" s="355"/>
      <c r="AD69" s="355"/>
      <c r="AE69" s="356"/>
      <c r="AF69" s="356"/>
      <c r="AG69" s="116"/>
      <c r="AH69" s="116"/>
      <c r="AI69" s="116"/>
    </row>
    <row r="70" spans="1:35" s="369" customFormat="1" ht="13.5" customHeight="1" thickBot="1">
      <c r="A70" s="374"/>
      <c r="B70" s="375" t="s">
        <v>491</v>
      </c>
      <c r="C70" s="378" t="s">
        <v>471</v>
      </c>
      <c r="D70" s="376" t="str">
        <f>"    Selected"</f>
        <v xml:space="preserve">    Selected</v>
      </c>
      <c r="E70" s="377"/>
      <c r="F70" s="478" t="s">
        <v>474</v>
      </c>
      <c r="G70" s="478"/>
      <c r="H70" s="478"/>
      <c r="I70" s="364"/>
      <c r="J70" s="364"/>
      <c r="K70" s="364"/>
      <c r="L70" s="364"/>
      <c r="M70" s="364"/>
      <c r="N70" s="364"/>
      <c r="O70" s="364"/>
      <c r="P70" s="364"/>
      <c r="Q70" s="365"/>
      <c r="R70" s="460"/>
      <c r="S70" s="366"/>
      <c r="T70" s="366"/>
      <c r="U70" s="367"/>
      <c r="V70" s="367"/>
      <c r="W70" s="366"/>
      <c r="X70" s="366"/>
      <c r="Y70" s="366"/>
      <c r="Z70" s="367"/>
      <c r="AA70" s="367"/>
      <c r="AB70" s="366"/>
      <c r="AC70" s="366"/>
      <c r="AD70" s="366"/>
      <c r="AE70" s="367"/>
      <c r="AF70" s="367"/>
      <c r="AG70" s="368"/>
      <c r="AH70" s="368"/>
      <c r="AI70" s="368"/>
    </row>
    <row r="71" spans="1:35" ht="15">
      <c r="A71" s="317" t="s">
        <v>477</v>
      </c>
      <c r="B71" s="333">
        <f>Rcea1/1000</f>
        <v>30.360650005754309</v>
      </c>
      <c r="C71" s="311">
        <f>'Standard Value Calculator'!S27</f>
        <v>30.1</v>
      </c>
      <c r="D71" s="312">
        <f>C71</f>
        <v>30.1</v>
      </c>
      <c r="E71" s="313" t="s">
        <v>116</v>
      </c>
      <c r="F71" s="315">
        <f>Fz1_u/1000</f>
        <v>7.7757935935976326</v>
      </c>
      <c r="G71" s="332" t="s">
        <v>478</v>
      </c>
      <c r="H71" s="250"/>
      <c r="I71" s="167"/>
      <c r="J71" s="167"/>
      <c r="K71" s="167"/>
      <c r="L71" s="167"/>
      <c r="M71" s="167"/>
      <c r="N71" s="167"/>
      <c r="O71" s="167"/>
      <c r="P71" s="167"/>
      <c r="Q71" s="208"/>
      <c r="R71" s="459"/>
      <c r="S71" s="355"/>
      <c r="T71" s="355"/>
      <c r="U71" s="356"/>
      <c r="V71" s="356"/>
      <c r="W71" s="355"/>
      <c r="X71" s="355"/>
      <c r="Y71" s="355"/>
      <c r="Z71" s="356"/>
      <c r="AA71" s="356"/>
      <c r="AB71" s="355"/>
      <c r="AC71" s="355"/>
      <c r="AD71" s="355"/>
      <c r="AE71" s="356"/>
      <c r="AF71" s="356"/>
      <c r="AG71" s="116"/>
      <c r="AH71" s="116"/>
      <c r="AI71" s="116"/>
    </row>
    <row r="72" spans="1:35" ht="15">
      <c r="A72" s="318" t="s">
        <v>479</v>
      </c>
      <c r="B72" s="334">
        <f>Cc1ea*1000000000000</f>
        <v>655.26818119667826</v>
      </c>
      <c r="C72" s="264">
        <f>'Standard Value Calculator'!S28</f>
        <v>680</v>
      </c>
      <c r="D72" s="271">
        <f>C72</f>
        <v>680</v>
      </c>
      <c r="E72" s="314" t="s">
        <v>53</v>
      </c>
      <c r="F72" s="316">
        <f>Fz2_u/1000</f>
        <v>19.043937093392728</v>
      </c>
      <c r="G72" s="309" t="s">
        <v>480</v>
      </c>
      <c r="H72" s="250"/>
      <c r="I72" s="167"/>
      <c r="J72" s="167"/>
      <c r="K72" s="167"/>
      <c r="L72" s="167"/>
      <c r="M72" s="167"/>
      <c r="N72" s="167"/>
      <c r="O72" s="167"/>
      <c r="P72" s="167"/>
      <c r="Q72" s="208"/>
      <c r="R72" s="459"/>
      <c r="S72" s="355"/>
      <c r="T72" s="355"/>
      <c r="U72" s="356"/>
      <c r="V72" s="356"/>
      <c r="W72" s="355"/>
      <c r="X72" s="355"/>
      <c r="Y72" s="355"/>
      <c r="Z72" s="356"/>
      <c r="AA72" s="356"/>
      <c r="AB72" s="355"/>
      <c r="AC72" s="355"/>
      <c r="AD72" s="355"/>
      <c r="AE72" s="356"/>
      <c r="AF72" s="356"/>
      <c r="AG72" s="116"/>
      <c r="AH72" s="116"/>
      <c r="AI72" s="116"/>
    </row>
    <row r="73" spans="1:35" ht="15">
      <c r="A73" s="318" t="s">
        <v>481</v>
      </c>
      <c r="B73" s="334">
        <f>Cc2ea*1000000000000</f>
        <v>5.8768446744096714</v>
      </c>
      <c r="C73" s="264">
        <f>'Standard Value Calculator'!S29</f>
        <v>5.6</v>
      </c>
      <c r="D73" s="271">
        <f>C73</f>
        <v>5.6</v>
      </c>
      <c r="E73" s="314" t="s">
        <v>53</v>
      </c>
      <c r="F73" s="316">
        <f>Fp1_u/1000</f>
        <v>1483.9621750466795</v>
      </c>
      <c r="G73" s="309" t="s">
        <v>482</v>
      </c>
      <c r="H73" s="250"/>
      <c r="I73" s="167"/>
      <c r="J73" s="167"/>
      <c r="K73" s="167"/>
      <c r="L73" s="167"/>
      <c r="M73" s="167"/>
      <c r="N73" s="167"/>
      <c r="O73" s="167"/>
      <c r="P73" s="167"/>
      <c r="Q73" s="208"/>
      <c r="R73" s="459"/>
      <c r="S73" s="355"/>
      <c r="T73" s="355"/>
      <c r="U73" s="356"/>
      <c r="V73" s="356"/>
      <c r="W73" s="355"/>
      <c r="X73" s="355"/>
      <c r="Y73" s="355"/>
      <c r="Z73" s="356"/>
      <c r="AA73" s="356"/>
      <c r="AB73" s="355"/>
      <c r="AC73" s="355"/>
      <c r="AD73" s="355"/>
      <c r="AE73" s="356"/>
      <c r="AF73" s="356"/>
      <c r="AG73" s="116"/>
      <c r="AH73" s="116"/>
      <c r="AI73" s="116"/>
    </row>
    <row r="74" spans="1:35" ht="15">
      <c r="A74" s="318" t="s">
        <v>483</v>
      </c>
      <c r="B74" s="334">
        <f>Rcea2</f>
        <v>716.35311143270633</v>
      </c>
      <c r="C74" s="264">
        <f>'Standard Value Calculator'!S30</f>
        <v>715</v>
      </c>
      <c r="D74" s="271">
        <f>C74</f>
        <v>715</v>
      </c>
      <c r="E74" s="314" t="s">
        <v>280</v>
      </c>
      <c r="F74" s="316">
        <f>Fp2_u/1000</f>
        <v>951.97930138759614</v>
      </c>
      <c r="G74" s="309" t="s">
        <v>484</v>
      </c>
      <c r="H74" s="250"/>
      <c r="I74" s="167"/>
      <c r="J74" s="167"/>
      <c r="K74" s="167"/>
      <c r="L74" s="167"/>
      <c r="M74" s="167"/>
      <c r="N74" s="167"/>
      <c r="O74" s="167"/>
      <c r="P74" s="167"/>
      <c r="Q74" s="208"/>
      <c r="R74" s="459"/>
      <c r="S74" s="355"/>
      <c r="T74" s="355"/>
      <c r="U74" s="356"/>
      <c r="V74" s="356"/>
      <c r="W74" s="355"/>
      <c r="X74" s="355"/>
      <c r="Y74" s="355"/>
      <c r="Z74" s="356"/>
      <c r="AA74" s="356"/>
      <c r="AB74" s="355"/>
      <c r="AC74" s="355"/>
      <c r="AD74" s="355"/>
      <c r="AE74" s="356"/>
      <c r="AF74" s="356"/>
      <c r="AG74" s="116"/>
      <c r="AH74" s="116"/>
      <c r="AI74" s="116"/>
    </row>
    <row r="75" spans="1:35" ht="15" customHeight="1" thickBot="1">
      <c r="A75" s="344" t="s">
        <v>485</v>
      </c>
      <c r="B75" s="335">
        <f>Cc3ea*1000000000000</f>
        <v>158.69562164814667</v>
      </c>
      <c r="C75" s="327">
        <f>'Standard Value Calculator'!S31</f>
        <v>150</v>
      </c>
      <c r="D75" s="328">
        <f>C75</f>
        <v>150</v>
      </c>
      <c r="E75" s="329" t="s">
        <v>53</v>
      </c>
      <c r="F75" s="330"/>
      <c r="G75" s="331"/>
      <c r="H75" s="250"/>
      <c r="I75" s="167"/>
      <c r="J75" s="167"/>
      <c r="K75" s="167"/>
      <c r="L75" s="167"/>
      <c r="M75" s="167"/>
      <c r="N75" s="167"/>
      <c r="O75" s="167"/>
      <c r="P75" s="167"/>
      <c r="Q75" s="208"/>
      <c r="R75" s="459"/>
      <c r="S75" s="355"/>
      <c r="T75" s="355"/>
      <c r="U75" s="356"/>
      <c r="V75" s="356"/>
      <c r="W75" s="355"/>
      <c r="X75" s="355"/>
      <c r="Y75" s="355"/>
      <c r="Z75" s="356"/>
      <c r="AA75" s="356"/>
      <c r="AB75" s="355"/>
      <c r="AC75" s="355"/>
      <c r="AD75" s="355"/>
      <c r="AE75" s="356"/>
      <c r="AF75" s="356"/>
      <c r="AG75" s="116"/>
      <c r="AH75" s="116"/>
      <c r="AI75" s="116"/>
    </row>
    <row r="76" spans="1:35" ht="15" thickBot="1">
      <c r="A76" s="238"/>
      <c r="B76" s="236"/>
      <c r="C76" s="236"/>
      <c r="D76" s="239"/>
      <c r="E76" s="239"/>
      <c r="F76" s="239"/>
      <c r="G76" s="239"/>
      <c r="H76" s="239"/>
      <c r="I76" s="167"/>
      <c r="J76" s="167"/>
      <c r="K76" s="167"/>
      <c r="L76" s="167"/>
      <c r="M76" s="167"/>
      <c r="N76" s="167"/>
      <c r="O76" s="167"/>
      <c r="P76" s="167"/>
      <c r="Q76" s="208"/>
      <c r="R76" s="459"/>
      <c r="S76" s="355"/>
      <c r="T76" s="355"/>
      <c r="U76" s="356"/>
      <c r="V76" s="356"/>
      <c r="W76" s="355"/>
      <c r="X76" s="355"/>
      <c r="Y76" s="355"/>
      <c r="Z76" s="356"/>
      <c r="AA76" s="356"/>
      <c r="AB76" s="355"/>
      <c r="AC76" s="355"/>
      <c r="AD76" s="355"/>
      <c r="AE76" s="356"/>
      <c r="AF76" s="356"/>
      <c r="AG76" s="116"/>
      <c r="AH76" s="116"/>
      <c r="AI76" s="116"/>
    </row>
    <row r="77" spans="1:35" s="170" customFormat="1" ht="19" thickBot="1">
      <c r="A77" s="345" t="s">
        <v>488</v>
      </c>
      <c r="B77" s="256"/>
      <c r="C77" s="272"/>
      <c r="D77" s="272"/>
      <c r="E77" s="272"/>
      <c r="F77" s="272"/>
      <c r="G77" s="272"/>
      <c r="H77" s="272"/>
      <c r="I77" s="168"/>
      <c r="J77" s="168"/>
      <c r="K77" s="168"/>
      <c r="L77" s="168"/>
      <c r="M77" s="168"/>
      <c r="N77" s="168"/>
      <c r="O77" s="168"/>
      <c r="P77" s="168"/>
      <c r="Q77" s="169"/>
      <c r="R77" s="461"/>
      <c r="S77" s="357"/>
      <c r="T77" s="357"/>
      <c r="U77" s="358"/>
      <c r="V77" s="358"/>
      <c r="W77" s="357"/>
      <c r="X77" s="357"/>
      <c r="Y77" s="357"/>
      <c r="Z77" s="358"/>
      <c r="AA77" s="358"/>
      <c r="AB77" s="357"/>
      <c r="AC77" s="357"/>
      <c r="AD77" s="357"/>
      <c r="AE77" s="358"/>
      <c r="AF77" s="358"/>
      <c r="AG77" s="117"/>
      <c r="AH77" s="117"/>
      <c r="AI77" s="117"/>
    </row>
    <row r="78" spans="1:35">
      <c r="A78" s="342"/>
      <c r="B78" s="250"/>
      <c r="C78" s="239"/>
      <c r="D78" s="239"/>
      <c r="E78" s="239"/>
      <c r="F78" s="239"/>
      <c r="G78" s="239"/>
      <c r="H78" s="239"/>
      <c r="I78" s="167"/>
      <c r="J78" s="167"/>
      <c r="K78" s="167"/>
      <c r="L78" s="167"/>
      <c r="M78" s="167"/>
      <c r="N78" s="167"/>
      <c r="O78" s="167"/>
      <c r="P78" s="167"/>
      <c r="Q78" s="208"/>
      <c r="R78" s="459"/>
      <c r="S78" s="355"/>
      <c r="T78" s="355"/>
      <c r="U78" s="356"/>
      <c r="V78" s="356"/>
      <c r="W78" s="355"/>
      <c r="X78" s="355"/>
      <c r="Y78" s="355"/>
      <c r="Z78" s="356"/>
      <c r="AA78" s="356"/>
      <c r="AB78" s="355"/>
      <c r="AC78" s="355"/>
      <c r="AD78" s="355"/>
      <c r="AE78" s="356"/>
      <c r="AF78" s="356"/>
      <c r="AG78" s="116"/>
      <c r="AH78" s="116"/>
      <c r="AI78" s="116"/>
    </row>
    <row r="79" spans="1:35" ht="18">
      <c r="A79" s="274" t="s">
        <v>382</v>
      </c>
      <c r="B79" s="246"/>
      <c r="C79" s="239"/>
      <c r="D79" s="239"/>
      <c r="E79" s="239"/>
      <c r="F79" s="239"/>
      <c r="G79" s="239"/>
      <c r="H79" s="239"/>
      <c r="I79" s="167"/>
      <c r="J79" s="167"/>
      <c r="K79" s="167"/>
      <c r="L79" s="167"/>
      <c r="M79" s="167"/>
      <c r="N79" s="167"/>
      <c r="O79" s="167"/>
      <c r="P79" s="167"/>
      <c r="Q79" s="208"/>
      <c r="R79" s="459"/>
      <c r="S79" s="355"/>
      <c r="T79" s="355"/>
      <c r="U79" s="356"/>
      <c r="V79" s="356"/>
      <c r="W79" s="355"/>
      <c r="X79" s="355"/>
      <c r="Y79" s="355"/>
      <c r="Z79" s="356"/>
      <c r="AA79" s="356"/>
      <c r="AB79" s="355"/>
      <c r="AC79" s="355"/>
      <c r="AD79" s="355"/>
      <c r="AE79" s="356"/>
      <c r="AF79" s="356"/>
      <c r="AG79" s="116"/>
      <c r="AH79" s="116"/>
      <c r="AI79" s="116"/>
    </row>
    <row r="80" spans="1:35" ht="13.5" customHeight="1" thickBot="1">
      <c r="A80" s="238"/>
      <c r="B80" s="239"/>
      <c r="C80" s="239"/>
      <c r="D80" s="239"/>
      <c r="E80" s="239"/>
      <c r="F80" s="239"/>
      <c r="G80" s="239"/>
      <c r="H80" s="239"/>
      <c r="I80" s="167"/>
      <c r="J80" s="167"/>
      <c r="K80" s="167"/>
      <c r="L80" s="167"/>
      <c r="M80" s="167"/>
      <c r="N80" s="167"/>
      <c r="O80" s="167"/>
      <c r="P80" s="167"/>
      <c r="Q80" s="208"/>
      <c r="R80" s="459"/>
      <c r="S80" s="355"/>
      <c r="T80" s="232"/>
      <c r="U80" s="232"/>
      <c r="V80" s="356"/>
      <c r="W80" s="355"/>
      <c r="X80" s="355"/>
      <c r="Y80" s="355"/>
      <c r="Z80" s="356"/>
      <c r="AA80" s="356"/>
      <c r="AB80" s="355"/>
      <c r="AC80" s="355"/>
      <c r="AD80" s="355"/>
      <c r="AE80" s="356"/>
      <c r="AF80" s="356"/>
      <c r="AG80" s="116"/>
      <c r="AH80" s="116"/>
      <c r="AI80" s="116"/>
    </row>
    <row r="81" spans="1:35" ht="18" customHeight="1">
      <c r="A81" s="319"/>
      <c r="B81" s="320"/>
      <c r="C81" s="321"/>
      <c r="D81" s="370" t="s">
        <v>608</v>
      </c>
      <c r="E81" s="443" t="s">
        <v>624</v>
      </c>
      <c r="F81" s="322"/>
      <c r="G81" s="239"/>
      <c r="H81" s="239"/>
      <c r="I81" s="167"/>
      <c r="J81" s="167"/>
      <c r="K81" s="167"/>
      <c r="L81" s="167"/>
      <c r="M81" s="167"/>
      <c r="N81" s="167"/>
      <c r="O81" s="167"/>
      <c r="P81" s="167"/>
      <c r="Q81" s="208"/>
      <c r="R81" s="459"/>
      <c r="S81" s="355"/>
      <c r="T81" s="232"/>
      <c r="U81" s="232"/>
      <c r="V81" s="356"/>
      <c r="W81" s="355"/>
      <c r="X81" s="355"/>
      <c r="Y81" s="355"/>
      <c r="Z81" s="356"/>
      <c r="AA81" s="356"/>
      <c r="AB81" s="355"/>
      <c r="AC81" s="355"/>
      <c r="AD81" s="355"/>
      <c r="AE81" s="356"/>
      <c r="AF81" s="356"/>
      <c r="AG81" s="116"/>
      <c r="AH81" s="116"/>
      <c r="AI81" s="116"/>
    </row>
    <row r="82" spans="1:35" ht="14.5" customHeight="1">
      <c r="A82" s="238"/>
      <c r="B82" s="239"/>
      <c r="C82" s="251"/>
      <c r="D82" s="235" t="s">
        <v>637</v>
      </c>
      <c r="E82" s="441">
        <v>3.9</v>
      </c>
      <c r="F82" s="297" t="s">
        <v>115</v>
      </c>
      <c r="G82" s="239"/>
      <c r="H82" s="239"/>
      <c r="I82" s="167"/>
      <c r="J82" s="167"/>
      <c r="K82" s="167"/>
      <c r="L82" s="167"/>
      <c r="M82" s="167"/>
      <c r="N82" s="167"/>
      <c r="O82" s="167"/>
      <c r="P82" s="167"/>
      <c r="Q82" s="208"/>
      <c r="R82" s="459"/>
      <c r="S82" s="355"/>
      <c r="T82" s="232"/>
      <c r="U82" s="232"/>
      <c r="V82" s="356"/>
      <c r="W82" s="355"/>
      <c r="X82" s="355"/>
      <c r="Y82" s="355"/>
      <c r="Z82" s="356"/>
      <c r="AA82" s="356"/>
      <c r="AB82" s="355"/>
      <c r="AC82" s="355"/>
      <c r="AD82" s="355"/>
      <c r="AE82" s="356"/>
      <c r="AF82" s="356"/>
      <c r="AG82" s="116"/>
      <c r="AH82" s="116"/>
      <c r="AI82" s="116"/>
    </row>
    <row r="83" spans="1:35" ht="14.5" customHeight="1">
      <c r="A83" s="238"/>
      <c r="B83" s="239"/>
      <c r="C83" s="251"/>
      <c r="D83" s="235" t="s">
        <v>638</v>
      </c>
      <c r="E83" s="441">
        <v>10.5</v>
      </c>
      <c r="F83" s="297" t="s">
        <v>137</v>
      </c>
      <c r="G83" s="239"/>
      <c r="H83" s="239"/>
      <c r="I83" s="167"/>
      <c r="J83" s="167"/>
      <c r="K83" s="167"/>
      <c r="L83" s="167"/>
      <c r="M83" s="167"/>
      <c r="N83" s="167"/>
      <c r="O83" s="167"/>
      <c r="P83" s="167"/>
      <c r="Q83" s="208"/>
      <c r="R83" s="459"/>
      <c r="S83" s="355"/>
      <c r="T83" s="232"/>
      <c r="U83" s="232"/>
      <c r="V83" s="356"/>
      <c r="W83" s="355"/>
      <c r="X83" s="355"/>
      <c r="Y83" s="355"/>
      <c r="Z83" s="356"/>
      <c r="AA83" s="356"/>
      <c r="AB83" s="355"/>
      <c r="AC83" s="355"/>
      <c r="AD83" s="355"/>
      <c r="AE83" s="356"/>
      <c r="AF83" s="356"/>
      <c r="AG83" s="116"/>
      <c r="AH83" s="116"/>
      <c r="AI83" s="116"/>
    </row>
    <row r="84" spans="1:35" ht="14.5" customHeight="1">
      <c r="A84" s="238"/>
      <c r="B84" s="239"/>
      <c r="C84" s="251"/>
      <c r="D84" s="235" t="s">
        <v>639</v>
      </c>
      <c r="E84" s="253">
        <v>2.2999999999999998</v>
      </c>
      <c r="F84" s="297" t="s">
        <v>137</v>
      </c>
      <c r="G84" s="239"/>
      <c r="H84" s="239"/>
      <c r="I84" s="167"/>
      <c r="J84" s="167"/>
      <c r="K84" s="167"/>
      <c r="L84" s="167"/>
      <c r="M84" s="167"/>
      <c r="N84" s="167"/>
      <c r="O84" s="167"/>
      <c r="P84" s="167"/>
      <c r="Q84" s="208"/>
      <c r="R84" s="459"/>
      <c r="S84" s="355"/>
      <c r="T84" s="232"/>
      <c r="U84" s="232"/>
      <c r="V84" s="356"/>
      <c r="W84" s="355"/>
      <c r="X84" s="355"/>
      <c r="Y84" s="355"/>
      <c r="Z84" s="356"/>
      <c r="AA84" s="356"/>
      <c r="AB84" s="355"/>
      <c r="AC84" s="355"/>
      <c r="AD84" s="355"/>
      <c r="AE84" s="356"/>
      <c r="AF84" s="356"/>
      <c r="AG84" s="116"/>
      <c r="AH84" s="116"/>
      <c r="AI84" s="116"/>
    </row>
    <row r="85" spans="1:35" ht="14.5" customHeight="1">
      <c r="A85" s="238"/>
      <c r="B85" s="239"/>
      <c r="C85" s="251"/>
      <c r="D85" s="235" t="s">
        <v>640</v>
      </c>
      <c r="E85" s="253">
        <v>3.2</v>
      </c>
      <c r="F85" s="297" t="s">
        <v>137</v>
      </c>
      <c r="G85" s="239"/>
      <c r="H85" s="239"/>
      <c r="I85" s="167"/>
      <c r="J85" s="167"/>
      <c r="K85" s="167"/>
      <c r="L85" s="167"/>
      <c r="M85" s="167"/>
      <c r="N85" s="167"/>
      <c r="O85" s="167"/>
      <c r="P85" s="167"/>
      <c r="Q85" s="208"/>
      <c r="R85" s="459"/>
      <c r="S85" s="355"/>
      <c r="T85" s="232"/>
      <c r="U85" s="232"/>
      <c r="V85" s="356"/>
      <c r="W85" s="355"/>
      <c r="X85" s="355"/>
      <c r="Y85" s="355"/>
      <c r="Z85" s="356"/>
      <c r="AA85" s="356"/>
      <c r="AB85" s="355"/>
      <c r="AC85" s="355"/>
      <c r="AD85" s="355"/>
      <c r="AE85" s="356"/>
      <c r="AF85" s="356"/>
      <c r="AG85" s="116"/>
      <c r="AH85" s="116"/>
      <c r="AI85" s="116"/>
    </row>
    <row r="86" spans="1:35" ht="14.5" customHeight="1">
      <c r="A86" s="238"/>
      <c r="B86" s="239"/>
      <c r="C86" s="251"/>
      <c r="D86" s="235" t="s">
        <v>641</v>
      </c>
      <c r="E86" s="253">
        <v>0.6</v>
      </c>
      <c r="F86" s="297" t="s">
        <v>280</v>
      </c>
      <c r="G86" s="239"/>
      <c r="H86" s="239"/>
      <c r="I86" s="167"/>
      <c r="J86" s="167"/>
      <c r="K86" s="167"/>
      <c r="L86" s="167"/>
      <c r="M86" s="167"/>
      <c r="N86" s="167"/>
      <c r="O86" s="167"/>
      <c r="P86" s="167"/>
      <c r="Q86" s="208"/>
      <c r="R86" s="459"/>
      <c r="S86" s="355"/>
      <c r="T86" s="232"/>
      <c r="U86" s="232"/>
      <c r="V86" s="356"/>
      <c r="W86" s="355"/>
      <c r="X86" s="355"/>
      <c r="Y86" s="355"/>
      <c r="Z86" s="356"/>
      <c r="AA86" s="356"/>
      <c r="AB86" s="355"/>
      <c r="AC86" s="355"/>
      <c r="AD86" s="355"/>
      <c r="AE86" s="356"/>
      <c r="AF86" s="356"/>
      <c r="AG86" s="116"/>
      <c r="AH86" s="116"/>
      <c r="AI86" s="116"/>
    </row>
    <row r="87" spans="1:35" ht="14.5" customHeight="1">
      <c r="A87" s="238"/>
      <c r="B87" s="239"/>
      <c r="C87" s="251"/>
      <c r="D87" s="235" t="s">
        <v>642</v>
      </c>
      <c r="E87" s="253">
        <v>90</v>
      </c>
      <c r="F87" s="297" t="s">
        <v>138</v>
      </c>
      <c r="G87" s="239"/>
      <c r="H87" s="239"/>
      <c r="I87" s="167"/>
      <c r="J87" s="167"/>
      <c r="K87" s="167"/>
      <c r="L87" s="167"/>
      <c r="M87" s="167"/>
      <c r="N87" s="167"/>
      <c r="O87" s="167"/>
      <c r="P87" s="167"/>
      <c r="Q87" s="208"/>
      <c r="R87" s="459"/>
      <c r="S87" s="355"/>
      <c r="T87" s="232"/>
      <c r="U87" s="232"/>
      <c r="V87" s="356"/>
      <c r="W87" s="355"/>
      <c r="X87" s="355"/>
      <c r="Y87" s="355"/>
      <c r="Z87" s="356"/>
      <c r="AA87" s="356"/>
      <c r="AB87" s="355"/>
      <c r="AC87" s="355"/>
      <c r="AD87" s="355"/>
      <c r="AE87" s="356"/>
      <c r="AF87" s="356"/>
      <c r="AG87" s="116"/>
      <c r="AH87" s="116"/>
      <c r="AI87" s="116"/>
    </row>
    <row r="88" spans="1:35" ht="14.5" customHeight="1">
      <c r="A88" s="238"/>
      <c r="B88" s="239"/>
      <c r="C88" s="251"/>
      <c r="D88" s="235" t="s">
        <v>643</v>
      </c>
      <c r="E88" s="253">
        <v>1.9</v>
      </c>
      <c r="F88" s="297" t="s">
        <v>0</v>
      </c>
      <c r="G88" s="239"/>
      <c r="H88" s="239"/>
      <c r="I88" s="167"/>
      <c r="J88" s="167"/>
      <c r="K88" s="167"/>
      <c r="L88" s="167"/>
      <c r="M88" s="167"/>
      <c r="N88" s="167"/>
      <c r="O88" s="167"/>
      <c r="P88" s="167"/>
      <c r="Q88" s="208"/>
      <c r="R88" s="459"/>
      <c r="S88" s="355"/>
      <c r="T88" s="232"/>
      <c r="U88" s="232"/>
      <c r="V88" s="356"/>
      <c r="W88" s="355"/>
      <c r="X88" s="355"/>
      <c r="Y88" s="355"/>
      <c r="Z88" s="356"/>
      <c r="AA88" s="356"/>
      <c r="AB88" s="355"/>
      <c r="AC88" s="355"/>
      <c r="AD88" s="355"/>
      <c r="AE88" s="356"/>
      <c r="AF88" s="356"/>
      <c r="AG88" s="116"/>
      <c r="AH88" s="116"/>
      <c r="AI88" s="116"/>
    </row>
    <row r="89" spans="1:35" ht="14.5" customHeight="1">
      <c r="A89" s="238"/>
      <c r="B89" s="239"/>
      <c r="C89" s="251"/>
      <c r="D89" s="235" t="s">
        <v>649</v>
      </c>
      <c r="E89" s="253">
        <v>0.8</v>
      </c>
      <c r="F89" s="297" t="s">
        <v>0</v>
      </c>
      <c r="G89" s="239"/>
      <c r="H89" s="239"/>
      <c r="I89" s="167"/>
      <c r="J89" s="167"/>
      <c r="K89" s="167"/>
      <c r="L89" s="167"/>
      <c r="M89" s="167"/>
      <c r="N89" s="167"/>
      <c r="O89" s="167"/>
      <c r="P89" s="167"/>
      <c r="Q89" s="208"/>
      <c r="R89" s="459"/>
      <c r="S89" s="355"/>
      <c r="T89" s="232"/>
      <c r="U89" s="232"/>
      <c r="V89" s="356"/>
      <c r="W89" s="355"/>
      <c r="X89" s="355"/>
      <c r="Y89" s="355"/>
      <c r="Z89" s="356"/>
      <c r="AA89" s="356"/>
      <c r="AB89" s="355"/>
      <c r="AC89" s="355"/>
      <c r="AD89" s="355"/>
      <c r="AE89" s="356"/>
      <c r="AF89" s="356"/>
      <c r="AG89" s="116"/>
      <c r="AH89" s="116"/>
      <c r="AI89" s="116"/>
    </row>
    <row r="90" spans="1:35" ht="14.5" customHeight="1" thickBot="1">
      <c r="A90" s="360"/>
      <c r="B90" s="324"/>
      <c r="C90" s="361"/>
      <c r="D90" s="325" t="s">
        <v>644</v>
      </c>
      <c r="E90" s="436">
        <v>50</v>
      </c>
      <c r="F90" s="326" t="s">
        <v>403</v>
      </c>
      <c r="G90" s="239"/>
      <c r="H90" s="239"/>
      <c r="I90" s="167"/>
      <c r="J90" s="167"/>
      <c r="K90" s="167"/>
      <c r="L90" s="167"/>
      <c r="M90" s="167"/>
      <c r="N90" s="167"/>
      <c r="O90" s="167"/>
      <c r="P90" s="167"/>
      <c r="Q90" s="208"/>
      <c r="R90" s="459"/>
      <c r="S90" s="355"/>
      <c r="T90" s="232"/>
      <c r="U90" s="232"/>
      <c r="V90" s="356"/>
      <c r="W90" s="355"/>
      <c r="X90" s="355"/>
      <c r="Y90" s="355"/>
      <c r="Z90" s="356"/>
      <c r="AA90" s="356"/>
      <c r="AB90" s="355"/>
      <c r="AC90" s="355"/>
      <c r="AD90" s="355"/>
      <c r="AE90" s="356"/>
      <c r="AF90" s="356"/>
      <c r="AG90" s="116"/>
      <c r="AH90" s="116"/>
      <c r="AI90" s="116"/>
    </row>
    <row r="91" spans="1:35" ht="14.5" customHeight="1" thickBot="1">
      <c r="A91" s="238"/>
      <c r="B91" s="239"/>
      <c r="C91" s="251"/>
      <c r="D91" s="235"/>
      <c r="E91" s="359"/>
      <c r="F91" s="362"/>
      <c r="G91" s="239"/>
      <c r="H91" s="239"/>
      <c r="I91" s="167"/>
      <c r="J91" s="167"/>
      <c r="K91" s="167"/>
      <c r="L91" s="167"/>
      <c r="M91" s="167"/>
      <c r="N91" s="167"/>
      <c r="O91" s="167"/>
      <c r="P91" s="167"/>
      <c r="Q91" s="208"/>
      <c r="R91" s="459"/>
      <c r="S91" s="355"/>
      <c r="T91" s="232"/>
      <c r="U91" s="232"/>
      <c r="V91" s="356"/>
      <c r="W91" s="355"/>
      <c r="X91" s="355"/>
      <c r="Y91" s="355"/>
      <c r="Z91" s="356"/>
      <c r="AA91" s="356"/>
      <c r="AB91" s="355"/>
      <c r="AC91" s="355"/>
      <c r="AD91" s="355"/>
      <c r="AE91" s="356"/>
      <c r="AF91" s="356"/>
      <c r="AG91" s="116"/>
      <c r="AH91" s="116"/>
      <c r="AI91" s="116"/>
    </row>
    <row r="92" spans="1:35" ht="18" customHeight="1">
      <c r="A92" s="319"/>
      <c r="B92" s="320"/>
      <c r="C92" s="323"/>
      <c r="D92" s="370" t="s">
        <v>609</v>
      </c>
      <c r="E92" s="443" t="s">
        <v>624</v>
      </c>
      <c r="F92" s="322"/>
      <c r="G92" s="239"/>
      <c r="H92" s="239"/>
      <c r="I92" s="167"/>
      <c r="J92" s="167"/>
      <c r="K92" s="167"/>
      <c r="L92" s="167"/>
      <c r="M92" s="167"/>
      <c r="N92" s="167"/>
      <c r="O92" s="167"/>
      <c r="P92" s="167"/>
      <c r="Q92" s="208"/>
      <c r="R92" s="459"/>
      <c r="S92" s="355"/>
      <c r="T92" s="232"/>
      <c r="U92" s="232"/>
      <c r="V92" s="356"/>
      <c r="W92" s="355"/>
      <c r="X92" s="355"/>
      <c r="Y92" s="355"/>
      <c r="Z92" s="356"/>
      <c r="AA92" s="356"/>
      <c r="AB92" s="355"/>
      <c r="AC92" s="355"/>
      <c r="AD92" s="355"/>
      <c r="AE92" s="356"/>
      <c r="AF92" s="356"/>
      <c r="AG92" s="116"/>
      <c r="AH92" s="116"/>
      <c r="AI92" s="116"/>
    </row>
    <row r="93" spans="1:35" ht="14.5" customHeight="1">
      <c r="A93" s="238"/>
      <c r="B93" s="239"/>
      <c r="C93" s="239"/>
      <c r="D93" s="235" t="s">
        <v>637</v>
      </c>
      <c r="E93" s="253">
        <v>0.9</v>
      </c>
      <c r="F93" s="297" t="s">
        <v>115</v>
      </c>
      <c r="G93" s="239"/>
      <c r="H93" s="239"/>
      <c r="I93" s="167"/>
      <c r="J93" s="167"/>
      <c r="K93" s="167"/>
      <c r="L93" s="167"/>
      <c r="M93" s="167"/>
      <c r="N93" s="167"/>
      <c r="O93" s="167"/>
      <c r="P93" s="167"/>
      <c r="Q93" s="208"/>
      <c r="R93" s="459"/>
      <c r="S93" s="355"/>
      <c r="T93" s="232"/>
      <c r="U93" s="232"/>
      <c r="V93" s="356"/>
      <c r="W93" s="355"/>
      <c r="X93" s="355"/>
      <c r="Y93" s="355"/>
      <c r="Z93" s="356"/>
      <c r="AA93" s="356"/>
      <c r="AB93" s="355"/>
      <c r="AC93" s="355"/>
      <c r="AD93" s="355"/>
      <c r="AE93" s="356"/>
      <c r="AF93" s="356"/>
      <c r="AG93" s="116"/>
      <c r="AH93" s="116"/>
      <c r="AI93" s="116"/>
    </row>
    <row r="94" spans="1:35" ht="14.5" customHeight="1">
      <c r="A94" s="238"/>
      <c r="B94" s="239"/>
      <c r="C94" s="239"/>
      <c r="D94" s="235" t="s">
        <v>638</v>
      </c>
      <c r="E94" s="253">
        <v>24</v>
      </c>
      <c r="F94" s="297" t="s">
        <v>137</v>
      </c>
      <c r="G94" s="239"/>
      <c r="H94" s="239"/>
      <c r="I94" s="167"/>
      <c r="J94" s="167"/>
      <c r="K94" s="167"/>
      <c r="L94" s="167"/>
      <c r="M94" s="167"/>
      <c r="N94" s="167"/>
      <c r="O94" s="167"/>
      <c r="P94" s="167"/>
      <c r="Q94" s="208"/>
      <c r="R94" s="459"/>
      <c r="S94" s="355"/>
      <c r="T94" s="232"/>
      <c r="U94" s="232"/>
      <c r="V94" s="356"/>
      <c r="W94" s="355"/>
      <c r="X94" s="355"/>
      <c r="Y94" s="355"/>
      <c r="Z94" s="356"/>
      <c r="AA94" s="356"/>
      <c r="AB94" s="355"/>
      <c r="AC94" s="355"/>
      <c r="AD94" s="355"/>
      <c r="AE94" s="356"/>
      <c r="AF94" s="356"/>
      <c r="AG94" s="116"/>
      <c r="AH94" s="116"/>
      <c r="AI94" s="116"/>
    </row>
    <row r="95" spans="1:35" ht="14.5" customHeight="1">
      <c r="A95" s="238"/>
      <c r="B95" s="239"/>
      <c r="C95" s="239"/>
      <c r="D95" s="235" t="s">
        <v>647</v>
      </c>
      <c r="E95" s="253">
        <v>0.77</v>
      </c>
      <c r="F95" s="297" t="s">
        <v>0</v>
      </c>
      <c r="G95" s="239"/>
      <c r="H95" s="239"/>
      <c r="I95" s="167"/>
      <c r="J95" s="167"/>
      <c r="K95" s="167"/>
      <c r="L95" s="167"/>
      <c r="M95" s="167"/>
      <c r="N95" s="167"/>
      <c r="O95" s="167"/>
      <c r="P95" s="167"/>
      <c r="Q95" s="208"/>
      <c r="R95" s="459"/>
      <c r="S95" s="116"/>
      <c r="T95" s="6"/>
      <c r="U95" s="6"/>
      <c r="W95" s="116"/>
      <c r="X95" s="116"/>
      <c r="Y95" s="116"/>
      <c r="AB95" s="116"/>
      <c r="AC95" s="116"/>
      <c r="AD95" s="116"/>
      <c r="AG95" s="116"/>
      <c r="AH95" s="116"/>
      <c r="AI95" s="116"/>
    </row>
    <row r="96" spans="1:35" ht="14.5" customHeight="1">
      <c r="A96" s="238"/>
      <c r="B96" s="239"/>
      <c r="C96" s="239"/>
      <c r="D96" s="235" t="s">
        <v>645</v>
      </c>
      <c r="E96" s="253">
        <v>82</v>
      </c>
      <c r="F96" s="297" t="s">
        <v>137</v>
      </c>
      <c r="G96" s="239"/>
      <c r="H96" s="239"/>
      <c r="I96" s="167"/>
      <c r="J96" s="167"/>
      <c r="K96" s="167"/>
      <c r="L96" s="167"/>
      <c r="M96" s="167"/>
      <c r="N96" s="167"/>
      <c r="O96" s="167"/>
      <c r="P96" s="167"/>
      <c r="Q96" s="208"/>
      <c r="R96" s="459"/>
      <c r="S96" s="116"/>
      <c r="T96" s="116"/>
      <c r="W96" s="116"/>
      <c r="X96" s="116"/>
      <c r="Y96" s="116"/>
      <c r="AB96" s="116"/>
      <c r="AC96" s="116"/>
      <c r="AD96" s="116"/>
      <c r="AG96" s="116"/>
      <c r="AH96" s="116"/>
      <c r="AI96" s="116"/>
    </row>
    <row r="97" spans="1:35" ht="14.5" customHeight="1">
      <c r="A97" s="238"/>
      <c r="B97" s="239"/>
      <c r="C97" s="239"/>
      <c r="D97" s="235" t="s">
        <v>644</v>
      </c>
      <c r="E97" s="253">
        <v>50</v>
      </c>
      <c r="F97" s="297" t="s">
        <v>403</v>
      </c>
      <c r="G97" s="239"/>
      <c r="H97" s="239"/>
      <c r="I97" s="167"/>
      <c r="J97" s="167"/>
      <c r="K97" s="167"/>
      <c r="L97" s="167"/>
      <c r="M97" s="167"/>
      <c r="N97" s="167"/>
      <c r="O97" s="167"/>
      <c r="P97" s="167"/>
      <c r="Q97" s="208"/>
      <c r="R97" s="459"/>
      <c r="S97" s="116"/>
      <c r="T97" s="116"/>
      <c r="W97" s="116"/>
      <c r="X97" s="116"/>
      <c r="Y97" s="116"/>
      <c r="AB97" s="116"/>
      <c r="AC97" s="116"/>
      <c r="AD97" s="116"/>
      <c r="AG97" s="116"/>
      <c r="AH97" s="116"/>
      <c r="AI97" s="116"/>
    </row>
    <row r="98" spans="1:35" ht="18" customHeight="1">
      <c r="A98" s="252"/>
      <c r="B98" s="251"/>
      <c r="C98" s="239"/>
      <c r="D98" s="363" t="s">
        <v>489</v>
      </c>
      <c r="E98" s="251"/>
      <c r="F98" s="297"/>
      <c r="G98" s="239"/>
      <c r="H98" s="239"/>
      <c r="I98" s="167"/>
      <c r="J98" s="167"/>
      <c r="K98" s="167"/>
      <c r="L98" s="167"/>
      <c r="M98" s="167"/>
      <c r="N98" s="167"/>
      <c r="O98" s="167"/>
      <c r="P98" s="167"/>
      <c r="Q98" s="208"/>
      <c r="R98" s="459"/>
      <c r="S98" s="116"/>
      <c r="T98" s="116"/>
      <c r="W98" s="116"/>
      <c r="X98" s="116"/>
      <c r="Y98" s="116"/>
      <c r="AB98" s="116"/>
      <c r="AC98" s="116"/>
      <c r="AD98" s="116"/>
      <c r="AG98" s="116"/>
      <c r="AH98" s="116"/>
      <c r="AI98" s="116"/>
    </row>
    <row r="99" spans="1:35" ht="14.5" customHeight="1">
      <c r="A99" s="238"/>
      <c r="B99" s="239"/>
      <c r="C99" s="239"/>
      <c r="D99" s="235" t="s">
        <v>648</v>
      </c>
      <c r="E99" s="437">
        <v>0</v>
      </c>
      <c r="F99" s="297" t="s">
        <v>0</v>
      </c>
      <c r="G99" s="239"/>
      <c r="H99" s="239"/>
      <c r="I99" s="171"/>
      <c r="J99" s="172"/>
      <c r="K99" s="167"/>
      <c r="L99" s="167"/>
      <c r="M99" s="167"/>
      <c r="N99" s="167"/>
      <c r="O99" s="167"/>
      <c r="P99" s="167"/>
      <c r="Q99" s="208"/>
      <c r="R99" s="459"/>
      <c r="S99" s="116"/>
      <c r="T99" s="116"/>
      <c r="W99" s="116"/>
      <c r="X99" s="116"/>
      <c r="Y99" s="116"/>
      <c r="AB99" s="116"/>
      <c r="AC99" s="116"/>
      <c r="AD99" s="116"/>
      <c r="AG99" s="116"/>
      <c r="AH99" s="116"/>
      <c r="AI99" s="116"/>
    </row>
    <row r="100" spans="1:35" ht="14.5" customHeight="1" thickBot="1">
      <c r="A100" s="292"/>
      <c r="B100" s="324"/>
      <c r="C100" s="324"/>
      <c r="D100" s="325" t="s">
        <v>646</v>
      </c>
      <c r="E100" s="438">
        <v>0</v>
      </c>
      <c r="F100" s="326" t="s">
        <v>137</v>
      </c>
      <c r="G100" s="239"/>
      <c r="H100" s="239"/>
      <c r="I100" s="167"/>
      <c r="J100" s="167"/>
      <c r="K100" s="167"/>
      <c r="L100" s="167"/>
      <c r="M100" s="167"/>
      <c r="N100" s="167"/>
      <c r="O100" s="167"/>
      <c r="P100" s="167"/>
      <c r="Q100" s="208"/>
      <c r="R100" s="459"/>
      <c r="S100" s="116"/>
      <c r="T100" s="116"/>
      <c r="W100" s="116"/>
      <c r="X100" s="116"/>
      <c r="Y100" s="116"/>
      <c r="AB100" s="116"/>
      <c r="AC100" s="116"/>
      <c r="AD100" s="116"/>
      <c r="AG100" s="116"/>
      <c r="AH100" s="116"/>
      <c r="AI100" s="116"/>
    </row>
    <row r="101" spans="1:35" ht="14.5" customHeight="1">
      <c r="A101" s="238"/>
      <c r="B101" s="239"/>
      <c r="C101" s="239"/>
      <c r="D101" s="235"/>
      <c r="E101" s="353"/>
      <c r="F101" s="239"/>
      <c r="G101" s="239"/>
      <c r="H101" s="239"/>
      <c r="I101" s="167"/>
      <c r="J101" s="167"/>
      <c r="K101" s="167"/>
      <c r="L101" s="167"/>
      <c r="M101" s="167"/>
      <c r="N101" s="167"/>
      <c r="O101" s="167"/>
      <c r="P101" s="167"/>
      <c r="Q101" s="208"/>
      <c r="R101" s="459"/>
      <c r="S101" s="116"/>
      <c r="T101" s="116"/>
      <c r="W101" s="116"/>
      <c r="X101" s="116"/>
      <c r="Y101" s="116"/>
      <c r="AB101" s="116"/>
      <c r="AC101" s="116"/>
      <c r="AD101" s="116"/>
      <c r="AG101" s="116"/>
      <c r="AH101" s="116"/>
      <c r="AI101" s="116"/>
    </row>
    <row r="102" spans="1:35" ht="14.5" customHeight="1">
      <c r="A102" s="347"/>
      <c r="B102" s="239"/>
      <c r="C102" s="239"/>
      <c r="D102" s="235"/>
      <c r="E102" s="353"/>
      <c r="F102" s="239"/>
      <c r="G102" s="239"/>
      <c r="H102" s="239"/>
      <c r="I102" s="167"/>
      <c r="J102" s="167"/>
      <c r="K102" s="167"/>
      <c r="L102" s="167"/>
      <c r="M102" s="167"/>
      <c r="N102" s="167"/>
      <c r="O102" s="167"/>
      <c r="P102" s="167"/>
      <c r="Q102" s="208"/>
      <c r="R102" s="459"/>
      <c r="S102" s="116"/>
      <c r="T102" s="116"/>
      <c r="W102" s="116"/>
      <c r="X102" s="116"/>
      <c r="Y102" s="116"/>
      <c r="AB102" s="116"/>
      <c r="AC102" s="116"/>
      <c r="AD102" s="116"/>
      <c r="AG102" s="116"/>
      <c r="AH102" s="116"/>
      <c r="AI102" s="116"/>
    </row>
    <row r="103" spans="1:35" ht="14.5" customHeight="1">
      <c r="A103" s="238"/>
      <c r="B103" s="239"/>
      <c r="C103" s="239"/>
      <c r="D103" s="235"/>
      <c r="E103" s="353"/>
      <c r="F103" s="239"/>
      <c r="G103" s="239"/>
      <c r="H103" s="239"/>
      <c r="I103" s="167"/>
      <c r="J103" s="167"/>
      <c r="K103" s="167"/>
      <c r="L103" s="167"/>
      <c r="M103" s="167"/>
      <c r="N103" s="167"/>
      <c r="O103" s="167"/>
      <c r="P103" s="167"/>
      <c r="Q103" s="208"/>
      <c r="R103" s="459"/>
      <c r="S103" s="116"/>
      <c r="T103" s="116"/>
      <c r="W103" s="116"/>
      <c r="X103" s="116"/>
      <c r="Y103" s="116"/>
      <c r="AB103" s="116"/>
      <c r="AC103" s="116"/>
      <c r="AD103" s="116"/>
      <c r="AG103" s="116"/>
      <c r="AH103" s="116"/>
      <c r="AI103" s="116"/>
    </row>
    <row r="104" spans="1:35" ht="14.5" customHeight="1">
      <c r="A104" s="238"/>
      <c r="B104" s="239"/>
      <c r="C104" s="239"/>
      <c r="D104" s="235"/>
      <c r="E104" s="353"/>
      <c r="F104" s="239"/>
      <c r="G104" s="239"/>
      <c r="H104" s="239"/>
      <c r="I104" s="167"/>
      <c r="J104" s="167"/>
      <c r="K104" s="167"/>
      <c r="L104" s="167"/>
      <c r="M104" s="167"/>
      <c r="N104" s="167"/>
      <c r="O104" s="167"/>
      <c r="P104" s="167"/>
      <c r="Q104" s="208"/>
      <c r="R104" s="459"/>
      <c r="S104" s="116"/>
      <c r="T104" s="116"/>
      <c r="W104" s="116"/>
      <c r="X104" s="116"/>
      <c r="Y104" s="116"/>
      <c r="AB104" s="116"/>
      <c r="AC104" s="116"/>
      <c r="AD104" s="116"/>
      <c r="AG104" s="116"/>
      <c r="AH104" s="116"/>
      <c r="AI104" s="116"/>
    </row>
    <row r="105" spans="1:35" ht="15" thickBot="1">
      <c r="A105" s="292"/>
      <c r="B105" s="293"/>
      <c r="C105" s="293"/>
      <c r="D105" s="293"/>
      <c r="E105" s="371"/>
      <c r="F105" s="293"/>
      <c r="G105" s="293"/>
      <c r="H105" s="293"/>
      <c r="I105" s="372"/>
      <c r="J105" s="372"/>
      <c r="K105" s="372"/>
      <c r="L105" s="372"/>
      <c r="M105" s="372"/>
      <c r="N105" s="372"/>
      <c r="O105" s="372"/>
      <c r="P105" s="372"/>
      <c r="Q105" s="373"/>
      <c r="R105" s="459"/>
      <c r="S105" s="116"/>
      <c r="T105" s="116"/>
      <c r="W105" s="116"/>
      <c r="X105" s="116"/>
      <c r="Y105" s="116"/>
      <c r="AB105" s="116"/>
      <c r="AC105" s="116"/>
      <c r="AD105" s="116"/>
      <c r="AG105" s="116"/>
      <c r="AH105" s="116"/>
      <c r="AI105" s="116"/>
    </row>
    <row r="106" spans="1:35" ht="15" thickBot="1">
      <c r="A106" s="454"/>
      <c r="B106" s="455"/>
      <c r="C106" s="456"/>
      <c r="D106" s="456"/>
      <c r="E106" s="456"/>
      <c r="F106" s="456"/>
      <c r="G106" s="456"/>
      <c r="H106" s="456"/>
      <c r="I106" s="456"/>
      <c r="J106" s="456"/>
      <c r="K106" s="456"/>
      <c r="L106" s="456"/>
      <c r="M106" s="456"/>
      <c r="N106" s="456"/>
      <c r="O106" s="456"/>
      <c r="P106" s="456"/>
      <c r="Q106" s="456"/>
      <c r="R106" s="457"/>
      <c r="S106" s="116"/>
      <c r="T106" s="116"/>
      <c r="W106" s="116"/>
      <c r="X106" s="116"/>
      <c r="Y106" s="116"/>
      <c r="AB106" s="116"/>
      <c r="AC106" s="116"/>
      <c r="AD106" s="116"/>
      <c r="AG106" s="116"/>
      <c r="AH106" s="116"/>
      <c r="AI106" s="116"/>
    </row>
    <row r="107" spans="1:35">
      <c r="B107" s="162"/>
      <c r="C107" s="162"/>
      <c r="D107" s="162"/>
      <c r="E107" s="162"/>
      <c r="F107" s="162"/>
      <c r="G107" s="162"/>
      <c r="H107" s="162"/>
      <c r="I107" s="162"/>
      <c r="J107" s="162"/>
      <c r="K107" s="162"/>
      <c r="L107" s="162"/>
      <c r="R107" s="116"/>
      <c r="S107" s="116"/>
      <c r="T107" s="116"/>
      <c r="W107" s="116"/>
      <c r="X107" s="116"/>
      <c r="Y107" s="116"/>
      <c r="AB107" s="116"/>
      <c r="AC107" s="116"/>
      <c r="AD107" s="116"/>
      <c r="AG107" s="116"/>
      <c r="AH107" s="116"/>
      <c r="AI107" s="116"/>
    </row>
    <row r="108" spans="1:35">
      <c r="B108" s="162"/>
      <c r="C108" s="162"/>
      <c r="D108" s="162"/>
      <c r="E108" s="162"/>
      <c r="F108" s="162"/>
      <c r="G108" s="162"/>
      <c r="H108" s="162"/>
      <c r="I108" s="162"/>
      <c r="J108" s="162"/>
      <c r="K108" s="162"/>
      <c r="L108" s="162"/>
      <c r="R108" s="116"/>
      <c r="S108" s="116"/>
      <c r="T108" s="116"/>
      <c r="W108" s="116"/>
      <c r="X108" s="116"/>
      <c r="Y108" s="116"/>
      <c r="AB108" s="116"/>
      <c r="AC108" s="116"/>
      <c r="AD108" s="116"/>
      <c r="AG108" s="116"/>
      <c r="AH108" s="116"/>
      <c r="AI108" s="116"/>
    </row>
    <row r="109" spans="1:35">
      <c r="B109" s="162"/>
      <c r="C109" s="162"/>
      <c r="D109" s="162"/>
      <c r="E109" s="162"/>
      <c r="F109" s="162"/>
      <c r="G109" s="162"/>
      <c r="H109" s="162"/>
      <c r="I109" s="162"/>
      <c r="J109" s="162"/>
      <c r="K109" s="162"/>
      <c r="L109" s="162"/>
      <c r="R109" s="116"/>
      <c r="S109" s="116"/>
      <c r="T109" s="116"/>
      <c r="W109" s="116"/>
      <c r="X109" s="116"/>
      <c r="Y109" s="116"/>
      <c r="AB109" s="116"/>
      <c r="AC109" s="116"/>
      <c r="AD109" s="116"/>
      <c r="AG109" s="116"/>
      <c r="AH109" s="116"/>
      <c r="AI109" s="116"/>
    </row>
    <row r="110" spans="1:35">
      <c r="B110" s="162"/>
      <c r="C110" s="162"/>
      <c r="D110" s="162"/>
      <c r="E110" s="162"/>
      <c r="F110" s="162"/>
      <c r="G110" s="162"/>
      <c r="H110" s="162"/>
      <c r="I110" s="162"/>
      <c r="J110" s="162"/>
      <c r="K110" s="162"/>
      <c r="L110" s="162"/>
      <c r="R110" s="116"/>
      <c r="S110" s="116"/>
      <c r="T110" s="116"/>
      <c r="W110" s="116"/>
      <c r="X110" s="116"/>
      <c r="Y110" s="116"/>
      <c r="AB110" s="116"/>
      <c r="AC110" s="116"/>
      <c r="AD110" s="116"/>
      <c r="AG110" s="116"/>
      <c r="AH110" s="116"/>
      <c r="AI110" s="116"/>
    </row>
    <row r="111" spans="1:35">
      <c r="B111" s="162"/>
      <c r="C111" s="162"/>
      <c r="D111" s="162"/>
      <c r="E111" s="162"/>
      <c r="F111" s="162"/>
      <c r="G111" s="162"/>
      <c r="H111" s="162"/>
      <c r="I111" s="162"/>
      <c r="J111" s="162"/>
      <c r="K111" s="162"/>
      <c r="L111" s="162"/>
      <c r="R111" s="116"/>
      <c r="S111" s="116"/>
      <c r="T111" s="116"/>
      <c r="W111" s="116"/>
      <c r="X111" s="116"/>
      <c r="Y111" s="116"/>
      <c r="AB111" s="116"/>
      <c r="AC111" s="116"/>
      <c r="AD111" s="116"/>
      <c r="AG111" s="116"/>
      <c r="AH111" s="116"/>
      <c r="AI111" s="116"/>
    </row>
    <row r="112" spans="1:35">
      <c r="B112" s="162"/>
      <c r="C112" s="162"/>
      <c r="D112" s="162"/>
      <c r="E112" s="162"/>
      <c r="F112" s="162"/>
      <c r="G112" s="162"/>
      <c r="H112" s="162"/>
      <c r="I112" s="162"/>
      <c r="J112" s="162"/>
      <c r="K112" s="162"/>
      <c r="L112" s="162"/>
      <c r="R112" s="116"/>
      <c r="S112" s="116"/>
      <c r="T112" s="116"/>
      <c r="W112" s="116"/>
      <c r="X112" s="116"/>
      <c r="Y112" s="116"/>
      <c r="AB112" s="116"/>
      <c r="AC112" s="116"/>
      <c r="AD112" s="116"/>
      <c r="AG112" s="116"/>
      <c r="AH112" s="116"/>
      <c r="AI112" s="116"/>
    </row>
    <row r="113" spans="2:35">
      <c r="B113" s="162"/>
      <c r="C113" s="162"/>
      <c r="D113" s="162"/>
      <c r="E113" s="162"/>
      <c r="F113" s="162"/>
      <c r="G113" s="162"/>
      <c r="H113" s="162"/>
      <c r="I113" s="162"/>
      <c r="J113" s="162"/>
      <c r="K113" s="162"/>
      <c r="L113" s="162"/>
      <c r="R113" s="116"/>
      <c r="S113" s="116"/>
      <c r="T113" s="116"/>
      <c r="W113" s="116"/>
      <c r="X113" s="116"/>
      <c r="Y113" s="116"/>
      <c r="AB113" s="116"/>
      <c r="AC113" s="116"/>
      <c r="AD113" s="116"/>
      <c r="AG113" s="116"/>
      <c r="AH113" s="116"/>
      <c r="AI113" s="116"/>
    </row>
    <row r="114" spans="2:35">
      <c r="B114" s="162"/>
      <c r="C114" s="162"/>
      <c r="D114" s="162"/>
      <c r="E114" s="162"/>
      <c r="F114" s="162"/>
      <c r="G114" s="162"/>
      <c r="H114" s="162"/>
      <c r="I114" s="162"/>
      <c r="J114" s="162"/>
      <c r="K114" s="162"/>
      <c r="L114" s="162"/>
      <c r="R114" s="116"/>
      <c r="S114" s="116"/>
      <c r="T114" s="116"/>
      <c r="W114" s="116"/>
      <c r="X114" s="116"/>
      <c r="Y114" s="116"/>
      <c r="AB114" s="116"/>
      <c r="AC114" s="116"/>
      <c r="AD114" s="116"/>
      <c r="AG114" s="116"/>
      <c r="AH114" s="116"/>
      <c r="AI114" s="116"/>
    </row>
    <row r="115" spans="2:35">
      <c r="B115" s="162"/>
      <c r="C115" s="162"/>
      <c r="D115" s="162"/>
      <c r="E115" s="162"/>
      <c r="F115" s="162"/>
      <c r="G115" s="162"/>
      <c r="H115" s="162"/>
      <c r="I115" s="162"/>
      <c r="J115" s="162"/>
      <c r="K115" s="162"/>
      <c r="L115" s="162"/>
      <c r="R115" s="116"/>
      <c r="S115" s="116"/>
      <c r="T115" s="116"/>
      <c r="W115" s="116"/>
      <c r="X115" s="116"/>
      <c r="Y115" s="116"/>
      <c r="AB115" s="116"/>
      <c r="AC115" s="116"/>
      <c r="AD115" s="116"/>
      <c r="AG115" s="116"/>
      <c r="AH115" s="116"/>
      <c r="AI115" s="116"/>
    </row>
    <row r="116" spans="2:35">
      <c r="B116" s="162"/>
      <c r="C116" s="162"/>
      <c r="D116" s="162"/>
      <c r="E116" s="162"/>
      <c r="F116" s="162"/>
      <c r="G116" s="162"/>
      <c r="H116" s="162"/>
      <c r="I116" s="162"/>
      <c r="J116" s="162"/>
      <c r="K116" s="162"/>
      <c r="L116" s="162"/>
      <c r="R116" s="116"/>
      <c r="S116" s="116"/>
      <c r="T116" s="116"/>
      <c r="W116" s="116"/>
      <c r="X116" s="116"/>
      <c r="Y116" s="116"/>
      <c r="AB116" s="116"/>
      <c r="AC116" s="116"/>
      <c r="AD116" s="116"/>
      <c r="AG116" s="116"/>
      <c r="AH116" s="116"/>
      <c r="AI116" s="116"/>
    </row>
    <row r="117" spans="2:35">
      <c r="B117" s="162"/>
      <c r="C117" s="162"/>
      <c r="D117" s="162"/>
      <c r="E117" s="162"/>
      <c r="F117" s="162"/>
      <c r="G117" s="162"/>
      <c r="H117" s="162"/>
      <c r="I117" s="162"/>
      <c r="J117" s="162"/>
      <c r="K117" s="162"/>
      <c r="L117" s="162"/>
      <c r="R117" s="173"/>
      <c r="S117" s="173"/>
      <c r="T117" s="173"/>
      <c r="W117" s="173"/>
      <c r="X117" s="173"/>
      <c r="Y117" s="173"/>
      <c r="AB117" s="173"/>
      <c r="AC117" s="173"/>
      <c r="AD117" s="173"/>
      <c r="AG117" s="173"/>
      <c r="AH117" s="173"/>
      <c r="AI117" s="173"/>
    </row>
    <row r="118" spans="2:35">
      <c r="B118" s="162"/>
      <c r="C118" s="162"/>
      <c r="D118" s="162"/>
      <c r="E118" s="162"/>
      <c r="F118" s="162"/>
      <c r="G118" s="162"/>
      <c r="H118" s="162"/>
      <c r="I118" s="162"/>
      <c r="J118" s="162"/>
      <c r="K118" s="162"/>
      <c r="L118" s="162"/>
      <c r="R118" s="173"/>
      <c r="S118" s="173"/>
      <c r="T118" s="173"/>
      <c r="W118" s="173"/>
      <c r="X118" s="173"/>
      <c r="Y118" s="173"/>
      <c r="AB118" s="173"/>
      <c r="AC118" s="173"/>
      <c r="AD118" s="173"/>
      <c r="AG118" s="173"/>
      <c r="AH118" s="173"/>
      <c r="AI118" s="173"/>
    </row>
    <row r="119" spans="2:35">
      <c r="B119" s="162"/>
      <c r="C119" s="162"/>
      <c r="D119" s="162"/>
      <c r="E119" s="162"/>
      <c r="F119" s="162"/>
      <c r="G119" s="162"/>
      <c r="H119" s="162"/>
      <c r="I119" s="162"/>
      <c r="J119" s="162"/>
      <c r="K119" s="162"/>
      <c r="L119" s="162"/>
      <c r="R119" s="173"/>
      <c r="S119" s="116"/>
      <c r="T119" s="116"/>
      <c r="W119" s="173"/>
      <c r="X119" s="116"/>
      <c r="Y119" s="116"/>
      <c r="AB119" s="173"/>
      <c r="AC119" s="116"/>
      <c r="AD119" s="116"/>
      <c r="AG119" s="173"/>
      <c r="AH119" s="116"/>
      <c r="AI119" s="116"/>
    </row>
    <row r="120" spans="2:35">
      <c r="B120" s="162"/>
      <c r="C120" s="162"/>
      <c r="D120" s="162"/>
      <c r="E120" s="162"/>
      <c r="F120" s="162"/>
      <c r="G120" s="162"/>
      <c r="H120" s="162"/>
      <c r="I120" s="162"/>
      <c r="J120" s="162"/>
      <c r="K120" s="162"/>
      <c r="L120" s="162"/>
      <c r="R120" s="116"/>
      <c r="S120" s="116"/>
      <c r="T120" s="116"/>
      <c r="W120" s="116"/>
      <c r="X120" s="116"/>
      <c r="Y120" s="116"/>
      <c r="AB120" s="116"/>
      <c r="AC120" s="116"/>
      <c r="AD120" s="116"/>
      <c r="AG120" s="116"/>
      <c r="AH120" s="116"/>
      <c r="AI120" s="116"/>
    </row>
    <row r="121" spans="2:35">
      <c r="B121" s="162"/>
      <c r="C121" s="162"/>
      <c r="D121" s="162"/>
      <c r="E121" s="162"/>
      <c r="F121" s="162"/>
      <c r="G121" s="162"/>
      <c r="H121" s="162"/>
      <c r="I121" s="162"/>
      <c r="J121" s="162"/>
      <c r="K121" s="162"/>
      <c r="L121" s="162"/>
      <c r="R121" s="116"/>
      <c r="S121" s="116"/>
      <c r="T121" s="116"/>
      <c r="W121" s="116"/>
      <c r="X121" s="116"/>
      <c r="Y121" s="116"/>
      <c r="AB121" s="116"/>
      <c r="AC121" s="116"/>
      <c r="AD121" s="116"/>
      <c r="AG121" s="116"/>
      <c r="AH121" s="116"/>
      <c r="AI121" s="116"/>
    </row>
    <row r="122" spans="2:35">
      <c r="B122" s="162"/>
      <c r="C122" s="162"/>
      <c r="D122" s="162"/>
      <c r="E122" s="162"/>
      <c r="F122" s="162"/>
      <c r="G122" s="162"/>
      <c r="H122" s="162"/>
      <c r="I122" s="162"/>
      <c r="J122" s="162"/>
      <c r="K122" s="162"/>
      <c r="L122" s="162"/>
      <c r="R122" s="173"/>
      <c r="S122" s="173"/>
      <c r="T122" s="173"/>
      <c r="W122" s="173"/>
      <c r="X122" s="173"/>
      <c r="Y122" s="173"/>
      <c r="AB122" s="173"/>
      <c r="AC122" s="173"/>
      <c r="AD122" s="173"/>
      <c r="AG122" s="173"/>
      <c r="AH122" s="173"/>
      <c r="AI122" s="173"/>
    </row>
    <row r="123" spans="2:35">
      <c r="B123" s="162"/>
      <c r="C123" s="162"/>
      <c r="D123" s="162"/>
      <c r="E123" s="162"/>
      <c r="F123" s="162"/>
      <c r="G123" s="162"/>
      <c r="H123" s="162"/>
      <c r="I123" s="162"/>
      <c r="J123" s="162"/>
      <c r="K123" s="162"/>
      <c r="L123" s="162"/>
      <c r="R123" s="173"/>
      <c r="S123" s="173"/>
      <c r="T123" s="173"/>
      <c r="W123" s="173"/>
      <c r="X123" s="173"/>
      <c r="Y123" s="173"/>
      <c r="AB123" s="173"/>
      <c r="AC123" s="173"/>
      <c r="AD123" s="173"/>
      <c r="AG123" s="173"/>
      <c r="AH123" s="173"/>
      <c r="AI123" s="173"/>
    </row>
    <row r="124" spans="2:35">
      <c r="B124" s="162"/>
      <c r="C124" s="162"/>
      <c r="D124" s="162"/>
      <c r="E124" s="162"/>
      <c r="F124" s="162"/>
      <c r="G124" s="162"/>
      <c r="H124" s="162"/>
      <c r="I124" s="162"/>
      <c r="J124" s="162"/>
      <c r="K124" s="162"/>
      <c r="L124" s="162"/>
      <c r="R124" s="173"/>
      <c r="S124" s="173"/>
      <c r="T124" s="173"/>
      <c r="W124" s="173"/>
      <c r="X124" s="173"/>
      <c r="Y124" s="173"/>
      <c r="AB124" s="173"/>
      <c r="AC124" s="173"/>
      <c r="AD124" s="173"/>
      <c r="AG124" s="173"/>
      <c r="AH124" s="173"/>
      <c r="AI124" s="173"/>
    </row>
    <row r="125" spans="2:35">
      <c r="B125" s="162"/>
      <c r="C125" s="162"/>
      <c r="D125" s="162"/>
      <c r="E125" s="162"/>
      <c r="F125" s="162"/>
      <c r="G125" s="162"/>
      <c r="H125" s="162"/>
      <c r="I125" s="162"/>
      <c r="J125" s="162"/>
      <c r="K125" s="162"/>
      <c r="L125" s="162"/>
      <c r="R125" s="173"/>
      <c r="S125" s="173"/>
      <c r="T125" s="173"/>
      <c r="W125" s="173"/>
      <c r="X125" s="173"/>
      <c r="Y125" s="173"/>
      <c r="AB125" s="173"/>
      <c r="AC125" s="173"/>
      <c r="AD125" s="173"/>
      <c r="AG125" s="173"/>
      <c r="AH125" s="173"/>
      <c r="AI125" s="173"/>
    </row>
    <row r="126" spans="2:35">
      <c r="B126" s="162"/>
      <c r="C126" s="162"/>
      <c r="D126" s="162"/>
      <c r="E126" s="162"/>
      <c r="F126" s="162"/>
      <c r="G126" s="162"/>
      <c r="H126" s="162"/>
      <c r="I126" s="162"/>
      <c r="J126" s="162"/>
      <c r="K126" s="162"/>
      <c r="L126" s="162"/>
      <c r="R126" s="173"/>
      <c r="S126" s="173"/>
      <c r="T126" s="173"/>
      <c r="W126" s="173"/>
      <c r="X126" s="173"/>
      <c r="Y126" s="173"/>
      <c r="AB126" s="173"/>
      <c r="AC126" s="173"/>
      <c r="AD126" s="173"/>
      <c r="AG126" s="173"/>
      <c r="AH126" s="173"/>
      <c r="AI126" s="173"/>
    </row>
    <row r="127" spans="2:35">
      <c r="B127" s="162"/>
      <c r="C127" s="162"/>
      <c r="D127" s="162"/>
      <c r="E127" s="162"/>
      <c r="F127" s="162"/>
      <c r="G127" s="162"/>
      <c r="H127" s="162"/>
      <c r="I127" s="162"/>
      <c r="J127" s="162"/>
      <c r="K127" s="162"/>
      <c r="L127" s="162"/>
      <c r="R127" s="173"/>
      <c r="S127" s="173"/>
      <c r="T127" s="173"/>
      <c r="W127" s="173"/>
      <c r="X127" s="173"/>
      <c r="Y127" s="173"/>
      <c r="AB127" s="173"/>
      <c r="AC127" s="173"/>
      <c r="AD127" s="173"/>
      <c r="AG127" s="173"/>
      <c r="AH127" s="173"/>
      <c r="AI127" s="173"/>
    </row>
    <row r="128" spans="2:35">
      <c r="B128" s="162"/>
      <c r="C128" s="162"/>
      <c r="D128" s="162"/>
      <c r="E128" s="162"/>
      <c r="F128" s="162"/>
      <c r="G128" s="162"/>
      <c r="H128" s="162"/>
      <c r="I128" s="162"/>
      <c r="J128" s="162"/>
      <c r="K128" s="162"/>
      <c r="L128" s="162"/>
      <c r="R128" s="173"/>
      <c r="S128" s="173"/>
      <c r="T128" s="173"/>
      <c r="W128" s="173"/>
      <c r="X128" s="173"/>
      <c r="Y128" s="173"/>
      <c r="AB128" s="173"/>
      <c r="AC128" s="173"/>
      <c r="AD128" s="173"/>
      <c r="AG128" s="173"/>
      <c r="AH128" s="173"/>
      <c r="AI128" s="173"/>
    </row>
    <row r="129" spans="2:35">
      <c r="B129" s="162"/>
      <c r="C129" s="162"/>
      <c r="D129" s="162"/>
      <c r="E129" s="162"/>
      <c r="F129" s="162"/>
      <c r="G129" s="162"/>
      <c r="H129" s="162"/>
      <c r="I129" s="162"/>
      <c r="J129" s="162"/>
      <c r="K129" s="162"/>
      <c r="L129" s="162"/>
      <c r="R129" s="173"/>
      <c r="S129" s="173"/>
      <c r="T129" s="173"/>
      <c r="W129" s="173"/>
      <c r="X129" s="173"/>
      <c r="Y129" s="173"/>
      <c r="AB129" s="173"/>
      <c r="AC129" s="173"/>
      <c r="AD129" s="173"/>
      <c r="AG129" s="173"/>
      <c r="AH129" s="173"/>
      <c r="AI129" s="173"/>
    </row>
    <row r="130" spans="2:35">
      <c r="B130" s="162"/>
      <c r="C130" s="162"/>
      <c r="D130" s="162"/>
      <c r="E130" s="162"/>
      <c r="F130" s="162"/>
      <c r="G130" s="162"/>
      <c r="H130" s="162"/>
      <c r="I130" s="162"/>
      <c r="J130" s="162"/>
      <c r="K130" s="162"/>
      <c r="L130" s="162"/>
      <c r="R130" s="173"/>
      <c r="S130" s="173"/>
      <c r="T130" s="173"/>
      <c r="W130" s="173"/>
      <c r="X130" s="173"/>
      <c r="Y130" s="173"/>
      <c r="AB130" s="173"/>
      <c r="AC130" s="173"/>
      <c r="AD130" s="173"/>
      <c r="AG130" s="173"/>
      <c r="AH130" s="173"/>
      <c r="AI130" s="173"/>
    </row>
    <row r="131" spans="2:35">
      <c r="B131" s="162"/>
      <c r="C131" s="162"/>
      <c r="D131" s="162"/>
      <c r="E131" s="162"/>
      <c r="F131" s="162"/>
      <c r="G131" s="162"/>
      <c r="H131" s="162"/>
      <c r="I131" s="162"/>
      <c r="J131" s="162"/>
      <c r="K131" s="162"/>
      <c r="L131" s="162"/>
      <c r="R131" s="173"/>
      <c r="S131" s="173"/>
      <c r="T131" s="173"/>
      <c r="W131" s="173"/>
      <c r="X131" s="173"/>
      <c r="Y131" s="173"/>
      <c r="AB131" s="173"/>
      <c r="AC131" s="173"/>
      <c r="AD131" s="173"/>
      <c r="AG131" s="173"/>
      <c r="AH131" s="173"/>
      <c r="AI131" s="173"/>
    </row>
    <row r="132" spans="2:35">
      <c r="B132" s="162"/>
      <c r="C132" s="162"/>
      <c r="D132" s="162"/>
      <c r="E132" s="162"/>
      <c r="F132" s="162"/>
      <c r="G132" s="162"/>
      <c r="H132" s="162"/>
      <c r="I132" s="162"/>
      <c r="J132" s="162"/>
      <c r="K132" s="162"/>
      <c r="L132" s="162"/>
      <c r="R132" s="173"/>
      <c r="S132" s="173"/>
      <c r="T132" s="173"/>
      <c r="W132" s="173"/>
      <c r="X132" s="173"/>
      <c r="Y132" s="173"/>
      <c r="AB132" s="173"/>
      <c r="AC132" s="173"/>
      <c r="AD132" s="173"/>
      <c r="AG132" s="173"/>
      <c r="AH132" s="173"/>
      <c r="AI132" s="173"/>
    </row>
    <row r="133" spans="2:35">
      <c r="B133" s="162"/>
      <c r="C133" s="162"/>
      <c r="D133" s="162"/>
      <c r="E133" s="162"/>
      <c r="F133" s="162"/>
      <c r="G133" s="162"/>
      <c r="H133" s="162"/>
      <c r="I133" s="162"/>
      <c r="J133" s="162"/>
      <c r="K133" s="162"/>
      <c r="L133" s="162"/>
      <c r="R133" s="173"/>
      <c r="S133" s="173"/>
      <c r="T133" s="173"/>
      <c r="W133" s="173"/>
      <c r="X133" s="173"/>
      <c r="Y133" s="173"/>
      <c r="AB133" s="173"/>
      <c r="AC133" s="173"/>
      <c r="AD133" s="173"/>
      <c r="AG133" s="173"/>
      <c r="AH133" s="173"/>
      <c r="AI133" s="173"/>
    </row>
    <row r="134" spans="2:35">
      <c r="B134" s="162"/>
      <c r="C134" s="162"/>
      <c r="D134" s="162"/>
      <c r="E134" s="162"/>
      <c r="F134" s="162"/>
      <c r="G134" s="162"/>
      <c r="H134" s="162"/>
      <c r="I134" s="162"/>
      <c r="J134" s="162"/>
      <c r="K134" s="162"/>
      <c r="L134" s="162"/>
      <c r="R134" s="173"/>
      <c r="S134" s="173"/>
      <c r="T134" s="173"/>
      <c r="W134" s="173"/>
      <c r="X134" s="173"/>
      <c r="Y134" s="173"/>
      <c r="AB134" s="173"/>
      <c r="AC134" s="173"/>
      <c r="AD134" s="173"/>
      <c r="AG134" s="173"/>
      <c r="AH134" s="173"/>
      <c r="AI134" s="173"/>
    </row>
    <row r="135" spans="2:35">
      <c r="B135" s="162"/>
      <c r="C135" s="162"/>
      <c r="D135" s="162"/>
      <c r="E135" s="162"/>
      <c r="F135" s="162"/>
      <c r="G135" s="162"/>
      <c r="H135" s="162"/>
      <c r="I135" s="162"/>
      <c r="J135" s="162"/>
      <c r="K135" s="162"/>
      <c r="L135" s="162"/>
      <c r="R135" s="173"/>
      <c r="S135" s="173"/>
      <c r="T135" s="173"/>
      <c r="W135" s="173"/>
      <c r="X135" s="173"/>
      <c r="Y135" s="173"/>
      <c r="AB135" s="173"/>
      <c r="AC135" s="173"/>
      <c r="AD135" s="173"/>
      <c r="AG135" s="173"/>
      <c r="AH135" s="173"/>
      <c r="AI135" s="173"/>
    </row>
    <row r="136" spans="2:35">
      <c r="B136" s="162"/>
      <c r="C136" s="162"/>
      <c r="D136" s="162"/>
      <c r="E136" s="162"/>
      <c r="F136" s="162"/>
      <c r="G136" s="162"/>
      <c r="H136" s="162"/>
      <c r="I136" s="162"/>
      <c r="J136" s="162"/>
      <c r="K136" s="162"/>
      <c r="L136" s="162"/>
      <c r="R136" s="173"/>
      <c r="S136" s="173"/>
      <c r="T136" s="173"/>
      <c r="W136" s="173"/>
      <c r="X136" s="173"/>
      <c r="Y136" s="173"/>
      <c r="AB136" s="173"/>
      <c r="AC136" s="173"/>
      <c r="AD136" s="173"/>
      <c r="AG136" s="173"/>
      <c r="AH136" s="173"/>
      <c r="AI136" s="173"/>
    </row>
    <row r="137" spans="2:35">
      <c r="B137" s="162"/>
      <c r="C137" s="162"/>
      <c r="D137" s="162"/>
      <c r="E137" s="162"/>
      <c r="F137" s="162"/>
      <c r="G137" s="162"/>
      <c r="H137" s="162"/>
      <c r="I137" s="162"/>
      <c r="J137" s="162"/>
      <c r="K137" s="162"/>
      <c r="L137" s="162"/>
      <c r="R137" s="173"/>
      <c r="S137" s="173"/>
      <c r="T137" s="173"/>
      <c r="W137" s="173"/>
      <c r="X137" s="173"/>
      <c r="Y137" s="173"/>
      <c r="AB137" s="173"/>
      <c r="AC137" s="173"/>
      <c r="AD137" s="173"/>
      <c r="AG137" s="173"/>
      <c r="AH137" s="173"/>
      <c r="AI137" s="173"/>
    </row>
    <row r="138" spans="2:35">
      <c r="B138" s="162"/>
      <c r="C138" s="162"/>
      <c r="D138" s="162"/>
      <c r="E138" s="162"/>
      <c r="F138" s="162"/>
      <c r="G138" s="162"/>
      <c r="H138" s="162"/>
      <c r="I138" s="162"/>
      <c r="J138" s="162"/>
      <c r="K138" s="162"/>
      <c r="L138" s="162"/>
      <c r="R138" s="173"/>
      <c r="S138" s="173"/>
      <c r="T138" s="173"/>
      <c r="W138" s="173"/>
      <c r="X138" s="173"/>
      <c r="Y138" s="173"/>
      <c r="AB138" s="173"/>
      <c r="AC138" s="173"/>
      <c r="AD138" s="173"/>
      <c r="AG138" s="173"/>
      <c r="AH138" s="173"/>
      <c r="AI138" s="173"/>
    </row>
    <row r="139" spans="2:35">
      <c r="B139" s="162"/>
      <c r="C139" s="162"/>
      <c r="D139" s="162"/>
      <c r="E139" s="162"/>
      <c r="F139" s="162"/>
      <c r="G139" s="162"/>
      <c r="H139" s="162"/>
      <c r="I139" s="162"/>
      <c r="J139" s="162"/>
      <c r="K139" s="162"/>
      <c r="L139" s="162"/>
      <c r="R139" s="173"/>
      <c r="S139" s="173"/>
      <c r="T139" s="173"/>
      <c r="W139" s="173"/>
      <c r="X139" s="173"/>
      <c r="Y139" s="173"/>
      <c r="AB139" s="173"/>
      <c r="AC139" s="173"/>
      <c r="AD139" s="173"/>
      <c r="AG139" s="173"/>
      <c r="AH139" s="173"/>
      <c r="AI139" s="173"/>
    </row>
    <row r="140" spans="2:35">
      <c r="B140" s="162"/>
      <c r="C140" s="162"/>
      <c r="D140" s="162"/>
      <c r="E140" s="162"/>
      <c r="F140" s="162"/>
      <c r="G140" s="162"/>
      <c r="H140" s="162"/>
      <c r="I140" s="162"/>
      <c r="J140" s="162"/>
      <c r="K140" s="162"/>
      <c r="L140" s="162"/>
      <c r="R140" s="173"/>
      <c r="S140" s="173"/>
      <c r="T140" s="173"/>
      <c r="W140" s="173"/>
      <c r="X140" s="173"/>
      <c r="Y140" s="173"/>
      <c r="AB140" s="173"/>
      <c r="AC140" s="173"/>
      <c r="AD140" s="173"/>
      <c r="AG140" s="173"/>
      <c r="AH140" s="173"/>
      <c r="AI140" s="173"/>
    </row>
    <row r="141" spans="2:35">
      <c r="B141" s="162"/>
      <c r="C141" s="162"/>
      <c r="D141" s="162"/>
      <c r="E141" s="162"/>
      <c r="F141" s="162"/>
      <c r="G141" s="162"/>
      <c r="H141" s="162"/>
      <c r="I141" s="162"/>
      <c r="J141" s="162"/>
      <c r="K141" s="162"/>
      <c r="L141" s="162"/>
      <c r="R141" s="173"/>
      <c r="S141" s="173"/>
      <c r="T141" s="173"/>
      <c r="W141" s="173"/>
      <c r="X141" s="173"/>
      <c r="Y141" s="173"/>
      <c r="AB141" s="173"/>
      <c r="AC141" s="173"/>
      <c r="AD141" s="173"/>
      <c r="AG141" s="173"/>
      <c r="AH141" s="173"/>
      <c r="AI141" s="173"/>
    </row>
    <row r="142" spans="2:35">
      <c r="B142" s="162"/>
      <c r="C142" s="162"/>
      <c r="D142" s="162"/>
      <c r="E142" s="162"/>
      <c r="F142" s="162"/>
      <c r="G142" s="162"/>
      <c r="H142" s="162"/>
      <c r="I142" s="162"/>
      <c r="J142" s="162"/>
      <c r="K142" s="162"/>
      <c r="L142" s="162"/>
      <c r="R142" s="173"/>
      <c r="S142" s="173"/>
      <c r="T142" s="173"/>
      <c r="W142" s="173"/>
      <c r="X142" s="173"/>
      <c r="Y142" s="173"/>
      <c r="AB142" s="173"/>
      <c r="AC142" s="173"/>
      <c r="AD142" s="173"/>
      <c r="AG142" s="173"/>
      <c r="AH142" s="173"/>
      <c r="AI142" s="173"/>
    </row>
    <row r="143" spans="2:35">
      <c r="B143" s="162"/>
      <c r="C143" s="162"/>
      <c r="D143" s="162"/>
      <c r="E143" s="162"/>
      <c r="F143" s="162"/>
      <c r="G143" s="162"/>
      <c r="H143" s="162"/>
      <c r="I143" s="162"/>
      <c r="J143" s="162"/>
      <c r="K143" s="162"/>
      <c r="L143" s="162"/>
      <c r="R143" s="173"/>
      <c r="S143" s="173"/>
      <c r="T143" s="173"/>
      <c r="W143" s="173"/>
      <c r="X143" s="173"/>
      <c r="Y143" s="173"/>
      <c r="AB143" s="173"/>
      <c r="AC143" s="173"/>
      <c r="AD143" s="173"/>
      <c r="AG143" s="173"/>
      <c r="AH143" s="173"/>
      <c r="AI143" s="173"/>
    </row>
    <row r="144" spans="2:35">
      <c r="B144" s="162"/>
      <c r="C144" s="162"/>
      <c r="D144" s="162"/>
      <c r="E144" s="162"/>
      <c r="F144" s="162"/>
      <c r="G144" s="162"/>
      <c r="H144" s="162"/>
      <c r="I144" s="162"/>
      <c r="J144" s="162"/>
      <c r="K144" s="162"/>
      <c r="L144" s="162"/>
      <c r="R144" s="173"/>
      <c r="S144" s="173"/>
      <c r="T144" s="173"/>
      <c r="W144" s="173"/>
      <c r="X144" s="173"/>
      <c r="Y144" s="173"/>
      <c r="AB144" s="173"/>
      <c r="AC144" s="173"/>
      <c r="AD144" s="173"/>
      <c r="AG144" s="173"/>
      <c r="AH144" s="173"/>
      <c r="AI144" s="173"/>
    </row>
    <row r="145" spans="2:35">
      <c r="B145" s="162"/>
      <c r="C145" s="162"/>
      <c r="D145" s="162"/>
      <c r="E145" s="162"/>
      <c r="F145" s="162"/>
      <c r="G145" s="162"/>
      <c r="H145" s="162"/>
      <c r="I145" s="162"/>
      <c r="J145" s="162"/>
      <c r="K145" s="162"/>
      <c r="L145" s="162"/>
      <c r="R145" s="173"/>
      <c r="S145" s="173"/>
      <c r="T145" s="173"/>
      <c r="W145" s="173"/>
      <c r="X145" s="173"/>
      <c r="Y145" s="173"/>
      <c r="AB145" s="173"/>
      <c r="AC145" s="173"/>
      <c r="AD145" s="173"/>
      <c r="AG145" s="173"/>
      <c r="AH145" s="173"/>
      <c r="AI145" s="173"/>
    </row>
    <row r="146" spans="2:35">
      <c r="B146" s="162"/>
      <c r="C146" s="162"/>
      <c r="D146" s="162"/>
      <c r="E146" s="162"/>
      <c r="F146" s="162"/>
      <c r="G146" s="162"/>
      <c r="H146" s="162"/>
      <c r="I146" s="162"/>
      <c r="J146" s="162"/>
      <c r="K146" s="162"/>
      <c r="L146" s="162"/>
      <c r="R146" s="173"/>
      <c r="S146" s="173"/>
      <c r="T146" s="173"/>
      <c r="W146" s="173"/>
      <c r="X146" s="173"/>
      <c r="Y146" s="173"/>
      <c r="AB146" s="173"/>
      <c r="AC146" s="173"/>
      <c r="AD146" s="173"/>
      <c r="AG146" s="173"/>
      <c r="AH146" s="173"/>
      <c r="AI146" s="173"/>
    </row>
    <row r="147" spans="2:35">
      <c r="B147" s="162"/>
      <c r="C147" s="162"/>
      <c r="D147" s="162"/>
      <c r="E147" s="162"/>
      <c r="F147" s="162"/>
      <c r="G147" s="162"/>
      <c r="H147" s="162"/>
      <c r="I147" s="162"/>
      <c r="J147" s="162"/>
      <c r="K147" s="162"/>
      <c r="L147" s="162"/>
      <c r="R147" s="173"/>
      <c r="S147" s="173"/>
      <c r="T147" s="173"/>
      <c r="W147" s="173"/>
      <c r="X147" s="173"/>
      <c r="Y147" s="173"/>
      <c r="AB147" s="173"/>
      <c r="AC147" s="173"/>
      <c r="AD147" s="173"/>
      <c r="AG147" s="173"/>
      <c r="AH147" s="173"/>
      <c r="AI147" s="173"/>
    </row>
    <row r="148" spans="2:35">
      <c r="B148" s="162"/>
      <c r="C148" s="162"/>
      <c r="D148" s="162"/>
      <c r="E148" s="162"/>
      <c r="F148" s="162"/>
      <c r="G148" s="162"/>
      <c r="H148" s="162"/>
      <c r="I148" s="162"/>
      <c r="J148" s="162"/>
      <c r="K148" s="162"/>
      <c r="L148" s="162"/>
      <c r="R148" s="173"/>
      <c r="S148" s="173"/>
      <c r="T148" s="173"/>
      <c r="W148" s="173"/>
      <c r="X148" s="173"/>
      <c r="Y148" s="173"/>
      <c r="AB148" s="173"/>
      <c r="AC148" s="173"/>
      <c r="AD148" s="173"/>
      <c r="AG148" s="173"/>
      <c r="AH148" s="173"/>
      <c r="AI148" s="173"/>
    </row>
    <row r="149" spans="2:35">
      <c r="B149" s="162"/>
      <c r="C149" s="162"/>
      <c r="D149" s="162"/>
      <c r="E149" s="162"/>
      <c r="F149" s="162"/>
      <c r="G149" s="162"/>
      <c r="H149" s="162"/>
      <c r="I149" s="162"/>
      <c r="J149" s="162"/>
      <c r="K149" s="162"/>
      <c r="L149" s="162"/>
      <c r="R149" s="173"/>
      <c r="S149" s="173"/>
      <c r="T149" s="173"/>
      <c r="W149" s="173"/>
      <c r="X149" s="173"/>
      <c r="Y149" s="173"/>
      <c r="AB149" s="173"/>
      <c r="AC149" s="173"/>
      <c r="AD149" s="173"/>
      <c r="AG149" s="173"/>
      <c r="AH149" s="173"/>
      <c r="AI149" s="173"/>
    </row>
    <row r="150" spans="2:35">
      <c r="B150" s="162"/>
      <c r="C150" s="162"/>
      <c r="D150" s="162"/>
      <c r="E150" s="162"/>
      <c r="F150" s="162"/>
      <c r="G150" s="162"/>
      <c r="H150" s="162"/>
      <c r="I150" s="162"/>
      <c r="J150" s="162"/>
      <c r="K150" s="162"/>
      <c r="L150" s="162"/>
      <c r="R150" s="173"/>
      <c r="S150" s="173"/>
      <c r="T150" s="173"/>
      <c r="W150" s="173"/>
      <c r="X150" s="173"/>
      <c r="Y150" s="173"/>
      <c r="AB150" s="173"/>
      <c r="AC150" s="173"/>
      <c r="AD150" s="173"/>
      <c r="AG150" s="173"/>
      <c r="AH150" s="173"/>
      <c r="AI150" s="173"/>
    </row>
    <row r="151" spans="2:35">
      <c r="B151" s="162"/>
      <c r="C151" s="162"/>
      <c r="D151" s="162"/>
      <c r="E151" s="162"/>
      <c r="F151" s="162"/>
      <c r="G151" s="162"/>
      <c r="H151" s="162"/>
      <c r="I151" s="162"/>
      <c r="J151" s="162"/>
      <c r="K151" s="162"/>
      <c r="L151" s="162"/>
      <c r="R151" s="173"/>
      <c r="S151" s="173"/>
      <c r="T151" s="173"/>
      <c r="W151" s="173"/>
      <c r="X151" s="173"/>
      <c r="Y151" s="173"/>
      <c r="AB151" s="173"/>
      <c r="AC151" s="173"/>
      <c r="AD151" s="173"/>
      <c r="AG151" s="173"/>
      <c r="AH151" s="173"/>
      <c r="AI151" s="173"/>
    </row>
    <row r="152" spans="2:35">
      <c r="B152" s="162"/>
      <c r="C152" s="162"/>
      <c r="D152" s="162"/>
      <c r="E152" s="162"/>
      <c r="F152" s="162"/>
      <c r="G152" s="162"/>
      <c r="H152" s="162"/>
      <c r="I152" s="162"/>
      <c r="J152" s="162"/>
      <c r="K152" s="162"/>
      <c r="L152" s="162"/>
      <c r="R152" s="173"/>
      <c r="S152" s="173"/>
      <c r="T152" s="173"/>
      <c r="W152" s="173"/>
      <c r="X152" s="173"/>
      <c r="Y152" s="173"/>
      <c r="AB152" s="173"/>
      <c r="AC152" s="173"/>
      <c r="AD152" s="173"/>
      <c r="AG152" s="173"/>
      <c r="AH152" s="173"/>
      <c r="AI152" s="173"/>
    </row>
    <row r="153" spans="2:35">
      <c r="B153" s="162"/>
      <c r="C153" s="162"/>
      <c r="D153" s="162"/>
      <c r="E153" s="162"/>
      <c r="F153" s="162"/>
      <c r="G153" s="162"/>
      <c r="H153" s="162"/>
      <c r="I153" s="162"/>
      <c r="J153" s="162"/>
      <c r="K153" s="162"/>
      <c r="L153" s="162"/>
      <c r="R153" s="173"/>
      <c r="S153" s="173"/>
      <c r="T153" s="173"/>
      <c r="W153" s="173"/>
      <c r="X153" s="173"/>
      <c r="Y153" s="173"/>
      <c r="AB153" s="173"/>
      <c r="AC153" s="173"/>
      <c r="AD153" s="173"/>
      <c r="AG153" s="173"/>
      <c r="AH153" s="173"/>
      <c r="AI153" s="173"/>
    </row>
    <row r="154" spans="2:35">
      <c r="B154" s="162"/>
      <c r="C154" s="162"/>
      <c r="D154" s="162"/>
      <c r="E154" s="162"/>
      <c r="F154" s="162"/>
      <c r="G154" s="162"/>
      <c r="H154" s="162"/>
      <c r="I154" s="162"/>
      <c r="J154" s="162"/>
      <c r="K154" s="162"/>
      <c r="L154" s="162"/>
      <c r="R154" s="173"/>
      <c r="S154" s="173"/>
      <c r="T154" s="173"/>
      <c r="W154" s="173"/>
      <c r="X154" s="173"/>
      <c r="Y154" s="173"/>
      <c r="AB154" s="173"/>
      <c r="AC154" s="173"/>
      <c r="AD154" s="173"/>
      <c r="AG154" s="173"/>
      <c r="AH154" s="173"/>
      <c r="AI154" s="173"/>
    </row>
    <row r="155" spans="2:35">
      <c r="B155" s="162"/>
      <c r="C155" s="162"/>
      <c r="D155" s="162"/>
      <c r="E155" s="162"/>
      <c r="F155" s="162"/>
      <c r="G155" s="162"/>
      <c r="H155" s="162"/>
      <c r="I155" s="162"/>
      <c r="J155" s="162"/>
      <c r="K155" s="162"/>
      <c r="L155" s="162"/>
      <c r="R155" s="173"/>
      <c r="S155" s="173"/>
      <c r="T155" s="173"/>
      <c r="W155" s="173"/>
      <c r="X155" s="173"/>
      <c r="Y155" s="173"/>
      <c r="AB155" s="173"/>
      <c r="AC155" s="173"/>
      <c r="AD155" s="173"/>
      <c r="AG155" s="173"/>
      <c r="AH155" s="173"/>
      <c r="AI155" s="173"/>
    </row>
    <row r="156" spans="2:35">
      <c r="B156" s="162"/>
      <c r="C156" s="162"/>
      <c r="D156" s="162"/>
      <c r="E156" s="162"/>
      <c r="F156" s="162"/>
      <c r="G156" s="162"/>
      <c r="H156" s="162"/>
      <c r="I156" s="162"/>
      <c r="J156" s="162"/>
      <c r="K156" s="162"/>
      <c r="L156" s="162"/>
      <c r="R156" s="173"/>
      <c r="S156" s="173"/>
      <c r="T156" s="173"/>
      <c r="W156" s="173"/>
      <c r="X156" s="173"/>
      <c r="Y156" s="173"/>
      <c r="AB156" s="173"/>
      <c r="AC156" s="173"/>
      <c r="AD156" s="173"/>
      <c r="AG156" s="173"/>
      <c r="AH156" s="173"/>
      <c r="AI156" s="173"/>
    </row>
    <row r="157" spans="2:35">
      <c r="B157" s="162"/>
      <c r="C157" s="162"/>
      <c r="D157" s="162"/>
      <c r="E157" s="162"/>
      <c r="F157" s="162"/>
      <c r="G157" s="162"/>
      <c r="H157" s="162"/>
      <c r="I157" s="162"/>
      <c r="J157" s="162"/>
      <c r="K157" s="162"/>
      <c r="L157" s="162"/>
      <c r="R157" s="173"/>
      <c r="S157" s="173"/>
      <c r="T157" s="173"/>
      <c r="W157" s="173"/>
      <c r="X157" s="173"/>
      <c r="Y157" s="173"/>
      <c r="AB157" s="173"/>
      <c r="AC157" s="173"/>
      <c r="AD157" s="173"/>
      <c r="AG157" s="173"/>
      <c r="AH157" s="173"/>
      <c r="AI157" s="173"/>
    </row>
    <row r="158" spans="2:35">
      <c r="B158" s="162"/>
      <c r="C158" s="162"/>
      <c r="D158" s="162"/>
      <c r="E158" s="162"/>
      <c r="F158" s="162"/>
      <c r="G158" s="162"/>
      <c r="H158" s="162"/>
      <c r="I158" s="162"/>
      <c r="J158" s="162"/>
      <c r="K158" s="162"/>
      <c r="L158" s="162"/>
      <c r="R158" s="173"/>
      <c r="S158" s="173"/>
      <c r="T158" s="173"/>
      <c r="W158" s="173"/>
      <c r="X158" s="173"/>
      <c r="Y158" s="173"/>
      <c r="AB158" s="173"/>
      <c r="AC158" s="173"/>
      <c r="AD158" s="173"/>
      <c r="AG158" s="173"/>
      <c r="AH158" s="173"/>
      <c r="AI158" s="173"/>
    </row>
    <row r="159" spans="2:35">
      <c r="B159" s="162"/>
      <c r="C159" s="162"/>
      <c r="D159" s="162"/>
      <c r="E159" s="162"/>
      <c r="F159" s="162"/>
      <c r="G159" s="162"/>
      <c r="H159" s="162"/>
      <c r="I159" s="162"/>
      <c r="J159" s="162"/>
      <c r="K159" s="162"/>
      <c r="L159" s="162"/>
      <c r="R159" s="173"/>
      <c r="S159" s="173"/>
      <c r="T159" s="173"/>
      <c r="W159" s="173"/>
      <c r="X159" s="173"/>
      <c r="Y159" s="173"/>
      <c r="AB159" s="173"/>
      <c r="AC159" s="173"/>
      <c r="AD159" s="173"/>
      <c r="AG159" s="173"/>
      <c r="AH159" s="173"/>
      <c r="AI159" s="173"/>
    </row>
    <row r="160" spans="2:35">
      <c r="B160" s="162"/>
      <c r="C160" s="162"/>
      <c r="D160" s="162"/>
      <c r="E160" s="162"/>
      <c r="F160" s="162"/>
      <c r="G160" s="162"/>
      <c r="H160" s="162"/>
      <c r="I160" s="162"/>
      <c r="J160" s="162"/>
      <c r="K160" s="162"/>
      <c r="L160" s="162"/>
      <c r="R160" s="173"/>
      <c r="S160" s="173"/>
      <c r="T160" s="173"/>
      <c r="W160" s="173"/>
      <c r="X160" s="173"/>
      <c r="Y160" s="173"/>
      <c r="AB160" s="173"/>
      <c r="AC160" s="173"/>
      <c r="AD160" s="173"/>
      <c r="AG160" s="173"/>
      <c r="AH160" s="173"/>
      <c r="AI160" s="173"/>
    </row>
    <row r="161" spans="2:35">
      <c r="B161" s="162"/>
      <c r="C161" s="162"/>
      <c r="D161" s="162"/>
      <c r="E161" s="162"/>
      <c r="F161" s="162"/>
      <c r="G161" s="162"/>
      <c r="H161" s="162"/>
      <c r="I161" s="162"/>
      <c r="J161" s="162"/>
      <c r="K161" s="162"/>
      <c r="L161" s="162"/>
      <c r="R161" s="173"/>
      <c r="S161" s="173"/>
      <c r="T161" s="173"/>
      <c r="W161" s="173"/>
      <c r="X161" s="173"/>
      <c r="Y161" s="173"/>
      <c r="AB161" s="173"/>
      <c r="AC161" s="173"/>
      <c r="AD161" s="173"/>
      <c r="AG161" s="173"/>
      <c r="AH161" s="173"/>
      <c r="AI161" s="173"/>
    </row>
    <row r="162" spans="2:35">
      <c r="B162" s="162"/>
      <c r="C162" s="162"/>
      <c r="D162" s="162"/>
      <c r="E162" s="162"/>
      <c r="F162" s="162"/>
      <c r="G162" s="162"/>
      <c r="H162" s="162"/>
      <c r="I162" s="162"/>
      <c r="J162" s="162"/>
      <c r="K162" s="162"/>
      <c r="L162" s="162"/>
      <c r="R162" s="173"/>
      <c r="S162" s="173"/>
      <c r="T162" s="173"/>
      <c r="W162" s="173"/>
      <c r="X162" s="173"/>
      <c r="Y162" s="173"/>
      <c r="AB162" s="173"/>
      <c r="AC162" s="173"/>
      <c r="AD162" s="173"/>
      <c r="AG162" s="173"/>
      <c r="AH162" s="173"/>
      <c r="AI162" s="173"/>
    </row>
    <row r="163" spans="2:35">
      <c r="B163" s="162"/>
      <c r="C163" s="162"/>
      <c r="D163" s="162"/>
      <c r="E163" s="162"/>
      <c r="F163" s="162"/>
      <c r="G163" s="162"/>
      <c r="H163" s="162"/>
      <c r="I163" s="162"/>
      <c r="J163" s="162"/>
      <c r="K163" s="162"/>
      <c r="L163" s="162"/>
      <c r="R163" s="173"/>
      <c r="S163" s="173"/>
      <c r="T163" s="173"/>
      <c r="W163" s="173"/>
      <c r="X163" s="173"/>
      <c r="Y163" s="173"/>
      <c r="AB163" s="173"/>
      <c r="AC163" s="173"/>
      <c r="AD163" s="173"/>
      <c r="AG163" s="173"/>
      <c r="AH163" s="173"/>
      <c r="AI163" s="173"/>
    </row>
    <row r="164" spans="2:35">
      <c r="B164" s="162"/>
      <c r="C164" s="162"/>
      <c r="D164" s="162"/>
      <c r="E164" s="162"/>
      <c r="F164" s="162"/>
      <c r="G164" s="162"/>
      <c r="H164" s="162"/>
      <c r="I164" s="162"/>
      <c r="J164" s="162"/>
      <c r="K164" s="162"/>
      <c r="L164" s="162"/>
      <c r="R164" s="173"/>
      <c r="S164" s="173"/>
      <c r="T164" s="173"/>
      <c r="W164" s="173"/>
      <c r="X164" s="173"/>
      <c r="Y164" s="173"/>
      <c r="AB164" s="173"/>
      <c r="AC164" s="173"/>
      <c r="AD164" s="173"/>
      <c r="AG164" s="173"/>
      <c r="AH164" s="173"/>
      <c r="AI164" s="173"/>
    </row>
    <row r="165" spans="2:35">
      <c r="B165" s="162"/>
      <c r="C165" s="162"/>
      <c r="D165" s="162"/>
      <c r="E165" s="162"/>
      <c r="F165" s="162"/>
      <c r="G165" s="162"/>
      <c r="H165" s="162"/>
      <c r="I165" s="162"/>
      <c r="J165" s="162"/>
      <c r="K165" s="162"/>
      <c r="L165" s="162"/>
      <c r="R165" s="173"/>
      <c r="S165" s="173"/>
      <c r="T165" s="173"/>
      <c r="W165" s="173"/>
      <c r="X165" s="173"/>
      <c r="Y165" s="173"/>
      <c r="AB165" s="173"/>
      <c r="AC165" s="173"/>
      <c r="AD165" s="173"/>
      <c r="AG165" s="173"/>
      <c r="AH165" s="173"/>
      <c r="AI165" s="173"/>
    </row>
    <row r="166" spans="2:35">
      <c r="B166" s="162"/>
      <c r="C166" s="162"/>
      <c r="D166" s="162"/>
      <c r="E166" s="162"/>
      <c r="F166" s="162"/>
      <c r="G166" s="162"/>
      <c r="H166" s="162"/>
      <c r="I166" s="162"/>
      <c r="J166" s="162"/>
      <c r="K166" s="162"/>
      <c r="L166" s="162"/>
      <c r="R166" s="173"/>
      <c r="S166" s="173"/>
      <c r="T166" s="173"/>
      <c r="W166" s="173"/>
      <c r="X166" s="173"/>
      <c r="Y166" s="173"/>
      <c r="AB166" s="173"/>
      <c r="AC166" s="173"/>
      <c r="AD166" s="173"/>
      <c r="AG166" s="173"/>
      <c r="AH166" s="173"/>
      <c r="AI166" s="173"/>
    </row>
    <row r="167" spans="2:35">
      <c r="B167" s="162"/>
      <c r="C167" s="162"/>
      <c r="D167" s="162"/>
      <c r="E167" s="162"/>
      <c r="F167" s="162"/>
      <c r="G167" s="162"/>
      <c r="H167" s="162"/>
      <c r="I167" s="162"/>
      <c r="J167" s="162"/>
      <c r="K167" s="162"/>
      <c r="L167" s="162"/>
      <c r="R167" s="173"/>
      <c r="S167" s="173"/>
      <c r="T167" s="173"/>
      <c r="W167" s="173"/>
      <c r="X167" s="173"/>
      <c r="Y167" s="173"/>
      <c r="AB167" s="173"/>
      <c r="AC167" s="173"/>
      <c r="AD167" s="173"/>
      <c r="AG167" s="173"/>
      <c r="AH167" s="173"/>
      <c r="AI167" s="173"/>
    </row>
    <row r="168" spans="2:35">
      <c r="B168" s="162"/>
      <c r="C168" s="162"/>
      <c r="D168" s="162"/>
      <c r="E168" s="162"/>
      <c r="F168" s="162"/>
      <c r="G168" s="162"/>
      <c r="H168" s="162"/>
      <c r="I168" s="162"/>
      <c r="J168" s="162"/>
      <c r="K168" s="162"/>
      <c r="L168" s="162"/>
      <c r="R168" s="173"/>
      <c r="S168" s="173"/>
      <c r="T168" s="173"/>
      <c r="W168" s="173"/>
      <c r="X168" s="173"/>
      <c r="Y168" s="173"/>
      <c r="AB168" s="173"/>
      <c r="AC168" s="173"/>
      <c r="AD168" s="173"/>
      <c r="AG168" s="173"/>
      <c r="AH168" s="173"/>
      <c r="AI168" s="173"/>
    </row>
    <row r="169" spans="2:35">
      <c r="B169" s="162"/>
      <c r="C169" s="162"/>
      <c r="D169" s="162"/>
      <c r="E169" s="162"/>
      <c r="F169" s="162"/>
      <c r="G169" s="162"/>
      <c r="H169" s="162"/>
      <c r="I169" s="162"/>
      <c r="J169" s="162"/>
      <c r="K169" s="162"/>
      <c r="L169" s="162"/>
      <c r="R169" s="173"/>
      <c r="S169" s="173"/>
      <c r="T169" s="173"/>
      <c r="W169" s="173"/>
      <c r="X169" s="173"/>
      <c r="Y169" s="173"/>
      <c r="AB169" s="173"/>
      <c r="AC169" s="173"/>
      <c r="AD169" s="173"/>
      <c r="AG169" s="173"/>
      <c r="AH169" s="173"/>
      <c r="AI169" s="173"/>
    </row>
    <row r="170" spans="2:35">
      <c r="B170" s="162"/>
      <c r="C170" s="162"/>
      <c r="D170" s="162"/>
      <c r="E170" s="162"/>
      <c r="F170" s="162"/>
      <c r="G170" s="162"/>
      <c r="H170" s="162"/>
      <c r="I170" s="162"/>
      <c r="J170" s="162"/>
      <c r="K170" s="162"/>
      <c r="L170" s="162"/>
      <c r="R170" s="173"/>
      <c r="S170" s="173"/>
      <c r="T170" s="173"/>
      <c r="W170" s="173"/>
      <c r="X170" s="173"/>
      <c r="Y170" s="173"/>
      <c r="AB170" s="173"/>
      <c r="AC170" s="173"/>
      <c r="AD170" s="173"/>
      <c r="AG170" s="173"/>
      <c r="AH170" s="173"/>
      <c r="AI170" s="173"/>
    </row>
    <row r="171" spans="2:35">
      <c r="B171" s="162"/>
      <c r="C171" s="162"/>
      <c r="D171" s="162"/>
      <c r="E171" s="162"/>
      <c r="F171" s="162"/>
      <c r="G171" s="162"/>
      <c r="H171" s="162"/>
      <c r="I171" s="162"/>
      <c r="J171" s="162"/>
      <c r="K171" s="162"/>
      <c r="L171" s="162"/>
      <c r="R171" s="173"/>
      <c r="S171" s="173"/>
      <c r="T171" s="173"/>
      <c r="W171" s="173"/>
      <c r="X171" s="173"/>
      <c r="Y171" s="173"/>
      <c r="AB171" s="173"/>
      <c r="AC171" s="173"/>
      <c r="AD171" s="173"/>
      <c r="AG171" s="173"/>
      <c r="AH171" s="173"/>
      <c r="AI171" s="173"/>
    </row>
    <row r="172" spans="2:35">
      <c r="B172" s="162"/>
      <c r="C172" s="162"/>
      <c r="D172" s="162"/>
      <c r="E172" s="162"/>
      <c r="F172" s="162"/>
      <c r="G172" s="162"/>
      <c r="H172" s="162"/>
      <c r="I172" s="162"/>
      <c r="J172" s="162"/>
      <c r="K172" s="162"/>
      <c r="L172" s="162"/>
      <c r="R172" s="173"/>
      <c r="S172" s="173"/>
      <c r="T172" s="173"/>
      <c r="W172" s="173"/>
      <c r="X172" s="173"/>
      <c r="Y172" s="173"/>
      <c r="AB172" s="173"/>
      <c r="AC172" s="173"/>
      <c r="AD172" s="173"/>
      <c r="AG172" s="173"/>
      <c r="AH172" s="173"/>
      <c r="AI172" s="173"/>
    </row>
    <row r="173" spans="2:35">
      <c r="B173" s="162"/>
      <c r="C173" s="162"/>
      <c r="D173" s="162"/>
      <c r="E173" s="162"/>
      <c r="F173" s="162"/>
      <c r="G173" s="162"/>
      <c r="H173" s="162"/>
      <c r="I173" s="162"/>
      <c r="J173" s="162"/>
      <c r="K173" s="162"/>
      <c r="L173" s="162"/>
      <c r="R173" s="173"/>
      <c r="S173" s="173"/>
      <c r="T173" s="173"/>
      <c r="W173" s="173"/>
      <c r="X173" s="173"/>
      <c r="Y173" s="173"/>
      <c r="AB173" s="173"/>
      <c r="AC173" s="173"/>
      <c r="AD173" s="173"/>
      <c r="AG173" s="173"/>
      <c r="AH173" s="173"/>
      <c r="AI173" s="173"/>
    </row>
    <row r="174" spans="2:35">
      <c r="B174" s="162"/>
      <c r="C174" s="162"/>
      <c r="D174" s="162"/>
      <c r="E174" s="162"/>
      <c r="F174" s="162"/>
      <c r="G174" s="162"/>
      <c r="H174" s="162"/>
      <c r="I174" s="162"/>
      <c r="J174" s="162"/>
      <c r="K174" s="162"/>
      <c r="L174" s="162"/>
      <c r="R174" s="173"/>
      <c r="S174" s="173"/>
      <c r="T174" s="173"/>
      <c r="W174" s="173"/>
      <c r="X174" s="173"/>
      <c r="Y174" s="173"/>
      <c r="AB174" s="173"/>
      <c r="AC174" s="173"/>
      <c r="AD174" s="173"/>
      <c r="AG174" s="173"/>
      <c r="AH174" s="173"/>
      <c r="AI174" s="173"/>
    </row>
    <row r="175" spans="2:35">
      <c r="B175" s="162"/>
      <c r="C175" s="162"/>
      <c r="D175" s="162"/>
      <c r="E175" s="162"/>
      <c r="F175" s="162"/>
      <c r="G175" s="162"/>
      <c r="H175" s="162"/>
      <c r="I175" s="162"/>
      <c r="J175" s="162"/>
      <c r="K175" s="162"/>
      <c r="L175" s="162"/>
      <c r="R175" s="173"/>
      <c r="S175" s="173"/>
      <c r="T175" s="173"/>
      <c r="W175" s="173"/>
      <c r="X175" s="173"/>
      <c r="Y175" s="173"/>
      <c r="AB175" s="173"/>
      <c r="AC175" s="173"/>
      <c r="AD175" s="173"/>
      <c r="AG175" s="173"/>
      <c r="AH175" s="173"/>
      <c r="AI175" s="173"/>
    </row>
    <row r="176" spans="2:35">
      <c r="B176" s="162"/>
      <c r="C176" s="162"/>
      <c r="D176" s="162"/>
      <c r="E176" s="162"/>
      <c r="F176" s="162"/>
      <c r="G176" s="162"/>
      <c r="H176" s="162"/>
      <c r="I176" s="162"/>
      <c r="J176" s="162"/>
      <c r="K176" s="162"/>
      <c r="L176" s="162"/>
      <c r="R176" s="173"/>
      <c r="S176" s="173"/>
      <c r="T176" s="173"/>
      <c r="W176" s="173"/>
      <c r="X176" s="173"/>
      <c r="Y176" s="173"/>
      <c r="AB176" s="173"/>
      <c r="AC176" s="173"/>
      <c r="AD176" s="173"/>
      <c r="AG176" s="173"/>
      <c r="AH176" s="173"/>
      <c r="AI176" s="173"/>
    </row>
    <row r="177" spans="2:35">
      <c r="B177" s="162"/>
      <c r="C177" s="162"/>
      <c r="D177" s="162"/>
      <c r="E177" s="162"/>
      <c r="F177" s="162"/>
      <c r="G177" s="162"/>
      <c r="H177" s="162"/>
      <c r="I177" s="162"/>
      <c r="J177" s="162"/>
      <c r="K177" s="162"/>
      <c r="L177" s="162"/>
      <c r="R177" s="173"/>
      <c r="S177" s="173"/>
      <c r="T177" s="173"/>
      <c r="W177" s="173"/>
      <c r="X177" s="173"/>
      <c r="Y177" s="173"/>
      <c r="AB177" s="173"/>
      <c r="AC177" s="173"/>
      <c r="AD177" s="173"/>
      <c r="AG177" s="173"/>
      <c r="AH177" s="173"/>
      <c r="AI177" s="173"/>
    </row>
    <row r="178" spans="2:35">
      <c r="B178" s="162"/>
      <c r="C178" s="162"/>
      <c r="D178" s="162"/>
      <c r="E178" s="162"/>
      <c r="F178" s="162"/>
      <c r="G178" s="162"/>
      <c r="H178" s="162"/>
      <c r="I178" s="162"/>
      <c r="J178" s="162"/>
      <c r="K178" s="162"/>
      <c r="L178" s="162"/>
      <c r="R178" s="173"/>
      <c r="S178" s="173"/>
      <c r="T178" s="173"/>
      <c r="W178" s="173"/>
      <c r="X178" s="173"/>
      <c r="Y178" s="173"/>
      <c r="AB178" s="173"/>
      <c r="AC178" s="173"/>
      <c r="AD178" s="173"/>
      <c r="AG178" s="173"/>
      <c r="AH178" s="173"/>
      <c r="AI178" s="173"/>
    </row>
    <row r="179" spans="2:35">
      <c r="B179" s="162"/>
      <c r="C179" s="162"/>
      <c r="D179" s="162"/>
      <c r="E179" s="162"/>
      <c r="F179" s="162"/>
      <c r="G179" s="162"/>
      <c r="H179" s="162"/>
      <c r="I179" s="162"/>
      <c r="J179" s="162"/>
      <c r="K179" s="162"/>
      <c r="L179" s="162"/>
      <c r="R179" s="173"/>
      <c r="S179" s="173"/>
      <c r="T179" s="173"/>
      <c r="W179" s="173"/>
      <c r="X179" s="173"/>
      <c r="Y179" s="173"/>
      <c r="AB179" s="173"/>
      <c r="AC179" s="173"/>
      <c r="AD179" s="173"/>
      <c r="AG179" s="173"/>
      <c r="AH179" s="173"/>
      <c r="AI179" s="173"/>
    </row>
    <row r="180" spans="2:35">
      <c r="B180" s="162"/>
      <c r="C180" s="162"/>
      <c r="D180" s="162"/>
      <c r="E180" s="162"/>
      <c r="F180" s="162"/>
      <c r="G180" s="162"/>
      <c r="H180" s="162"/>
      <c r="I180" s="162"/>
      <c r="J180" s="162"/>
      <c r="K180" s="162"/>
      <c r="L180" s="162"/>
      <c r="R180" s="173"/>
      <c r="S180" s="173"/>
      <c r="T180" s="173"/>
      <c r="W180" s="173"/>
      <c r="X180" s="173"/>
      <c r="Y180" s="173"/>
      <c r="AB180" s="173"/>
      <c r="AC180" s="173"/>
      <c r="AD180" s="173"/>
      <c r="AG180" s="173"/>
      <c r="AH180" s="173"/>
      <c r="AI180" s="173"/>
    </row>
    <row r="181" spans="2:35">
      <c r="B181" s="162"/>
      <c r="C181" s="162"/>
      <c r="D181" s="162"/>
      <c r="E181" s="162"/>
      <c r="F181" s="162"/>
      <c r="G181" s="162"/>
      <c r="H181" s="162"/>
      <c r="I181" s="162"/>
      <c r="J181" s="162"/>
      <c r="K181" s="162"/>
      <c r="L181" s="162"/>
      <c r="R181" s="173"/>
      <c r="S181" s="173"/>
      <c r="T181" s="173"/>
      <c r="W181" s="173"/>
      <c r="X181" s="173"/>
      <c r="Y181" s="173"/>
      <c r="AB181" s="173"/>
      <c r="AC181" s="173"/>
      <c r="AD181" s="173"/>
      <c r="AG181" s="173"/>
      <c r="AH181" s="173"/>
      <c r="AI181" s="173"/>
    </row>
    <row r="182" spans="2:35">
      <c r="B182" s="162"/>
      <c r="C182" s="162"/>
      <c r="D182" s="162"/>
      <c r="E182" s="162"/>
      <c r="F182" s="162"/>
      <c r="G182" s="162"/>
      <c r="H182" s="162"/>
      <c r="I182" s="162"/>
      <c r="J182" s="162"/>
      <c r="K182" s="162"/>
      <c r="L182" s="162"/>
      <c r="R182" s="173"/>
      <c r="S182" s="173"/>
      <c r="T182" s="173"/>
      <c r="W182" s="173"/>
      <c r="X182" s="173"/>
      <c r="Y182" s="173"/>
      <c r="AB182" s="173"/>
      <c r="AC182" s="173"/>
      <c r="AD182" s="173"/>
      <c r="AG182" s="173"/>
      <c r="AH182" s="173"/>
      <c r="AI182" s="173"/>
    </row>
    <row r="183" spans="2:35">
      <c r="B183" s="162"/>
      <c r="C183" s="162"/>
      <c r="D183" s="162"/>
      <c r="E183" s="162"/>
      <c r="F183" s="162"/>
      <c r="G183" s="162"/>
      <c r="H183" s="162"/>
      <c r="I183" s="162"/>
      <c r="J183" s="162"/>
      <c r="K183" s="162"/>
      <c r="L183" s="162"/>
      <c r="R183" s="173"/>
      <c r="S183" s="173"/>
      <c r="T183" s="173"/>
      <c r="W183" s="173"/>
      <c r="X183" s="173"/>
      <c r="Y183" s="173"/>
      <c r="AB183" s="173"/>
      <c r="AC183" s="173"/>
      <c r="AD183" s="173"/>
      <c r="AG183" s="173"/>
      <c r="AH183" s="173"/>
      <c r="AI183" s="173"/>
    </row>
    <row r="184" spans="2:35">
      <c r="B184" s="162"/>
      <c r="C184" s="162"/>
      <c r="D184" s="162"/>
      <c r="E184" s="162"/>
      <c r="F184" s="162"/>
      <c r="G184" s="162"/>
      <c r="H184" s="162"/>
      <c r="I184" s="162"/>
      <c r="J184" s="162"/>
      <c r="K184" s="162"/>
      <c r="L184" s="162"/>
      <c r="R184" s="173"/>
      <c r="S184" s="173"/>
      <c r="T184" s="173"/>
      <c r="W184" s="173"/>
      <c r="X184" s="173"/>
      <c r="Y184" s="173"/>
      <c r="AB184" s="173"/>
      <c r="AC184" s="173"/>
      <c r="AD184" s="173"/>
      <c r="AG184" s="173"/>
      <c r="AH184" s="173"/>
      <c r="AI184" s="173"/>
    </row>
    <row r="185" spans="2:35">
      <c r="B185" s="162"/>
      <c r="C185" s="162"/>
      <c r="D185" s="162"/>
      <c r="E185" s="162"/>
      <c r="F185" s="162"/>
      <c r="G185" s="162"/>
      <c r="H185" s="162"/>
      <c r="I185" s="162"/>
      <c r="J185" s="162"/>
      <c r="K185" s="162"/>
      <c r="L185" s="162"/>
      <c r="R185" s="173"/>
      <c r="S185" s="173"/>
      <c r="T185" s="173"/>
      <c r="W185" s="173"/>
      <c r="X185" s="173"/>
      <c r="Y185" s="173"/>
      <c r="AB185" s="173"/>
      <c r="AC185" s="173"/>
      <c r="AD185" s="173"/>
      <c r="AG185" s="173"/>
      <c r="AH185" s="173"/>
      <c r="AI185" s="173"/>
    </row>
    <row r="186" spans="2:35">
      <c r="B186" s="162"/>
      <c r="C186" s="162"/>
      <c r="D186" s="162"/>
      <c r="E186" s="162"/>
      <c r="F186" s="162"/>
      <c r="G186" s="162"/>
      <c r="H186" s="162"/>
      <c r="I186" s="162"/>
      <c r="J186" s="162"/>
      <c r="K186" s="162"/>
      <c r="L186" s="162"/>
      <c r="R186" s="173"/>
      <c r="S186" s="173"/>
      <c r="T186" s="173"/>
      <c r="W186" s="173"/>
      <c r="X186" s="173"/>
      <c r="Y186" s="173"/>
      <c r="AB186" s="173"/>
      <c r="AC186" s="173"/>
      <c r="AD186" s="173"/>
      <c r="AG186" s="173"/>
      <c r="AH186" s="173"/>
      <c r="AI186" s="173"/>
    </row>
    <row r="187" spans="2:35">
      <c r="B187" s="162"/>
      <c r="C187" s="162"/>
      <c r="D187" s="162"/>
      <c r="E187" s="162"/>
      <c r="F187" s="162"/>
      <c r="G187" s="162"/>
      <c r="H187" s="162"/>
      <c r="I187" s="162"/>
      <c r="J187" s="162"/>
      <c r="K187" s="162"/>
      <c r="L187" s="162"/>
      <c r="R187" s="173"/>
      <c r="S187" s="173"/>
      <c r="T187" s="173"/>
      <c r="W187" s="173"/>
      <c r="X187" s="173"/>
      <c r="Y187" s="173"/>
      <c r="AB187" s="173"/>
      <c r="AC187" s="173"/>
      <c r="AD187" s="173"/>
      <c r="AG187" s="173"/>
      <c r="AH187" s="173"/>
      <c r="AI187" s="173"/>
    </row>
    <row r="188" spans="2:35">
      <c r="B188" s="162"/>
      <c r="C188" s="162"/>
      <c r="D188" s="162"/>
      <c r="E188" s="162"/>
      <c r="F188" s="162"/>
      <c r="G188" s="162"/>
      <c r="H188" s="162"/>
      <c r="I188" s="162"/>
      <c r="J188" s="162"/>
      <c r="K188" s="162"/>
      <c r="L188" s="162"/>
      <c r="R188" s="173"/>
      <c r="S188" s="173"/>
      <c r="T188" s="173"/>
      <c r="W188" s="173"/>
      <c r="X188" s="173"/>
      <c r="Y188" s="173"/>
      <c r="AB188" s="173"/>
      <c r="AC188" s="173"/>
      <c r="AD188" s="173"/>
      <c r="AG188" s="173"/>
      <c r="AH188" s="173"/>
      <c r="AI188" s="173"/>
    </row>
    <row r="189" spans="2:35">
      <c r="B189" s="162"/>
      <c r="C189" s="162"/>
      <c r="D189" s="162"/>
      <c r="E189" s="162"/>
      <c r="F189" s="162"/>
      <c r="G189" s="162"/>
      <c r="H189" s="162"/>
      <c r="I189" s="162"/>
      <c r="J189" s="162"/>
      <c r="K189" s="162"/>
      <c r="L189" s="162"/>
      <c r="R189" s="173"/>
      <c r="S189" s="173"/>
      <c r="T189" s="173"/>
      <c r="W189" s="173"/>
      <c r="X189" s="173"/>
      <c r="Y189" s="173"/>
      <c r="AB189" s="173"/>
      <c r="AC189" s="173"/>
      <c r="AD189" s="173"/>
      <c r="AG189" s="173"/>
      <c r="AH189" s="173"/>
      <c r="AI189" s="173"/>
    </row>
    <row r="190" spans="2:35">
      <c r="B190" s="162"/>
      <c r="C190" s="162"/>
      <c r="D190" s="162"/>
      <c r="E190" s="162"/>
      <c r="F190" s="162"/>
      <c r="G190" s="162"/>
      <c r="H190" s="162"/>
      <c r="I190" s="162"/>
      <c r="J190" s="162"/>
      <c r="K190" s="162"/>
      <c r="L190" s="162"/>
      <c r="R190" s="173"/>
      <c r="S190" s="173"/>
      <c r="T190" s="173"/>
      <c r="W190" s="173"/>
      <c r="X190" s="173"/>
      <c r="Y190" s="173"/>
      <c r="AB190" s="173"/>
      <c r="AC190" s="173"/>
      <c r="AD190" s="173"/>
      <c r="AG190" s="173"/>
      <c r="AH190" s="173"/>
      <c r="AI190" s="173"/>
    </row>
    <row r="191" spans="2:35">
      <c r="B191" s="162"/>
      <c r="C191" s="162"/>
      <c r="D191" s="162"/>
      <c r="E191" s="162"/>
      <c r="F191" s="162"/>
      <c r="G191" s="162"/>
      <c r="H191" s="162"/>
      <c r="I191" s="162"/>
      <c r="J191" s="162"/>
      <c r="K191" s="162"/>
      <c r="L191" s="162"/>
      <c r="R191" s="173"/>
      <c r="S191" s="173"/>
      <c r="T191" s="173"/>
      <c r="W191" s="173"/>
      <c r="X191" s="173"/>
      <c r="Y191" s="173"/>
      <c r="AB191" s="173"/>
      <c r="AC191" s="173"/>
      <c r="AD191" s="173"/>
      <c r="AG191" s="173"/>
      <c r="AH191" s="173"/>
      <c r="AI191" s="173"/>
    </row>
    <row r="192" spans="2:35">
      <c r="B192" s="162"/>
      <c r="C192" s="162"/>
      <c r="D192" s="162"/>
      <c r="E192" s="162"/>
      <c r="F192" s="162"/>
      <c r="G192" s="162"/>
      <c r="H192" s="162"/>
      <c r="I192" s="162"/>
      <c r="J192" s="162"/>
      <c r="K192" s="162"/>
      <c r="L192" s="162"/>
      <c r="R192" s="173"/>
      <c r="S192" s="173"/>
      <c r="T192" s="173"/>
      <c r="W192" s="173"/>
      <c r="X192" s="173"/>
      <c r="Y192" s="173"/>
      <c r="AB192" s="173"/>
      <c r="AC192" s="173"/>
      <c r="AD192" s="173"/>
      <c r="AG192" s="173"/>
      <c r="AH192" s="173"/>
      <c r="AI192" s="173"/>
    </row>
    <row r="193" spans="2:35">
      <c r="B193" s="162"/>
      <c r="C193" s="162"/>
      <c r="D193" s="162"/>
      <c r="E193" s="162"/>
      <c r="F193" s="162"/>
      <c r="G193" s="162"/>
      <c r="H193" s="162"/>
      <c r="I193" s="162"/>
      <c r="J193" s="162"/>
      <c r="K193" s="162"/>
      <c r="L193" s="162"/>
      <c r="R193" s="173"/>
      <c r="S193" s="173"/>
      <c r="T193" s="173"/>
      <c r="W193" s="173"/>
      <c r="X193" s="173"/>
      <c r="Y193" s="173"/>
      <c r="AB193" s="173"/>
      <c r="AC193" s="173"/>
      <c r="AD193" s="173"/>
      <c r="AG193" s="173"/>
      <c r="AH193" s="173"/>
      <c r="AI193" s="173"/>
    </row>
    <row r="194" spans="2:35">
      <c r="B194" s="162"/>
      <c r="C194" s="162"/>
      <c r="D194" s="162"/>
      <c r="E194" s="162"/>
      <c r="F194" s="162"/>
      <c r="G194" s="162"/>
      <c r="H194" s="162"/>
      <c r="I194" s="162"/>
      <c r="J194" s="162"/>
      <c r="K194" s="162"/>
      <c r="L194" s="162"/>
      <c r="R194" s="173"/>
      <c r="S194" s="173"/>
      <c r="T194" s="173"/>
      <c r="W194" s="173"/>
      <c r="X194" s="173"/>
      <c r="Y194" s="173"/>
      <c r="AB194" s="173"/>
      <c r="AC194" s="173"/>
      <c r="AD194" s="173"/>
      <c r="AG194" s="173"/>
      <c r="AH194" s="173"/>
      <c r="AI194" s="173"/>
    </row>
    <row r="195" spans="2:35">
      <c r="B195" s="162"/>
      <c r="C195" s="162"/>
      <c r="D195" s="162"/>
      <c r="E195" s="162"/>
      <c r="F195" s="162"/>
      <c r="G195" s="162"/>
      <c r="H195" s="162"/>
      <c r="I195" s="162"/>
      <c r="J195" s="162"/>
      <c r="K195" s="162"/>
      <c r="L195" s="162"/>
      <c r="R195" s="173"/>
      <c r="S195" s="173"/>
      <c r="T195" s="173"/>
      <c r="W195" s="173"/>
      <c r="X195" s="173"/>
      <c r="Y195" s="173"/>
      <c r="AB195" s="173"/>
      <c r="AC195" s="173"/>
      <c r="AD195" s="173"/>
      <c r="AG195" s="173"/>
      <c r="AH195" s="173"/>
      <c r="AI195" s="173"/>
    </row>
    <row r="196" spans="2:35">
      <c r="B196" s="162"/>
      <c r="C196" s="162"/>
      <c r="D196" s="162"/>
      <c r="E196" s="162"/>
      <c r="F196" s="162"/>
      <c r="G196" s="162"/>
      <c r="H196" s="162"/>
      <c r="I196" s="162"/>
      <c r="J196" s="162"/>
      <c r="K196" s="162"/>
      <c r="L196" s="162"/>
      <c r="R196" s="173"/>
      <c r="S196" s="173"/>
      <c r="T196" s="173"/>
      <c r="W196" s="173"/>
      <c r="X196" s="173"/>
      <c r="Y196" s="173"/>
      <c r="AB196" s="173"/>
      <c r="AC196" s="173"/>
      <c r="AD196" s="173"/>
      <c r="AG196" s="173"/>
      <c r="AH196" s="173"/>
      <c r="AI196" s="173"/>
    </row>
    <row r="197" spans="2:35">
      <c r="B197" s="162"/>
      <c r="C197" s="162"/>
      <c r="D197" s="162"/>
      <c r="E197" s="162"/>
      <c r="F197" s="162"/>
      <c r="G197" s="162"/>
      <c r="H197" s="162"/>
      <c r="I197" s="162"/>
      <c r="J197" s="162"/>
      <c r="K197" s="162"/>
      <c r="L197" s="162"/>
      <c r="R197" s="173"/>
      <c r="S197" s="173"/>
      <c r="T197" s="173"/>
      <c r="W197" s="173"/>
      <c r="X197" s="173"/>
      <c r="Y197" s="173"/>
      <c r="AB197" s="173"/>
      <c r="AC197" s="173"/>
      <c r="AD197" s="173"/>
      <c r="AG197" s="173"/>
      <c r="AH197" s="173"/>
      <c r="AI197" s="173"/>
    </row>
    <row r="198" spans="2:35">
      <c r="B198" s="162"/>
      <c r="C198" s="162"/>
      <c r="D198" s="162"/>
      <c r="E198" s="162"/>
      <c r="F198" s="162"/>
      <c r="G198" s="162"/>
      <c r="H198" s="162"/>
      <c r="I198" s="162"/>
      <c r="J198" s="162"/>
      <c r="K198" s="162"/>
      <c r="L198" s="162"/>
      <c r="R198" s="173"/>
      <c r="S198" s="173"/>
      <c r="T198" s="173"/>
      <c r="W198" s="173"/>
      <c r="X198" s="173"/>
      <c r="Y198" s="173"/>
      <c r="AB198" s="173"/>
      <c r="AC198" s="173"/>
      <c r="AD198" s="173"/>
      <c r="AG198" s="173"/>
      <c r="AH198" s="173"/>
      <c r="AI198" s="173"/>
    </row>
    <row r="199" spans="2:35">
      <c r="B199" s="162"/>
      <c r="C199" s="162"/>
      <c r="D199" s="162"/>
      <c r="E199" s="162"/>
      <c r="F199" s="162"/>
      <c r="G199" s="162"/>
      <c r="H199" s="162"/>
      <c r="I199" s="162"/>
      <c r="J199" s="162"/>
      <c r="K199" s="162"/>
      <c r="L199" s="162"/>
      <c r="R199" s="173"/>
      <c r="S199" s="173"/>
      <c r="T199" s="173"/>
      <c r="W199" s="173"/>
      <c r="X199" s="173"/>
      <c r="Y199" s="173"/>
      <c r="AB199" s="173"/>
      <c r="AC199" s="173"/>
      <c r="AD199" s="173"/>
      <c r="AG199" s="173"/>
      <c r="AH199" s="173"/>
      <c r="AI199" s="173"/>
    </row>
    <row r="200" spans="2:35">
      <c r="B200" s="162"/>
      <c r="C200" s="162"/>
      <c r="D200" s="162"/>
      <c r="E200" s="162"/>
      <c r="F200" s="162"/>
      <c r="G200" s="162"/>
      <c r="H200" s="162"/>
      <c r="I200" s="162"/>
      <c r="J200" s="162"/>
      <c r="K200" s="162"/>
      <c r="L200" s="162"/>
      <c r="R200" s="173"/>
      <c r="S200" s="173"/>
      <c r="T200" s="173"/>
      <c r="W200" s="173"/>
      <c r="X200" s="173"/>
      <c r="Y200" s="173"/>
      <c r="AB200" s="173"/>
      <c r="AC200" s="173"/>
      <c r="AD200" s="173"/>
      <c r="AG200" s="173"/>
      <c r="AH200" s="173"/>
      <c r="AI200" s="173"/>
    </row>
    <row r="201" spans="2:35">
      <c r="B201" s="162"/>
      <c r="C201" s="162"/>
      <c r="D201" s="162"/>
      <c r="E201" s="162"/>
      <c r="F201" s="162"/>
      <c r="G201" s="162"/>
      <c r="H201" s="162"/>
      <c r="I201" s="162"/>
      <c r="J201" s="162"/>
      <c r="K201" s="162"/>
      <c r="L201" s="162"/>
      <c r="R201" s="173"/>
      <c r="S201" s="173"/>
      <c r="T201" s="173"/>
      <c r="W201" s="173"/>
      <c r="X201" s="173"/>
      <c r="Y201" s="173"/>
      <c r="AB201" s="173"/>
      <c r="AC201" s="173"/>
      <c r="AD201" s="173"/>
      <c r="AG201" s="173"/>
      <c r="AH201" s="173"/>
      <c r="AI201" s="173"/>
    </row>
    <row r="202" spans="2:35">
      <c r="B202" s="162"/>
      <c r="C202" s="162"/>
      <c r="D202" s="162"/>
      <c r="E202" s="162"/>
      <c r="F202" s="162"/>
      <c r="G202" s="162"/>
      <c r="H202" s="162"/>
      <c r="I202" s="162"/>
      <c r="J202" s="162"/>
      <c r="K202" s="162"/>
      <c r="L202" s="162"/>
      <c r="R202" s="173"/>
      <c r="S202" s="173"/>
      <c r="T202" s="173"/>
      <c r="W202" s="173"/>
      <c r="X202" s="173"/>
      <c r="Y202" s="173"/>
      <c r="AB202" s="173"/>
      <c r="AC202" s="173"/>
      <c r="AD202" s="173"/>
      <c r="AG202" s="173"/>
      <c r="AH202" s="173"/>
      <c r="AI202" s="173"/>
    </row>
    <row r="203" spans="2:35">
      <c r="B203" s="162"/>
      <c r="C203" s="162"/>
      <c r="D203" s="162"/>
      <c r="E203" s="162"/>
      <c r="F203" s="162"/>
      <c r="G203" s="162"/>
      <c r="H203" s="162"/>
      <c r="I203" s="162"/>
      <c r="J203" s="162"/>
      <c r="K203" s="162"/>
      <c r="L203" s="162"/>
      <c r="R203" s="173"/>
      <c r="S203" s="173"/>
      <c r="T203" s="173"/>
      <c r="W203" s="173"/>
      <c r="X203" s="173"/>
      <c r="Y203" s="173"/>
      <c r="AB203" s="173"/>
      <c r="AC203" s="173"/>
      <c r="AD203" s="173"/>
      <c r="AG203" s="173"/>
      <c r="AH203" s="173"/>
      <c r="AI203" s="173"/>
    </row>
    <row r="204" spans="2:35">
      <c r="B204" s="162"/>
      <c r="C204" s="162"/>
      <c r="D204" s="162"/>
      <c r="E204" s="162"/>
      <c r="F204" s="162"/>
      <c r="G204" s="162"/>
      <c r="H204" s="162"/>
      <c r="I204" s="162"/>
      <c r="J204" s="162"/>
      <c r="K204" s="162"/>
      <c r="L204" s="162"/>
      <c r="R204" s="173"/>
      <c r="S204" s="173"/>
      <c r="T204" s="173"/>
      <c r="W204" s="173"/>
      <c r="X204" s="173"/>
      <c r="Y204" s="173"/>
      <c r="AB204" s="173"/>
      <c r="AC204" s="173"/>
      <c r="AD204" s="173"/>
      <c r="AG204" s="173"/>
      <c r="AH204" s="173"/>
      <c r="AI204" s="173"/>
    </row>
    <row r="205" spans="2:35">
      <c r="B205" s="162"/>
      <c r="C205" s="162"/>
      <c r="D205" s="162"/>
      <c r="E205" s="162"/>
      <c r="F205" s="162"/>
      <c r="G205" s="162"/>
      <c r="H205" s="162"/>
      <c r="I205" s="162"/>
      <c r="J205" s="162"/>
      <c r="K205" s="162"/>
      <c r="L205" s="162"/>
      <c r="R205" s="173"/>
      <c r="S205" s="173"/>
      <c r="T205" s="173"/>
      <c r="W205" s="173"/>
      <c r="X205" s="173"/>
      <c r="Y205" s="173"/>
      <c r="AB205" s="173"/>
      <c r="AC205" s="173"/>
      <c r="AD205" s="173"/>
      <c r="AG205" s="173"/>
      <c r="AH205" s="173"/>
      <c r="AI205" s="173"/>
    </row>
    <row r="206" spans="2:35">
      <c r="B206" s="162"/>
      <c r="C206" s="162"/>
      <c r="D206" s="162"/>
      <c r="E206" s="162"/>
      <c r="F206" s="162"/>
      <c r="G206" s="162"/>
      <c r="H206" s="162"/>
      <c r="I206" s="162"/>
      <c r="J206" s="162"/>
      <c r="K206" s="162"/>
      <c r="L206" s="162"/>
      <c r="R206" s="173"/>
      <c r="S206" s="173"/>
      <c r="T206" s="173"/>
      <c r="W206" s="173"/>
      <c r="X206" s="173"/>
      <c r="Y206" s="173"/>
      <c r="AB206" s="173"/>
      <c r="AC206" s="173"/>
      <c r="AD206" s="173"/>
      <c r="AG206" s="173"/>
      <c r="AH206" s="173"/>
      <c r="AI206" s="173"/>
    </row>
    <row r="207" spans="2:35">
      <c r="B207" s="162"/>
      <c r="C207" s="162"/>
      <c r="D207" s="162"/>
      <c r="E207" s="162"/>
      <c r="F207" s="162"/>
      <c r="G207" s="162"/>
      <c r="H207" s="162"/>
      <c r="I207" s="162"/>
      <c r="J207" s="162"/>
      <c r="K207" s="162"/>
      <c r="L207" s="162"/>
      <c r="R207" s="173"/>
      <c r="S207" s="173"/>
      <c r="T207" s="173"/>
      <c r="W207" s="173"/>
      <c r="X207" s="173"/>
      <c r="Y207" s="173"/>
      <c r="AB207" s="173"/>
      <c r="AC207" s="173"/>
      <c r="AD207" s="173"/>
      <c r="AG207" s="173"/>
      <c r="AH207" s="173"/>
      <c r="AI207" s="173"/>
    </row>
    <row r="208" spans="2:35">
      <c r="B208" s="162"/>
      <c r="C208" s="162"/>
      <c r="D208" s="162"/>
      <c r="E208" s="162"/>
      <c r="F208" s="162"/>
      <c r="G208" s="162"/>
      <c r="H208" s="162"/>
      <c r="I208" s="162"/>
      <c r="J208" s="162"/>
      <c r="K208" s="162"/>
      <c r="L208" s="162"/>
      <c r="R208" s="173"/>
      <c r="S208" s="173"/>
      <c r="T208" s="173"/>
      <c r="W208" s="173"/>
      <c r="X208" s="173"/>
      <c r="Y208" s="173"/>
      <c r="AB208" s="173"/>
      <c r="AC208" s="173"/>
      <c r="AD208" s="173"/>
      <c r="AG208" s="173"/>
      <c r="AH208" s="173"/>
      <c r="AI208" s="173"/>
    </row>
    <row r="209" spans="2:35">
      <c r="B209" s="162"/>
      <c r="C209" s="162"/>
      <c r="D209" s="162"/>
      <c r="E209" s="162"/>
      <c r="F209" s="162"/>
      <c r="G209" s="162"/>
      <c r="H209" s="162"/>
      <c r="I209" s="162"/>
      <c r="J209" s="162"/>
      <c r="K209" s="162"/>
      <c r="L209" s="162"/>
      <c r="R209" s="173"/>
      <c r="S209" s="173"/>
      <c r="T209" s="173"/>
      <c r="W209" s="173"/>
      <c r="X209" s="173"/>
      <c r="Y209" s="173"/>
      <c r="AB209" s="173"/>
      <c r="AC209" s="173"/>
      <c r="AD209" s="173"/>
      <c r="AG209" s="173"/>
      <c r="AH209" s="173"/>
      <c r="AI209" s="173"/>
    </row>
    <row r="210" spans="2:35">
      <c r="B210" s="162"/>
      <c r="C210" s="162"/>
      <c r="D210" s="162"/>
      <c r="E210" s="162"/>
      <c r="F210" s="162"/>
      <c r="G210" s="162"/>
      <c r="H210" s="162"/>
      <c r="I210" s="162"/>
      <c r="J210" s="162"/>
      <c r="K210" s="162"/>
      <c r="L210" s="162"/>
      <c r="R210" s="173"/>
      <c r="S210" s="173"/>
      <c r="T210" s="173"/>
      <c r="W210" s="173"/>
      <c r="X210" s="173"/>
      <c r="Y210" s="173"/>
      <c r="AB210" s="173"/>
      <c r="AC210" s="173"/>
      <c r="AD210" s="173"/>
      <c r="AG210" s="173"/>
      <c r="AH210" s="173"/>
      <c r="AI210" s="173"/>
    </row>
    <row r="211" spans="2:35">
      <c r="B211" s="162"/>
      <c r="C211" s="162"/>
      <c r="D211" s="162"/>
      <c r="E211" s="162"/>
      <c r="F211" s="162"/>
      <c r="G211" s="162"/>
      <c r="H211" s="162"/>
      <c r="I211" s="162"/>
      <c r="J211" s="162"/>
      <c r="K211" s="162"/>
      <c r="L211" s="162"/>
      <c r="R211" s="173"/>
      <c r="S211" s="173"/>
      <c r="T211" s="173"/>
      <c r="W211" s="173"/>
      <c r="X211" s="173"/>
      <c r="Y211" s="173"/>
      <c r="AB211" s="173"/>
      <c r="AC211" s="173"/>
      <c r="AD211" s="173"/>
      <c r="AG211" s="173"/>
      <c r="AH211" s="173"/>
      <c r="AI211" s="173"/>
    </row>
    <row r="212" spans="2:35">
      <c r="B212" s="162"/>
      <c r="C212" s="162"/>
      <c r="D212" s="162"/>
      <c r="E212" s="162"/>
      <c r="F212" s="162"/>
      <c r="G212" s="162"/>
      <c r="H212" s="162"/>
      <c r="I212" s="162"/>
      <c r="J212" s="162"/>
      <c r="K212" s="162"/>
      <c r="L212" s="162"/>
      <c r="R212" s="173"/>
      <c r="S212" s="173"/>
      <c r="T212" s="173"/>
      <c r="W212" s="173"/>
      <c r="X212" s="173"/>
      <c r="Y212" s="173"/>
      <c r="AB212" s="173"/>
      <c r="AC212" s="173"/>
      <c r="AD212" s="173"/>
      <c r="AG212" s="173"/>
      <c r="AH212" s="173"/>
      <c r="AI212" s="173"/>
    </row>
    <row r="213" spans="2:35">
      <c r="B213" s="162"/>
      <c r="C213" s="162"/>
      <c r="D213" s="162"/>
      <c r="E213" s="162"/>
      <c r="F213" s="162"/>
      <c r="G213" s="162"/>
      <c r="H213" s="162"/>
      <c r="I213" s="162"/>
      <c r="J213" s="162"/>
      <c r="K213" s="162"/>
      <c r="L213" s="162"/>
      <c r="R213" s="173"/>
      <c r="S213" s="173"/>
      <c r="T213" s="173"/>
      <c r="W213" s="173"/>
      <c r="X213" s="173"/>
      <c r="Y213" s="173"/>
      <c r="AB213" s="173"/>
      <c r="AC213" s="173"/>
      <c r="AD213" s="173"/>
      <c r="AG213" s="173"/>
      <c r="AH213" s="173"/>
      <c r="AI213" s="173"/>
    </row>
    <row r="214" spans="2:35">
      <c r="B214" s="162"/>
      <c r="C214" s="162"/>
      <c r="D214" s="162"/>
      <c r="E214" s="162"/>
      <c r="F214" s="162"/>
      <c r="G214" s="162"/>
      <c r="H214" s="162"/>
      <c r="I214" s="162"/>
      <c r="J214" s="162"/>
      <c r="K214" s="162"/>
      <c r="L214" s="162"/>
      <c r="R214" s="173"/>
      <c r="S214" s="173"/>
      <c r="T214" s="173"/>
      <c r="W214" s="173"/>
      <c r="X214" s="173"/>
      <c r="Y214" s="173"/>
      <c r="AB214" s="173"/>
      <c r="AC214" s="173"/>
      <c r="AD214" s="173"/>
      <c r="AG214" s="173"/>
      <c r="AH214" s="173"/>
      <c r="AI214" s="173"/>
    </row>
    <row r="215" spans="2:35">
      <c r="B215" s="162"/>
      <c r="C215" s="162"/>
      <c r="D215" s="162"/>
      <c r="E215" s="162"/>
      <c r="F215" s="162"/>
      <c r="G215" s="162"/>
      <c r="H215" s="162"/>
      <c r="I215" s="162"/>
      <c r="J215" s="162"/>
      <c r="K215" s="162"/>
      <c r="L215" s="162"/>
      <c r="R215" s="173"/>
      <c r="S215" s="173"/>
      <c r="T215" s="173"/>
      <c r="W215" s="173"/>
      <c r="X215" s="173"/>
      <c r="Y215" s="173"/>
      <c r="AB215" s="173"/>
      <c r="AC215" s="173"/>
      <c r="AD215" s="173"/>
      <c r="AG215" s="173"/>
      <c r="AH215" s="173"/>
      <c r="AI215" s="173"/>
    </row>
    <row r="216" spans="2:35">
      <c r="B216" s="162"/>
      <c r="C216" s="162"/>
      <c r="D216" s="162"/>
      <c r="E216" s="162"/>
      <c r="F216" s="162"/>
      <c r="G216" s="162"/>
      <c r="H216" s="162"/>
      <c r="I216" s="162"/>
      <c r="J216" s="162"/>
      <c r="K216" s="162"/>
      <c r="L216" s="162"/>
      <c r="R216" s="173"/>
      <c r="S216" s="173"/>
      <c r="T216" s="173"/>
      <c r="W216" s="173"/>
      <c r="X216" s="173"/>
      <c r="Y216" s="173"/>
      <c r="AB216" s="173"/>
      <c r="AC216" s="173"/>
      <c r="AD216" s="173"/>
      <c r="AG216" s="173"/>
      <c r="AH216" s="173"/>
      <c r="AI216" s="173"/>
    </row>
    <row r="217" spans="2:35">
      <c r="B217" s="162"/>
      <c r="C217" s="162"/>
      <c r="D217" s="162"/>
      <c r="E217" s="162"/>
      <c r="F217" s="162"/>
      <c r="G217" s="162"/>
      <c r="H217" s="162"/>
      <c r="I217" s="162"/>
      <c r="J217" s="162"/>
      <c r="K217" s="162"/>
      <c r="L217" s="162"/>
      <c r="R217" s="173"/>
      <c r="S217" s="173"/>
      <c r="T217" s="173"/>
      <c r="W217" s="173"/>
      <c r="X217" s="173"/>
      <c r="Y217" s="173"/>
      <c r="AB217" s="173"/>
      <c r="AC217" s="173"/>
      <c r="AD217" s="173"/>
      <c r="AG217" s="173"/>
      <c r="AH217" s="173"/>
      <c r="AI217" s="173"/>
    </row>
    <row r="218" spans="2:35">
      <c r="B218" s="162"/>
      <c r="C218" s="162"/>
      <c r="D218" s="162"/>
      <c r="E218" s="162"/>
      <c r="F218" s="162"/>
      <c r="G218" s="162"/>
      <c r="H218" s="162"/>
      <c r="I218" s="162"/>
      <c r="J218" s="162"/>
      <c r="K218" s="162"/>
      <c r="L218" s="162"/>
      <c r="R218" s="173"/>
      <c r="S218" s="173"/>
      <c r="T218" s="173"/>
      <c r="W218" s="173"/>
      <c r="X218" s="173"/>
      <c r="Y218" s="173"/>
      <c r="AB218" s="173"/>
      <c r="AC218" s="173"/>
      <c r="AD218" s="173"/>
      <c r="AG218" s="173"/>
      <c r="AH218" s="173"/>
      <c r="AI218" s="173"/>
    </row>
    <row r="219" spans="2:35">
      <c r="B219" s="162"/>
      <c r="C219" s="162"/>
      <c r="D219" s="162"/>
      <c r="E219" s="162"/>
      <c r="F219" s="162"/>
      <c r="G219" s="162"/>
      <c r="H219" s="162"/>
      <c r="I219" s="162"/>
      <c r="J219" s="162"/>
      <c r="K219" s="162"/>
      <c r="L219" s="162"/>
      <c r="R219" s="173"/>
      <c r="S219" s="173"/>
      <c r="T219" s="173"/>
      <c r="W219" s="173"/>
      <c r="X219" s="173"/>
      <c r="Y219" s="173"/>
      <c r="AB219" s="173"/>
      <c r="AC219" s="173"/>
      <c r="AD219" s="173"/>
      <c r="AG219" s="173"/>
      <c r="AH219" s="173"/>
      <c r="AI219" s="173"/>
    </row>
    <row r="220" spans="2:35">
      <c r="B220" s="162"/>
      <c r="C220" s="162"/>
      <c r="D220" s="162"/>
      <c r="E220" s="162"/>
      <c r="F220" s="162"/>
      <c r="G220" s="162"/>
      <c r="H220" s="162"/>
      <c r="I220" s="162"/>
      <c r="J220" s="162"/>
      <c r="K220" s="162"/>
      <c r="L220" s="162"/>
      <c r="R220" s="173"/>
      <c r="S220" s="173"/>
      <c r="T220" s="173"/>
      <c r="W220" s="173"/>
      <c r="X220" s="173"/>
      <c r="Y220" s="173"/>
      <c r="AB220" s="173"/>
      <c r="AC220" s="173"/>
      <c r="AD220" s="173"/>
      <c r="AG220" s="173"/>
      <c r="AH220" s="173"/>
      <c r="AI220" s="173"/>
    </row>
    <row r="221" spans="2:35">
      <c r="B221" s="162"/>
      <c r="C221" s="162"/>
      <c r="D221" s="162"/>
      <c r="E221" s="162"/>
      <c r="F221" s="162"/>
      <c r="G221" s="162"/>
      <c r="H221" s="162"/>
      <c r="I221" s="162"/>
      <c r="J221" s="162"/>
      <c r="K221" s="162"/>
      <c r="L221" s="162"/>
      <c r="R221" s="173"/>
      <c r="S221" s="173"/>
      <c r="T221" s="173"/>
      <c r="W221" s="173"/>
      <c r="X221" s="173"/>
      <c r="Y221" s="173"/>
      <c r="AB221" s="173"/>
      <c r="AC221" s="173"/>
      <c r="AD221" s="173"/>
      <c r="AG221" s="173"/>
      <c r="AH221" s="173"/>
      <c r="AI221" s="173"/>
    </row>
    <row r="222" spans="2:35">
      <c r="B222" s="162"/>
      <c r="C222" s="162"/>
      <c r="D222" s="162"/>
      <c r="E222" s="162"/>
      <c r="F222" s="162"/>
      <c r="G222" s="162"/>
      <c r="H222" s="162"/>
      <c r="I222" s="162"/>
      <c r="J222" s="162"/>
      <c r="K222" s="162"/>
      <c r="L222" s="162"/>
      <c r="R222" s="173"/>
      <c r="S222" s="173"/>
      <c r="T222" s="173"/>
      <c r="W222" s="173"/>
      <c r="X222" s="173"/>
      <c r="Y222" s="173"/>
      <c r="AB222" s="173"/>
      <c r="AC222" s="173"/>
      <c r="AD222" s="173"/>
      <c r="AG222" s="173"/>
      <c r="AH222" s="173"/>
      <c r="AI222" s="173"/>
    </row>
    <row r="223" spans="2:35">
      <c r="B223" s="162"/>
      <c r="C223" s="162"/>
      <c r="D223" s="162"/>
      <c r="E223" s="162"/>
      <c r="F223" s="162"/>
      <c r="G223" s="162"/>
      <c r="H223" s="162"/>
      <c r="I223" s="162"/>
      <c r="J223" s="162"/>
      <c r="K223" s="162"/>
      <c r="L223" s="162"/>
      <c r="R223" s="173"/>
      <c r="S223" s="173"/>
      <c r="T223" s="173"/>
      <c r="W223" s="173"/>
      <c r="X223" s="173"/>
      <c r="Y223" s="173"/>
      <c r="AB223" s="173"/>
      <c r="AC223" s="173"/>
      <c r="AD223" s="173"/>
      <c r="AG223" s="173"/>
      <c r="AH223" s="173"/>
      <c r="AI223" s="173"/>
    </row>
    <row r="224" spans="2:35">
      <c r="B224" s="162"/>
      <c r="C224" s="162"/>
      <c r="D224" s="162"/>
      <c r="E224" s="162"/>
      <c r="F224" s="162"/>
      <c r="G224" s="162"/>
      <c r="H224" s="162"/>
      <c r="I224" s="162"/>
      <c r="J224" s="162"/>
      <c r="K224" s="162"/>
      <c r="L224" s="162"/>
      <c r="R224" s="173"/>
      <c r="S224" s="173"/>
      <c r="T224" s="173"/>
      <c r="W224" s="173"/>
      <c r="X224" s="173"/>
      <c r="Y224" s="173"/>
      <c r="AB224" s="173"/>
      <c r="AC224" s="173"/>
      <c r="AD224" s="173"/>
      <c r="AG224" s="173"/>
      <c r="AH224" s="173"/>
      <c r="AI224" s="173"/>
    </row>
    <row r="225" spans="2:35">
      <c r="B225" s="162"/>
      <c r="C225" s="162"/>
      <c r="D225" s="162"/>
      <c r="E225" s="162"/>
      <c r="F225" s="162"/>
      <c r="G225" s="162"/>
      <c r="H225" s="162"/>
      <c r="I225" s="162"/>
      <c r="J225" s="162"/>
      <c r="K225" s="162"/>
      <c r="L225" s="162"/>
      <c r="R225" s="173"/>
      <c r="S225" s="173"/>
      <c r="T225" s="173"/>
      <c r="W225" s="173"/>
      <c r="X225" s="173"/>
      <c r="Y225" s="173"/>
      <c r="AB225" s="173"/>
      <c r="AC225" s="173"/>
      <c r="AD225" s="173"/>
      <c r="AG225" s="173"/>
      <c r="AH225" s="173"/>
      <c r="AI225" s="173"/>
    </row>
    <row r="226" spans="2:35">
      <c r="B226" s="162"/>
      <c r="C226" s="162"/>
      <c r="D226" s="162"/>
      <c r="E226" s="162"/>
      <c r="F226" s="162"/>
      <c r="G226" s="162"/>
      <c r="H226" s="162"/>
      <c r="I226" s="162"/>
      <c r="J226" s="162"/>
      <c r="K226" s="162"/>
      <c r="L226" s="162"/>
      <c r="R226" s="173"/>
      <c r="S226" s="173"/>
      <c r="T226" s="173"/>
      <c r="W226" s="173"/>
      <c r="X226" s="173"/>
      <c r="Y226" s="173"/>
      <c r="AB226" s="173"/>
      <c r="AC226" s="173"/>
      <c r="AD226" s="173"/>
      <c r="AG226" s="173"/>
      <c r="AH226" s="173"/>
      <c r="AI226" s="173"/>
    </row>
    <row r="227" spans="2:35">
      <c r="B227" s="162"/>
      <c r="C227" s="162"/>
      <c r="D227" s="162"/>
      <c r="E227" s="162"/>
      <c r="F227" s="162"/>
      <c r="G227" s="162"/>
      <c r="H227" s="162"/>
      <c r="I227" s="162"/>
      <c r="J227" s="162"/>
      <c r="K227" s="162"/>
      <c r="L227" s="162"/>
      <c r="R227" s="173"/>
      <c r="S227" s="173"/>
      <c r="T227" s="173"/>
      <c r="W227" s="173"/>
      <c r="X227" s="173"/>
      <c r="Y227" s="173"/>
      <c r="AB227" s="173"/>
      <c r="AC227" s="173"/>
      <c r="AD227" s="173"/>
      <c r="AG227" s="173"/>
      <c r="AH227" s="173"/>
      <c r="AI227" s="173"/>
    </row>
    <row r="228" spans="2:35">
      <c r="B228" s="162"/>
      <c r="C228" s="162"/>
      <c r="D228" s="162"/>
      <c r="E228" s="162"/>
      <c r="F228" s="162"/>
      <c r="G228" s="162"/>
      <c r="H228" s="162"/>
      <c r="I228" s="162"/>
      <c r="J228" s="162"/>
      <c r="K228" s="162"/>
      <c r="L228" s="162"/>
      <c r="R228" s="173"/>
      <c r="S228" s="173"/>
      <c r="T228" s="173"/>
      <c r="W228" s="173"/>
      <c r="X228" s="173"/>
      <c r="Y228" s="173"/>
      <c r="AB228" s="173"/>
      <c r="AC228" s="173"/>
      <c r="AD228" s="173"/>
      <c r="AG228" s="173"/>
      <c r="AH228" s="173"/>
      <c r="AI228" s="173"/>
    </row>
    <row r="229" spans="2:35">
      <c r="B229" s="162"/>
      <c r="C229" s="162"/>
      <c r="D229" s="162"/>
      <c r="E229" s="162"/>
      <c r="F229" s="162"/>
      <c r="G229" s="162"/>
      <c r="H229" s="162"/>
      <c r="I229" s="162"/>
      <c r="J229" s="162"/>
      <c r="K229" s="162"/>
      <c r="L229" s="162"/>
      <c r="R229" s="173"/>
      <c r="S229" s="173"/>
      <c r="T229" s="173"/>
      <c r="W229" s="173"/>
      <c r="X229" s="173"/>
      <c r="Y229" s="173"/>
      <c r="AB229" s="173"/>
      <c r="AC229" s="173"/>
      <c r="AD229" s="173"/>
      <c r="AG229" s="173"/>
      <c r="AH229" s="173"/>
      <c r="AI229" s="173"/>
    </row>
    <row r="230" spans="2:35">
      <c r="B230" s="162"/>
      <c r="C230" s="162"/>
      <c r="D230" s="162"/>
      <c r="E230" s="162"/>
      <c r="F230" s="162"/>
      <c r="G230" s="162"/>
      <c r="H230" s="162"/>
      <c r="I230" s="162"/>
      <c r="J230" s="162"/>
      <c r="K230" s="162"/>
      <c r="L230" s="162"/>
      <c r="R230" s="173"/>
      <c r="S230" s="173"/>
      <c r="T230" s="173"/>
      <c r="W230" s="173"/>
      <c r="X230" s="173"/>
      <c r="Y230" s="173"/>
      <c r="AB230" s="173"/>
      <c r="AC230" s="173"/>
      <c r="AD230" s="173"/>
      <c r="AG230" s="173"/>
      <c r="AH230" s="173"/>
      <c r="AI230" s="173"/>
    </row>
    <row r="231" spans="2:35">
      <c r="B231" s="162"/>
      <c r="C231" s="162"/>
      <c r="D231" s="162"/>
      <c r="E231" s="162"/>
      <c r="F231" s="162"/>
      <c r="G231" s="162"/>
      <c r="H231" s="162"/>
      <c r="I231" s="162"/>
      <c r="J231" s="162"/>
      <c r="K231" s="162"/>
      <c r="L231" s="162"/>
      <c r="R231" s="173"/>
      <c r="S231" s="173"/>
      <c r="T231" s="173"/>
      <c r="W231" s="173"/>
      <c r="X231" s="173"/>
      <c r="Y231" s="173"/>
      <c r="AB231" s="173"/>
      <c r="AC231" s="173"/>
      <c r="AD231" s="173"/>
      <c r="AG231" s="173"/>
      <c r="AH231" s="173"/>
      <c r="AI231" s="173"/>
    </row>
    <row r="232" spans="2:35">
      <c r="B232" s="162"/>
      <c r="C232" s="162"/>
      <c r="D232" s="162"/>
      <c r="E232" s="162"/>
      <c r="F232" s="162"/>
      <c r="G232" s="162"/>
      <c r="H232" s="162"/>
      <c r="I232" s="162"/>
      <c r="J232" s="162"/>
      <c r="K232" s="162"/>
      <c r="L232" s="162"/>
      <c r="R232" s="173"/>
      <c r="S232" s="173"/>
      <c r="T232" s="173"/>
      <c r="W232" s="173"/>
      <c r="X232" s="173"/>
      <c r="Y232" s="173"/>
      <c r="AB232" s="173"/>
      <c r="AC232" s="173"/>
      <c r="AD232" s="173"/>
      <c r="AG232" s="173"/>
      <c r="AH232" s="173"/>
      <c r="AI232" s="173"/>
    </row>
    <row r="233" spans="2:35">
      <c r="B233" s="162"/>
      <c r="C233" s="162"/>
      <c r="D233" s="162"/>
      <c r="E233" s="162"/>
      <c r="F233" s="162"/>
      <c r="G233" s="162"/>
      <c r="H233" s="162"/>
      <c r="I233" s="162"/>
      <c r="J233" s="162"/>
      <c r="K233" s="162"/>
      <c r="L233" s="162"/>
      <c r="R233" s="173"/>
      <c r="S233" s="173"/>
      <c r="T233" s="173"/>
      <c r="W233" s="173"/>
      <c r="X233" s="173"/>
      <c r="Y233" s="173"/>
      <c r="AB233" s="173"/>
      <c r="AC233" s="173"/>
      <c r="AD233" s="173"/>
      <c r="AG233" s="173"/>
      <c r="AH233" s="173"/>
      <c r="AI233" s="173"/>
    </row>
    <row r="234" spans="2:35">
      <c r="B234" s="162"/>
      <c r="C234" s="162"/>
      <c r="D234" s="162"/>
      <c r="E234" s="162"/>
      <c r="F234" s="162"/>
      <c r="G234" s="162"/>
      <c r="H234" s="162"/>
      <c r="I234" s="162"/>
      <c r="J234" s="162"/>
      <c r="K234" s="162"/>
      <c r="L234" s="162"/>
      <c r="R234" s="173"/>
      <c r="S234" s="173"/>
      <c r="T234" s="173"/>
      <c r="W234" s="173"/>
      <c r="X234" s="173"/>
      <c r="Y234" s="173"/>
      <c r="AB234" s="173"/>
      <c r="AC234" s="173"/>
      <c r="AD234" s="173"/>
      <c r="AG234" s="173"/>
      <c r="AH234" s="173"/>
      <c r="AI234" s="173"/>
    </row>
    <row r="235" spans="2:35">
      <c r="B235" s="162"/>
      <c r="C235" s="162"/>
      <c r="D235" s="162"/>
      <c r="E235" s="162"/>
      <c r="F235" s="162"/>
      <c r="G235" s="162"/>
      <c r="H235" s="162"/>
      <c r="I235" s="162"/>
      <c r="J235" s="162"/>
      <c r="K235" s="162"/>
      <c r="L235" s="162"/>
      <c r="R235" s="173"/>
      <c r="S235" s="173"/>
      <c r="T235" s="173"/>
      <c r="W235" s="173"/>
      <c r="X235" s="173"/>
      <c r="Y235" s="173"/>
      <c r="AB235" s="173"/>
      <c r="AC235" s="173"/>
      <c r="AD235" s="173"/>
      <c r="AG235" s="173"/>
      <c r="AH235" s="173"/>
      <c r="AI235" s="173"/>
    </row>
    <row r="236" spans="2:35">
      <c r="B236" s="162"/>
      <c r="C236" s="162"/>
      <c r="D236" s="162"/>
      <c r="E236" s="162"/>
      <c r="F236" s="162"/>
      <c r="G236" s="162"/>
      <c r="H236" s="162"/>
      <c r="I236" s="162"/>
      <c r="J236" s="162"/>
      <c r="K236" s="162"/>
      <c r="L236" s="162"/>
      <c r="R236" s="173"/>
      <c r="S236" s="173"/>
      <c r="T236" s="173"/>
      <c r="W236" s="173"/>
      <c r="X236" s="173"/>
      <c r="Y236" s="173"/>
      <c r="AB236" s="173"/>
      <c r="AC236" s="173"/>
      <c r="AD236" s="173"/>
      <c r="AG236" s="173"/>
      <c r="AH236" s="173"/>
      <c r="AI236" s="173"/>
    </row>
    <row r="237" spans="2:35">
      <c r="B237" s="162"/>
      <c r="C237" s="162"/>
      <c r="D237" s="162"/>
      <c r="E237" s="162"/>
      <c r="F237" s="162"/>
      <c r="G237" s="162"/>
      <c r="H237" s="162"/>
      <c r="I237" s="162"/>
      <c r="J237" s="162"/>
      <c r="K237" s="162"/>
      <c r="L237" s="162"/>
      <c r="R237" s="173"/>
      <c r="S237" s="173"/>
      <c r="T237" s="173"/>
      <c r="W237" s="173"/>
      <c r="X237" s="173"/>
      <c r="Y237" s="173"/>
      <c r="AB237" s="173"/>
      <c r="AC237" s="173"/>
      <c r="AD237" s="173"/>
      <c r="AG237" s="173"/>
      <c r="AH237" s="173"/>
      <c r="AI237" s="173"/>
    </row>
    <row r="238" spans="2:35">
      <c r="B238" s="162"/>
      <c r="C238" s="162"/>
      <c r="D238" s="162"/>
      <c r="E238" s="162"/>
      <c r="F238" s="162"/>
      <c r="G238" s="162"/>
      <c r="H238" s="162"/>
      <c r="I238" s="162"/>
      <c r="J238" s="162"/>
      <c r="K238" s="162"/>
      <c r="L238" s="162"/>
      <c r="R238" s="173"/>
      <c r="S238" s="173"/>
      <c r="T238" s="173"/>
      <c r="W238" s="173"/>
      <c r="X238" s="173"/>
      <c r="Y238" s="173"/>
      <c r="AB238" s="173"/>
      <c r="AC238" s="173"/>
      <c r="AD238" s="173"/>
      <c r="AG238" s="173"/>
      <c r="AH238" s="173"/>
      <c r="AI238" s="173"/>
    </row>
    <row r="239" spans="2:35">
      <c r="B239" s="162"/>
      <c r="C239" s="162"/>
      <c r="D239" s="162"/>
      <c r="E239" s="162"/>
      <c r="F239" s="162"/>
      <c r="G239" s="162"/>
      <c r="H239" s="162"/>
      <c r="I239" s="162"/>
      <c r="J239" s="162"/>
      <c r="K239" s="162"/>
      <c r="L239" s="162"/>
      <c r="R239" s="173"/>
      <c r="S239" s="173"/>
      <c r="T239" s="173"/>
      <c r="W239" s="173"/>
      <c r="X239" s="173"/>
      <c r="Y239" s="173"/>
      <c r="AB239" s="173"/>
      <c r="AC239" s="173"/>
      <c r="AD239" s="173"/>
      <c r="AG239" s="173"/>
      <c r="AH239" s="173"/>
      <c r="AI239" s="173"/>
    </row>
    <row r="240" spans="2:35">
      <c r="B240" s="162"/>
      <c r="C240" s="162"/>
      <c r="D240" s="162"/>
      <c r="E240" s="162"/>
      <c r="F240" s="162"/>
      <c r="G240" s="162"/>
      <c r="H240" s="162"/>
      <c r="I240" s="162"/>
      <c r="J240" s="162"/>
      <c r="K240" s="162"/>
      <c r="L240" s="162"/>
      <c r="R240" s="173"/>
      <c r="S240" s="173"/>
      <c r="T240" s="173"/>
      <c r="W240" s="173"/>
      <c r="X240" s="173"/>
      <c r="Y240" s="173"/>
      <c r="AB240" s="173"/>
      <c r="AC240" s="173"/>
      <c r="AD240" s="173"/>
      <c r="AG240" s="173"/>
      <c r="AH240" s="173"/>
      <c r="AI240" s="173"/>
    </row>
    <row r="241" spans="2:35">
      <c r="B241" s="162"/>
      <c r="C241" s="162"/>
      <c r="D241" s="162"/>
      <c r="E241" s="162"/>
      <c r="F241" s="162"/>
      <c r="G241" s="162"/>
      <c r="H241" s="162"/>
      <c r="I241" s="162"/>
      <c r="J241" s="162"/>
      <c r="K241" s="162"/>
      <c r="L241" s="162"/>
      <c r="R241" s="173"/>
      <c r="S241" s="173"/>
      <c r="T241" s="173"/>
      <c r="W241" s="173"/>
      <c r="X241" s="173"/>
      <c r="Y241" s="173"/>
      <c r="AB241" s="173"/>
      <c r="AC241" s="173"/>
      <c r="AD241" s="173"/>
      <c r="AG241" s="173"/>
      <c r="AH241" s="173"/>
      <c r="AI241" s="173"/>
    </row>
    <row r="242" spans="2:35">
      <c r="B242" s="162"/>
      <c r="C242" s="162"/>
      <c r="D242" s="162"/>
      <c r="E242" s="162"/>
      <c r="F242" s="162"/>
      <c r="G242" s="162"/>
      <c r="H242" s="162"/>
      <c r="I242" s="162"/>
      <c r="J242" s="162"/>
      <c r="K242" s="162"/>
      <c r="L242" s="162"/>
      <c r="R242" s="173"/>
      <c r="S242" s="173"/>
      <c r="T242" s="173"/>
      <c r="W242" s="173"/>
      <c r="X242" s="173"/>
      <c r="Y242" s="173"/>
      <c r="AB242" s="173"/>
      <c r="AC242" s="173"/>
      <c r="AD242" s="173"/>
      <c r="AG242" s="173"/>
      <c r="AH242" s="173"/>
      <c r="AI242" s="173"/>
    </row>
    <row r="243" spans="2:35">
      <c r="B243" s="162"/>
      <c r="C243" s="162"/>
      <c r="D243" s="162"/>
      <c r="E243" s="162"/>
      <c r="F243" s="162"/>
      <c r="G243" s="162"/>
      <c r="H243" s="162"/>
      <c r="I243" s="162"/>
      <c r="J243" s="162"/>
      <c r="K243" s="162"/>
      <c r="L243" s="162"/>
      <c r="R243" s="173"/>
      <c r="S243" s="173"/>
      <c r="T243" s="173"/>
      <c r="W243" s="173"/>
      <c r="X243" s="173"/>
      <c r="Y243" s="173"/>
      <c r="AB243" s="173"/>
      <c r="AC243" s="173"/>
      <c r="AD243" s="173"/>
      <c r="AG243" s="173"/>
      <c r="AH243" s="173"/>
      <c r="AI243" s="173"/>
    </row>
    <row r="244" spans="2:35">
      <c r="B244" s="162"/>
      <c r="C244" s="162"/>
      <c r="D244" s="162"/>
      <c r="E244" s="162"/>
      <c r="F244" s="162"/>
      <c r="G244" s="162"/>
      <c r="H244" s="162"/>
      <c r="I244" s="162"/>
      <c r="J244" s="162"/>
      <c r="K244" s="162"/>
      <c r="L244" s="162"/>
      <c r="R244" s="173"/>
      <c r="S244" s="173"/>
      <c r="T244" s="173"/>
      <c r="W244" s="173"/>
      <c r="X244" s="173"/>
      <c r="Y244" s="173"/>
      <c r="AB244" s="173"/>
      <c r="AC244" s="173"/>
      <c r="AD244" s="173"/>
      <c r="AG244" s="173"/>
      <c r="AH244" s="173"/>
      <c r="AI244" s="173"/>
    </row>
    <row r="245" spans="2:35">
      <c r="B245" s="162"/>
      <c r="C245" s="162"/>
      <c r="D245" s="162"/>
      <c r="E245" s="162"/>
      <c r="F245" s="162"/>
      <c r="G245" s="162"/>
      <c r="H245" s="162"/>
      <c r="I245" s="162"/>
      <c r="J245" s="162"/>
      <c r="K245" s="162"/>
      <c r="L245" s="162"/>
      <c r="R245" s="173"/>
      <c r="S245" s="173"/>
      <c r="T245" s="173"/>
      <c r="W245" s="173"/>
      <c r="X245" s="173"/>
      <c r="Y245" s="173"/>
      <c r="AB245" s="173"/>
      <c r="AC245" s="173"/>
      <c r="AD245" s="173"/>
      <c r="AG245" s="173"/>
      <c r="AH245" s="173"/>
      <c r="AI245" s="173"/>
    </row>
    <row r="246" spans="2:35">
      <c r="B246" s="162"/>
      <c r="C246" s="162"/>
      <c r="D246" s="162"/>
      <c r="E246" s="162"/>
      <c r="F246" s="162"/>
      <c r="G246" s="162"/>
      <c r="H246" s="162"/>
      <c r="I246" s="162"/>
      <c r="J246" s="162"/>
      <c r="K246" s="162"/>
      <c r="L246" s="162"/>
      <c r="R246" s="173"/>
      <c r="S246" s="173"/>
      <c r="T246" s="173"/>
      <c r="W246" s="173"/>
      <c r="X246" s="173"/>
      <c r="Y246" s="173"/>
      <c r="AB246" s="173"/>
      <c r="AC246" s="173"/>
      <c r="AD246" s="173"/>
      <c r="AG246" s="173"/>
      <c r="AH246" s="173"/>
      <c r="AI246" s="173"/>
    </row>
    <row r="247" spans="2:35">
      <c r="B247" s="162"/>
      <c r="C247" s="162"/>
      <c r="D247" s="162"/>
      <c r="E247" s="162"/>
      <c r="F247" s="162"/>
      <c r="G247" s="162"/>
      <c r="H247" s="162"/>
      <c r="I247" s="162"/>
      <c r="J247" s="162"/>
      <c r="K247" s="162"/>
      <c r="L247" s="162"/>
      <c r="R247" s="173"/>
      <c r="S247" s="173"/>
      <c r="T247" s="173"/>
      <c r="W247" s="173"/>
      <c r="X247" s="173"/>
      <c r="Y247" s="173"/>
      <c r="AB247" s="173"/>
      <c r="AC247" s="173"/>
      <c r="AD247" s="173"/>
      <c r="AG247" s="173"/>
      <c r="AH247" s="173"/>
      <c r="AI247" s="173"/>
    </row>
    <row r="248" spans="2:35">
      <c r="B248" s="162"/>
      <c r="C248" s="162"/>
      <c r="D248" s="162"/>
      <c r="E248" s="162"/>
      <c r="F248" s="162"/>
      <c r="G248" s="162"/>
      <c r="H248" s="162"/>
      <c r="I248" s="162"/>
      <c r="J248" s="162"/>
      <c r="K248" s="162"/>
      <c r="L248" s="162"/>
      <c r="R248" s="173"/>
      <c r="S248" s="173"/>
      <c r="T248" s="173"/>
      <c r="W248" s="173"/>
      <c r="X248" s="173"/>
      <c r="Y248" s="173"/>
      <c r="AB248" s="173"/>
      <c r="AC248" s="173"/>
      <c r="AD248" s="173"/>
      <c r="AG248" s="173"/>
      <c r="AH248" s="173"/>
      <c r="AI248" s="173"/>
    </row>
    <row r="249" spans="2:35">
      <c r="B249" s="162"/>
      <c r="C249" s="162"/>
      <c r="D249" s="162"/>
      <c r="E249" s="162"/>
      <c r="F249" s="162"/>
      <c r="G249" s="162"/>
      <c r="H249" s="162"/>
      <c r="I249" s="162"/>
      <c r="J249" s="162"/>
      <c r="K249" s="162"/>
      <c r="L249" s="162"/>
      <c r="R249" s="173"/>
      <c r="S249" s="173"/>
      <c r="T249" s="173"/>
      <c r="W249" s="173"/>
      <c r="X249" s="173"/>
      <c r="Y249" s="173"/>
      <c r="AB249" s="173"/>
      <c r="AC249" s="173"/>
      <c r="AD249" s="173"/>
      <c r="AG249" s="173"/>
      <c r="AH249" s="173"/>
      <c r="AI249" s="173"/>
    </row>
    <row r="250" spans="2:35">
      <c r="B250" s="162"/>
      <c r="C250" s="162"/>
      <c r="D250" s="162"/>
      <c r="E250" s="162"/>
      <c r="F250" s="162"/>
      <c r="G250" s="162"/>
      <c r="H250" s="162"/>
      <c r="I250" s="162"/>
      <c r="J250" s="162"/>
      <c r="K250" s="162"/>
      <c r="L250" s="162"/>
      <c r="R250" s="173"/>
      <c r="S250" s="173"/>
      <c r="T250" s="173"/>
      <c r="W250" s="173"/>
      <c r="X250" s="173"/>
      <c r="Y250" s="173"/>
      <c r="AB250" s="173"/>
      <c r="AC250" s="173"/>
      <c r="AD250" s="173"/>
      <c r="AG250" s="173"/>
      <c r="AH250" s="173"/>
      <c r="AI250" s="173"/>
    </row>
    <row r="251" spans="2:35">
      <c r="B251" s="162"/>
      <c r="C251" s="162"/>
      <c r="D251" s="162"/>
      <c r="E251" s="162"/>
      <c r="F251" s="162"/>
      <c r="G251" s="162"/>
      <c r="H251" s="162"/>
      <c r="I251" s="162"/>
      <c r="J251" s="162"/>
      <c r="K251" s="162"/>
      <c r="L251" s="162"/>
      <c r="R251" s="173"/>
      <c r="S251" s="173"/>
      <c r="T251" s="173"/>
      <c r="W251" s="173"/>
      <c r="X251" s="173"/>
      <c r="Y251" s="173"/>
      <c r="AB251" s="173"/>
      <c r="AC251" s="173"/>
      <c r="AD251" s="173"/>
      <c r="AG251" s="173"/>
      <c r="AH251" s="173"/>
      <c r="AI251" s="173"/>
    </row>
    <row r="252" spans="2:35">
      <c r="B252" s="162"/>
      <c r="C252" s="162"/>
      <c r="D252" s="162"/>
      <c r="E252" s="162"/>
      <c r="F252" s="162"/>
      <c r="G252" s="162"/>
      <c r="H252" s="162"/>
      <c r="I252" s="162"/>
      <c r="J252" s="162"/>
      <c r="K252" s="162"/>
      <c r="L252" s="162"/>
      <c r="R252" s="173"/>
      <c r="S252" s="173"/>
      <c r="T252" s="173"/>
      <c r="W252" s="173"/>
      <c r="X252" s="173"/>
      <c r="Y252" s="173"/>
      <c r="AB252" s="173"/>
      <c r="AC252" s="173"/>
      <c r="AD252" s="173"/>
      <c r="AG252" s="173"/>
      <c r="AH252" s="173"/>
      <c r="AI252" s="173"/>
    </row>
    <row r="253" spans="2:35">
      <c r="B253" s="162"/>
      <c r="C253" s="162"/>
      <c r="D253" s="162"/>
      <c r="E253" s="162"/>
      <c r="F253" s="162"/>
      <c r="G253" s="162"/>
      <c r="H253" s="162"/>
      <c r="I253" s="162"/>
      <c r="J253" s="162"/>
      <c r="K253" s="162"/>
      <c r="L253" s="162"/>
      <c r="R253" s="173"/>
      <c r="S253" s="173"/>
      <c r="T253" s="173"/>
      <c r="W253" s="173"/>
      <c r="X253" s="173"/>
      <c r="Y253" s="173"/>
      <c r="AB253" s="173"/>
      <c r="AC253" s="173"/>
      <c r="AD253" s="173"/>
      <c r="AG253" s="173"/>
      <c r="AH253" s="173"/>
      <c r="AI253" s="173"/>
    </row>
    <row r="254" spans="2:35">
      <c r="B254" s="162"/>
      <c r="C254" s="162"/>
      <c r="D254" s="162"/>
      <c r="E254" s="162"/>
      <c r="F254" s="162"/>
      <c r="G254" s="162"/>
      <c r="H254" s="162"/>
      <c r="I254" s="162"/>
      <c r="J254" s="162"/>
      <c r="K254" s="162"/>
      <c r="L254" s="162"/>
      <c r="R254" s="173"/>
      <c r="S254" s="173"/>
      <c r="T254" s="173"/>
      <c r="W254" s="173"/>
      <c r="X254" s="173"/>
      <c r="Y254" s="173"/>
      <c r="AB254" s="173"/>
      <c r="AC254" s="173"/>
      <c r="AD254" s="173"/>
      <c r="AG254" s="173"/>
      <c r="AH254" s="173"/>
      <c r="AI254" s="173"/>
    </row>
    <row r="255" spans="2:35">
      <c r="B255" s="162"/>
      <c r="C255" s="162"/>
      <c r="D255" s="162"/>
      <c r="E255" s="162"/>
      <c r="F255" s="162"/>
      <c r="G255" s="162"/>
      <c r="H255" s="162"/>
      <c r="I255" s="162"/>
      <c r="J255" s="162"/>
      <c r="K255" s="162"/>
      <c r="L255" s="162"/>
      <c r="R255" s="173"/>
      <c r="S255" s="173"/>
      <c r="T255" s="173"/>
      <c r="W255" s="173"/>
      <c r="X255" s="173"/>
      <c r="Y255" s="173"/>
      <c r="AB255" s="173"/>
      <c r="AC255" s="173"/>
      <c r="AD255" s="173"/>
      <c r="AG255" s="173"/>
      <c r="AH255" s="173"/>
      <c r="AI255" s="173"/>
    </row>
    <row r="256" spans="2:35">
      <c r="B256" s="162"/>
      <c r="C256" s="162"/>
      <c r="D256" s="162"/>
      <c r="E256" s="162"/>
      <c r="F256" s="162"/>
      <c r="G256" s="162"/>
      <c r="H256" s="162"/>
      <c r="I256" s="162"/>
      <c r="J256" s="162"/>
      <c r="K256" s="162"/>
      <c r="L256" s="162"/>
      <c r="R256" s="173"/>
      <c r="S256" s="173"/>
      <c r="T256" s="173"/>
      <c r="W256" s="173"/>
      <c r="X256" s="173"/>
      <c r="Y256" s="173"/>
      <c r="AB256" s="173"/>
      <c r="AC256" s="173"/>
      <c r="AD256" s="173"/>
      <c r="AG256" s="173"/>
      <c r="AH256" s="173"/>
      <c r="AI256" s="173"/>
    </row>
    <row r="257" spans="2:35">
      <c r="B257" s="162"/>
      <c r="C257" s="162"/>
      <c r="D257" s="162"/>
      <c r="E257" s="162"/>
      <c r="F257" s="162"/>
      <c r="G257" s="162"/>
      <c r="H257" s="162"/>
      <c r="I257" s="162"/>
      <c r="J257" s="162"/>
      <c r="K257" s="162"/>
      <c r="L257" s="162"/>
      <c r="R257" s="173"/>
      <c r="S257" s="173"/>
      <c r="T257" s="173"/>
      <c r="W257" s="173"/>
      <c r="X257" s="173"/>
      <c r="Y257" s="173"/>
      <c r="AB257" s="173"/>
      <c r="AC257" s="173"/>
      <c r="AD257" s="173"/>
      <c r="AG257" s="173"/>
      <c r="AH257" s="173"/>
      <c r="AI257" s="173"/>
    </row>
    <row r="258" spans="2:35">
      <c r="B258" s="162"/>
      <c r="C258" s="162"/>
      <c r="D258" s="162"/>
      <c r="E258" s="162"/>
      <c r="F258" s="162"/>
      <c r="G258" s="162"/>
      <c r="H258" s="162"/>
      <c r="I258" s="162"/>
      <c r="J258" s="162"/>
      <c r="K258" s="162"/>
      <c r="L258" s="162"/>
      <c r="R258" s="173"/>
      <c r="S258" s="173"/>
      <c r="T258" s="173"/>
      <c r="W258" s="173"/>
      <c r="X258" s="173"/>
      <c r="Y258" s="173"/>
      <c r="AB258" s="173"/>
      <c r="AC258" s="173"/>
      <c r="AD258" s="173"/>
      <c r="AG258" s="173"/>
      <c r="AH258" s="173"/>
      <c r="AI258" s="173"/>
    </row>
    <row r="259" spans="2:35">
      <c r="B259" s="162"/>
      <c r="C259" s="162"/>
      <c r="D259" s="162"/>
      <c r="E259" s="162"/>
      <c r="F259" s="162"/>
      <c r="G259" s="162"/>
      <c r="H259" s="162"/>
      <c r="I259" s="162"/>
      <c r="J259" s="162"/>
      <c r="K259" s="162"/>
      <c r="L259" s="162"/>
      <c r="R259" s="173"/>
      <c r="S259" s="173"/>
      <c r="T259" s="173"/>
      <c r="W259" s="173"/>
      <c r="X259" s="173"/>
      <c r="Y259" s="173"/>
      <c r="AB259" s="173"/>
      <c r="AC259" s="173"/>
      <c r="AD259" s="173"/>
      <c r="AG259" s="173"/>
      <c r="AH259" s="173"/>
      <c r="AI259" s="173"/>
    </row>
    <row r="260" spans="2:35">
      <c r="B260" s="162"/>
      <c r="C260" s="162"/>
      <c r="D260" s="162"/>
      <c r="E260" s="162"/>
      <c r="F260" s="162"/>
      <c r="G260" s="162"/>
      <c r="H260" s="162"/>
      <c r="I260" s="162"/>
      <c r="J260" s="162"/>
      <c r="K260" s="162"/>
      <c r="L260" s="162"/>
      <c r="R260" s="173"/>
      <c r="S260" s="173"/>
      <c r="T260" s="173"/>
      <c r="W260" s="173"/>
      <c r="X260" s="173"/>
      <c r="Y260" s="173"/>
      <c r="AB260" s="173"/>
      <c r="AC260" s="173"/>
      <c r="AD260" s="173"/>
      <c r="AG260" s="173"/>
      <c r="AH260" s="173"/>
      <c r="AI260" s="173"/>
    </row>
    <row r="261" spans="2:35">
      <c r="B261" s="162"/>
      <c r="C261" s="162"/>
      <c r="D261" s="162"/>
      <c r="E261" s="162"/>
      <c r="F261" s="162"/>
      <c r="G261" s="162"/>
      <c r="H261" s="162"/>
      <c r="I261" s="162"/>
      <c r="J261" s="162"/>
      <c r="K261" s="162"/>
      <c r="L261" s="162"/>
      <c r="R261" s="173"/>
      <c r="S261" s="173"/>
      <c r="T261" s="173"/>
      <c r="W261" s="173"/>
      <c r="X261" s="173"/>
      <c r="Y261" s="173"/>
      <c r="AB261" s="173"/>
      <c r="AC261" s="173"/>
      <c r="AD261" s="173"/>
      <c r="AG261" s="173"/>
      <c r="AH261" s="173"/>
      <c r="AI261" s="173"/>
    </row>
    <row r="262" spans="2:35">
      <c r="B262" s="162"/>
      <c r="C262" s="162"/>
      <c r="D262" s="162"/>
      <c r="E262" s="162"/>
      <c r="F262" s="162"/>
      <c r="G262" s="162"/>
      <c r="H262" s="162"/>
      <c r="I262" s="162"/>
      <c r="J262" s="162"/>
      <c r="K262" s="162"/>
      <c r="L262" s="162"/>
      <c r="R262" s="173"/>
      <c r="S262" s="173"/>
      <c r="T262" s="173"/>
      <c r="W262" s="173"/>
      <c r="X262" s="173"/>
      <c r="Y262" s="173"/>
      <c r="AB262" s="173"/>
      <c r="AC262" s="173"/>
      <c r="AD262" s="173"/>
      <c r="AG262" s="173"/>
      <c r="AH262" s="173"/>
      <c r="AI262" s="173"/>
    </row>
    <row r="263" spans="2:35">
      <c r="B263" s="162"/>
      <c r="C263" s="162"/>
      <c r="D263" s="162"/>
      <c r="E263" s="162"/>
      <c r="F263" s="162"/>
      <c r="G263" s="162"/>
      <c r="H263" s="162"/>
      <c r="I263" s="162"/>
      <c r="J263" s="162"/>
      <c r="K263" s="162"/>
      <c r="L263" s="162"/>
      <c r="R263" s="173"/>
      <c r="S263" s="173"/>
      <c r="T263" s="173"/>
      <c r="W263" s="173"/>
      <c r="X263" s="173"/>
      <c r="Y263" s="173"/>
      <c r="AB263" s="173"/>
      <c r="AC263" s="173"/>
      <c r="AD263" s="173"/>
      <c r="AG263" s="173"/>
      <c r="AH263" s="173"/>
      <c r="AI263" s="173"/>
    </row>
    <row r="264" spans="2:35">
      <c r="B264" s="162"/>
      <c r="C264" s="162"/>
      <c r="D264" s="162"/>
      <c r="E264" s="162"/>
      <c r="F264" s="162"/>
      <c r="G264" s="162"/>
      <c r="H264" s="162"/>
      <c r="I264" s="162"/>
      <c r="J264" s="162"/>
      <c r="K264" s="162"/>
      <c r="L264" s="162"/>
      <c r="R264" s="173"/>
      <c r="S264" s="173"/>
      <c r="T264" s="173"/>
      <c r="W264" s="173"/>
      <c r="X264" s="173"/>
      <c r="Y264" s="173"/>
      <c r="AB264" s="173"/>
      <c r="AC264" s="173"/>
      <c r="AD264" s="173"/>
      <c r="AG264" s="173"/>
      <c r="AH264" s="173"/>
      <c r="AI264" s="173"/>
    </row>
    <row r="265" spans="2:35">
      <c r="B265" s="162"/>
      <c r="C265" s="162"/>
      <c r="D265" s="162"/>
      <c r="E265" s="162"/>
      <c r="F265" s="162"/>
      <c r="G265" s="162"/>
      <c r="H265" s="162"/>
      <c r="I265" s="162"/>
      <c r="J265" s="162"/>
      <c r="K265" s="162"/>
      <c r="L265" s="162"/>
      <c r="R265" s="173"/>
      <c r="S265" s="173"/>
      <c r="T265" s="173"/>
      <c r="W265" s="173"/>
      <c r="X265" s="173"/>
      <c r="Y265" s="173"/>
      <c r="AB265" s="173"/>
      <c r="AC265" s="173"/>
      <c r="AD265" s="173"/>
      <c r="AG265" s="173"/>
      <c r="AH265" s="173"/>
      <c r="AI265" s="173"/>
    </row>
    <row r="266" spans="2:35">
      <c r="B266" s="162"/>
      <c r="C266" s="162"/>
      <c r="D266" s="162"/>
      <c r="E266" s="162"/>
      <c r="F266" s="162"/>
      <c r="G266" s="162"/>
      <c r="H266" s="162"/>
      <c r="I266" s="162"/>
      <c r="J266" s="162"/>
      <c r="K266" s="162"/>
      <c r="L266" s="162"/>
      <c r="R266" s="173"/>
      <c r="S266" s="173"/>
      <c r="T266" s="173"/>
      <c r="W266" s="173"/>
      <c r="X266" s="173"/>
      <c r="Y266" s="173"/>
      <c r="AB266" s="173"/>
      <c r="AC266" s="173"/>
      <c r="AD266" s="173"/>
      <c r="AG266" s="173"/>
      <c r="AH266" s="173"/>
      <c r="AI266" s="173"/>
    </row>
    <row r="267" spans="2:35">
      <c r="B267" s="162"/>
      <c r="C267" s="162"/>
      <c r="D267" s="162"/>
      <c r="E267" s="162"/>
      <c r="F267" s="162"/>
      <c r="G267" s="162"/>
      <c r="H267" s="162"/>
      <c r="I267" s="162"/>
      <c r="J267" s="162"/>
      <c r="K267" s="162"/>
      <c r="L267" s="162"/>
      <c r="R267" s="173"/>
      <c r="S267" s="173"/>
      <c r="T267" s="173"/>
      <c r="W267" s="173"/>
      <c r="X267" s="173"/>
      <c r="Y267" s="173"/>
      <c r="AB267" s="173"/>
      <c r="AC267" s="173"/>
      <c r="AD267" s="173"/>
      <c r="AG267" s="173"/>
      <c r="AH267" s="173"/>
      <c r="AI267" s="173"/>
    </row>
    <row r="268" spans="2:35">
      <c r="B268" s="162"/>
      <c r="C268" s="162"/>
      <c r="D268" s="162"/>
      <c r="E268" s="162"/>
      <c r="F268" s="162"/>
      <c r="G268" s="162"/>
      <c r="H268" s="162"/>
      <c r="I268" s="162"/>
      <c r="J268" s="162"/>
      <c r="K268" s="162"/>
      <c r="L268" s="162"/>
      <c r="R268" s="173"/>
      <c r="S268" s="173"/>
      <c r="T268" s="173"/>
      <c r="W268" s="173"/>
      <c r="X268" s="173"/>
      <c r="Y268" s="173"/>
      <c r="AB268" s="173"/>
      <c r="AC268" s="173"/>
      <c r="AD268" s="173"/>
      <c r="AG268" s="173"/>
      <c r="AH268" s="173"/>
      <c r="AI268" s="173"/>
    </row>
    <row r="269" spans="2:35">
      <c r="B269" s="162"/>
      <c r="C269" s="162"/>
      <c r="D269" s="162"/>
      <c r="E269" s="162"/>
      <c r="F269" s="162"/>
      <c r="G269" s="162"/>
      <c r="H269" s="162"/>
      <c r="I269" s="162"/>
      <c r="J269" s="162"/>
      <c r="K269" s="162"/>
      <c r="L269" s="162"/>
      <c r="R269" s="173"/>
      <c r="S269" s="173"/>
      <c r="T269" s="173"/>
      <c r="W269" s="173"/>
      <c r="X269" s="173"/>
      <c r="Y269" s="173"/>
      <c r="AB269" s="173"/>
      <c r="AC269" s="173"/>
      <c r="AD269" s="173"/>
      <c r="AG269" s="173"/>
      <c r="AH269" s="173"/>
      <c r="AI269" s="173"/>
    </row>
    <row r="270" spans="2:35">
      <c r="B270" s="162"/>
      <c r="C270" s="162"/>
      <c r="D270" s="162"/>
      <c r="E270" s="162"/>
      <c r="F270" s="162"/>
      <c r="G270" s="162"/>
      <c r="H270" s="162"/>
      <c r="I270" s="162"/>
      <c r="J270" s="162"/>
      <c r="K270" s="162"/>
      <c r="L270" s="162"/>
      <c r="R270" s="173"/>
      <c r="S270" s="173"/>
      <c r="T270" s="173"/>
      <c r="W270" s="173"/>
      <c r="X270" s="173"/>
      <c r="Y270" s="173"/>
      <c r="AB270" s="173"/>
      <c r="AC270" s="173"/>
      <c r="AD270" s="173"/>
      <c r="AG270" s="173"/>
      <c r="AH270" s="173"/>
      <c r="AI270" s="173"/>
    </row>
    <row r="271" spans="2:35">
      <c r="B271" s="162"/>
      <c r="C271" s="162"/>
      <c r="D271" s="162"/>
      <c r="E271" s="162"/>
      <c r="F271" s="162"/>
      <c r="G271" s="162"/>
      <c r="H271" s="162"/>
      <c r="I271" s="162"/>
      <c r="J271" s="162"/>
      <c r="K271" s="162"/>
      <c r="L271" s="162"/>
      <c r="R271" s="173"/>
      <c r="S271" s="173"/>
      <c r="T271" s="173"/>
      <c r="W271" s="173"/>
      <c r="X271" s="173"/>
      <c r="Y271" s="173"/>
      <c r="AB271" s="173"/>
      <c r="AC271" s="173"/>
      <c r="AD271" s="173"/>
      <c r="AG271" s="173"/>
      <c r="AH271" s="173"/>
      <c r="AI271" s="173"/>
    </row>
    <row r="272" spans="2:35">
      <c r="B272" s="162"/>
      <c r="C272" s="162"/>
      <c r="D272" s="162"/>
      <c r="E272" s="162"/>
      <c r="F272" s="162"/>
      <c r="G272" s="162"/>
      <c r="H272" s="162"/>
      <c r="I272" s="162"/>
      <c r="J272" s="162"/>
      <c r="K272" s="162"/>
      <c r="L272" s="162"/>
      <c r="R272" s="173"/>
      <c r="S272" s="173"/>
      <c r="T272" s="173"/>
      <c r="W272" s="173"/>
      <c r="X272" s="173"/>
      <c r="Y272" s="173"/>
      <c r="AB272" s="173"/>
      <c r="AC272" s="173"/>
      <c r="AD272" s="173"/>
      <c r="AG272" s="173"/>
      <c r="AH272" s="173"/>
      <c r="AI272" s="173"/>
    </row>
    <row r="273" spans="2:35">
      <c r="B273" s="162"/>
      <c r="C273" s="162"/>
      <c r="D273" s="162"/>
      <c r="E273" s="162"/>
      <c r="F273" s="162"/>
      <c r="G273" s="162"/>
      <c r="H273" s="162"/>
      <c r="I273" s="162"/>
      <c r="J273" s="162"/>
      <c r="K273" s="162"/>
      <c r="L273" s="162"/>
      <c r="R273" s="173"/>
      <c r="S273" s="173"/>
      <c r="T273" s="173"/>
      <c r="W273" s="173"/>
      <c r="X273" s="173"/>
      <c r="Y273" s="173"/>
      <c r="AB273" s="173"/>
      <c r="AC273" s="173"/>
      <c r="AD273" s="173"/>
      <c r="AG273" s="173"/>
      <c r="AH273" s="173"/>
      <c r="AI273" s="173"/>
    </row>
    <row r="274" spans="2:35">
      <c r="B274" s="162"/>
      <c r="C274" s="162"/>
      <c r="D274" s="162"/>
      <c r="E274" s="162"/>
      <c r="F274" s="162"/>
      <c r="G274" s="162"/>
      <c r="H274" s="162"/>
      <c r="I274" s="162"/>
      <c r="J274" s="162"/>
      <c r="K274" s="162"/>
      <c r="L274" s="162"/>
      <c r="R274" s="173"/>
      <c r="S274" s="173"/>
      <c r="T274" s="173"/>
      <c r="W274" s="173"/>
      <c r="X274" s="173"/>
      <c r="Y274" s="173"/>
      <c r="AB274" s="173"/>
      <c r="AC274" s="173"/>
      <c r="AD274" s="173"/>
      <c r="AG274" s="173"/>
      <c r="AH274" s="173"/>
      <c r="AI274" s="173"/>
    </row>
    <row r="275" spans="2:35">
      <c r="B275" s="162"/>
      <c r="C275" s="162"/>
      <c r="D275" s="162"/>
      <c r="E275" s="162"/>
      <c r="F275" s="162"/>
      <c r="G275" s="162"/>
      <c r="H275" s="162"/>
      <c r="I275" s="162"/>
      <c r="J275" s="162"/>
      <c r="K275" s="162"/>
      <c r="L275" s="162"/>
      <c r="R275" s="173"/>
      <c r="S275" s="173"/>
      <c r="T275" s="173"/>
      <c r="W275" s="173"/>
      <c r="X275" s="173"/>
      <c r="Y275" s="173"/>
      <c r="AB275" s="173"/>
      <c r="AC275" s="173"/>
      <c r="AD275" s="173"/>
      <c r="AG275" s="173"/>
      <c r="AH275" s="173"/>
      <c r="AI275" s="173"/>
    </row>
    <row r="276" spans="2:35">
      <c r="B276" s="162"/>
      <c r="C276" s="162"/>
      <c r="D276" s="162"/>
      <c r="E276" s="162"/>
      <c r="F276" s="162"/>
      <c r="G276" s="162"/>
      <c r="H276" s="162"/>
      <c r="I276" s="162"/>
      <c r="J276" s="162"/>
      <c r="K276" s="162"/>
      <c r="L276" s="162"/>
      <c r="R276" s="173"/>
      <c r="S276" s="173"/>
      <c r="T276" s="173"/>
      <c r="W276" s="173"/>
      <c r="X276" s="173"/>
      <c r="Y276" s="173"/>
      <c r="AB276" s="173"/>
      <c r="AC276" s="173"/>
      <c r="AD276" s="173"/>
      <c r="AG276" s="173"/>
      <c r="AH276" s="173"/>
      <c r="AI276" s="173"/>
    </row>
    <row r="277" spans="2:35">
      <c r="B277" s="162"/>
      <c r="C277" s="162"/>
      <c r="D277" s="162"/>
      <c r="E277" s="162"/>
      <c r="F277" s="162"/>
      <c r="G277" s="162"/>
      <c r="H277" s="162"/>
      <c r="I277" s="162"/>
      <c r="J277" s="162"/>
      <c r="K277" s="162"/>
      <c r="L277" s="162"/>
      <c r="R277" s="173"/>
      <c r="S277" s="173"/>
      <c r="T277" s="173"/>
      <c r="W277" s="173"/>
      <c r="X277" s="173"/>
      <c r="Y277" s="173"/>
      <c r="AB277" s="173"/>
      <c r="AC277" s="173"/>
      <c r="AD277" s="173"/>
      <c r="AG277" s="173"/>
      <c r="AH277" s="173"/>
      <c r="AI277" s="173"/>
    </row>
    <row r="278" spans="2:35">
      <c r="B278" s="162"/>
      <c r="C278" s="162"/>
      <c r="D278" s="162"/>
      <c r="E278" s="162"/>
      <c r="F278" s="162"/>
      <c r="G278" s="162"/>
      <c r="H278" s="162"/>
      <c r="I278" s="162"/>
      <c r="J278" s="162"/>
      <c r="K278" s="162"/>
      <c r="L278" s="162"/>
      <c r="R278" s="173"/>
      <c r="S278" s="173"/>
      <c r="T278" s="173"/>
      <c r="W278" s="173"/>
      <c r="X278" s="173"/>
      <c r="Y278" s="173"/>
      <c r="AB278" s="173"/>
      <c r="AC278" s="173"/>
      <c r="AD278" s="173"/>
      <c r="AG278" s="173"/>
      <c r="AH278" s="173"/>
      <c r="AI278" s="173"/>
    </row>
    <row r="279" spans="2:35">
      <c r="B279" s="162"/>
      <c r="C279" s="162"/>
      <c r="D279" s="162"/>
      <c r="E279" s="162"/>
      <c r="F279" s="162"/>
      <c r="G279" s="162"/>
      <c r="H279" s="162"/>
      <c r="I279" s="162"/>
      <c r="J279" s="162"/>
      <c r="K279" s="162"/>
      <c r="L279" s="162"/>
      <c r="R279" s="173"/>
      <c r="S279" s="173"/>
      <c r="T279" s="173"/>
      <c r="W279" s="173"/>
      <c r="X279" s="173"/>
      <c r="Y279" s="173"/>
      <c r="AB279" s="173"/>
      <c r="AC279" s="173"/>
      <c r="AD279" s="173"/>
      <c r="AG279" s="173"/>
      <c r="AH279" s="173"/>
      <c r="AI279" s="173"/>
    </row>
    <row r="280" spans="2:35">
      <c r="B280" s="162"/>
      <c r="C280" s="162"/>
      <c r="D280" s="162"/>
      <c r="E280" s="162"/>
      <c r="F280" s="162"/>
      <c r="G280" s="162"/>
      <c r="H280" s="162"/>
      <c r="I280" s="162"/>
      <c r="J280" s="162"/>
      <c r="K280" s="162"/>
      <c r="L280" s="162"/>
      <c r="R280" s="173"/>
      <c r="S280" s="173"/>
      <c r="T280" s="173"/>
      <c r="W280" s="173"/>
      <c r="X280" s="173"/>
      <c r="Y280" s="173"/>
      <c r="AB280" s="173"/>
      <c r="AC280" s="173"/>
      <c r="AD280" s="173"/>
      <c r="AG280" s="173"/>
      <c r="AH280" s="173"/>
      <c r="AI280" s="173"/>
    </row>
    <row r="281" spans="2:35">
      <c r="B281" s="162"/>
      <c r="C281" s="162"/>
      <c r="D281" s="162"/>
      <c r="E281" s="162"/>
      <c r="F281" s="162"/>
      <c r="G281" s="162"/>
      <c r="H281" s="162"/>
      <c r="I281" s="162"/>
      <c r="J281" s="162"/>
      <c r="K281" s="162"/>
      <c r="L281" s="162"/>
      <c r="R281" s="173"/>
      <c r="S281" s="173"/>
      <c r="T281" s="173"/>
      <c r="W281" s="173"/>
      <c r="X281" s="173"/>
      <c r="Y281" s="173"/>
      <c r="AB281" s="173"/>
      <c r="AC281" s="173"/>
      <c r="AD281" s="173"/>
      <c r="AG281" s="173"/>
      <c r="AH281" s="173"/>
      <c r="AI281" s="173"/>
    </row>
    <row r="282" spans="2:35">
      <c r="B282" s="162"/>
      <c r="C282" s="162"/>
      <c r="D282" s="162"/>
      <c r="E282" s="162"/>
      <c r="F282" s="162"/>
      <c r="G282" s="162"/>
      <c r="H282" s="162"/>
      <c r="I282" s="162"/>
      <c r="J282" s="162"/>
      <c r="K282" s="162"/>
      <c r="L282" s="162"/>
      <c r="R282" s="173"/>
      <c r="S282" s="173"/>
      <c r="T282" s="173"/>
      <c r="W282" s="173"/>
      <c r="X282" s="173"/>
      <c r="Y282" s="173"/>
      <c r="AB282" s="173"/>
      <c r="AC282" s="173"/>
      <c r="AD282" s="173"/>
      <c r="AG282" s="173"/>
      <c r="AH282" s="173"/>
      <c r="AI282" s="173"/>
    </row>
    <row r="283" spans="2:35">
      <c r="B283" s="162"/>
      <c r="C283" s="162"/>
      <c r="D283" s="162"/>
      <c r="E283" s="162"/>
      <c r="F283" s="162"/>
      <c r="G283" s="162"/>
      <c r="H283" s="162"/>
      <c r="I283" s="162"/>
      <c r="J283" s="162"/>
      <c r="K283" s="162"/>
      <c r="L283" s="162"/>
      <c r="R283" s="173"/>
      <c r="S283" s="173"/>
      <c r="T283" s="173"/>
      <c r="W283" s="173"/>
      <c r="X283" s="173"/>
      <c r="Y283" s="173"/>
      <c r="AB283" s="173"/>
      <c r="AC283" s="173"/>
      <c r="AD283" s="173"/>
      <c r="AG283" s="173"/>
      <c r="AH283" s="173"/>
      <c r="AI283" s="173"/>
    </row>
    <row r="284" spans="2:35">
      <c r="B284" s="162"/>
      <c r="C284" s="162"/>
      <c r="D284" s="162"/>
      <c r="E284" s="162"/>
      <c r="F284" s="162"/>
      <c r="G284" s="162"/>
      <c r="H284" s="162"/>
      <c r="I284" s="162"/>
      <c r="J284" s="162"/>
      <c r="K284" s="162"/>
      <c r="L284" s="162"/>
      <c r="R284" s="173"/>
      <c r="S284" s="173"/>
      <c r="T284" s="173"/>
      <c r="W284" s="173"/>
      <c r="X284" s="173"/>
      <c r="Y284" s="173"/>
      <c r="AB284" s="173"/>
      <c r="AC284" s="173"/>
      <c r="AD284" s="173"/>
      <c r="AG284" s="173"/>
      <c r="AH284" s="173"/>
      <c r="AI284" s="173"/>
    </row>
    <row r="285" spans="2:35">
      <c r="B285" s="162"/>
      <c r="C285" s="162"/>
      <c r="D285" s="162"/>
      <c r="E285" s="162"/>
      <c r="F285" s="162"/>
      <c r="G285" s="162"/>
      <c r="H285" s="162"/>
      <c r="I285" s="162"/>
      <c r="J285" s="162"/>
      <c r="K285" s="162"/>
      <c r="L285" s="162"/>
      <c r="R285" s="173"/>
      <c r="S285" s="173"/>
      <c r="T285" s="173"/>
      <c r="W285" s="173"/>
      <c r="X285" s="173"/>
      <c r="Y285" s="173"/>
      <c r="AB285" s="173"/>
      <c r="AC285" s="173"/>
      <c r="AD285" s="173"/>
      <c r="AG285" s="173"/>
      <c r="AH285" s="173"/>
      <c r="AI285" s="173"/>
    </row>
    <row r="286" spans="2:35">
      <c r="B286" s="162"/>
      <c r="C286" s="162"/>
      <c r="D286" s="162"/>
      <c r="E286" s="162"/>
      <c r="F286" s="162"/>
      <c r="G286" s="162"/>
      <c r="H286" s="162"/>
      <c r="I286" s="162"/>
      <c r="J286" s="162"/>
      <c r="K286" s="162"/>
      <c r="L286" s="162"/>
      <c r="R286" s="173"/>
      <c r="S286" s="173"/>
      <c r="T286" s="173"/>
      <c r="W286" s="173"/>
      <c r="X286" s="173"/>
      <c r="Y286" s="173"/>
      <c r="AB286" s="173"/>
      <c r="AC286" s="173"/>
      <c r="AD286" s="173"/>
      <c r="AG286" s="173"/>
      <c r="AH286" s="173"/>
      <c r="AI286" s="173"/>
    </row>
    <row r="287" spans="2:35">
      <c r="B287" s="162"/>
      <c r="C287" s="162"/>
      <c r="D287" s="162"/>
      <c r="E287" s="162"/>
      <c r="F287" s="162"/>
      <c r="G287" s="162"/>
      <c r="H287" s="162"/>
      <c r="I287" s="162"/>
      <c r="J287" s="162"/>
      <c r="K287" s="162"/>
      <c r="L287" s="162"/>
      <c r="R287" s="173"/>
      <c r="S287" s="173"/>
      <c r="T287" s="173"/>
      <c r="W287" s="173"/>
      <c r="X287" s="173"/>
      <c r="Y287" s="173"/>
      <c r="AB287" s="173"/>
      <c r="AC287" s="173"/>
      <c r="AD287" s="173"/>
      <c r="AG287" s="173"/>
      <c r="AH287" s="173"/>
      <c r="AI287" s="173"/>
    </row>
    <row r="288" spans="2:35">
      <c r="B288" s="162"/>
      <c r="C288" s="162"/>
      <c r="D288" s="162"/>
      <c r="E288" s="162"/>
      <c r="F288" s="162"/>
      <c r="G288" s="162"/>
      <c r="H288" s="162"/>
      <c r="I288" s="162"/>
      <c r="J288" s="162"/>
      <c r="K288" s="162"/>
      <c r="L288" s="162"/>
      <c r="R288" s="173"/>
      <c r="S288" s="173"/>
      <c r="T288" s="173"/>
      <c r="W288" s="173"/>
      <c r="X288" s="173"/>
      <c r="Y288" s="173"/>
      <c r="AB288" s="173"/>
      <c r="AC288" s="173"/>
      <c r="AD288" s="173"/>
      <c r="AG288" s="173"/>
      <c r="AH288" s="173"/>
      <c r="AI288" s="173"/>
    </row>
    <row r="289" spans="2:35">
      <c r="B289" s="162"/>
      <c r="C289" s="162"/>
      <c r="D289" s="162"/>
      <c r="E289" s="162"/>
      <c r="F289" s="162"/>
      <c r="G289" s="162"/>
      <c r="H289" s="162"/>
      <c r="I289" s="162"/>
      <c r="J289" s="162"/>
      <c r="K289" s="162"/>
      <c r="L289" s="162"/>
      <c r="R289" s="173"/>
      <c r="S289" s="173"/>
      <c r="T289" s="173"/>
      <c r="W289" s="173"/>
      <c r="X289" s="173"/>
      <c r="Y289" s="173"/>
      <c r="AB289" s="173"/>
      <c r="AC289" s="173"/>
      <c r="AD289" s="173"/>
      <c r="AG289" s="173"/>
      <c r="AH289" s="173"/>
      <c r="AI289" s="173"/>
    </row>
    <row r="290" spans="2:35">
      <c r="B290" s="162"/>
      <c r="C290" s="162"/>
      <c r="D290" s="162"/>
      <c r="E290" s="162"/>
      <c r="F290" s="162"/>
      <c r="G290" s="162"/>
      <c r="H290" s="162"/>
      <c r="I290" s="162"/>
      <c r="J290" s="162"/>
      <c r="K290" s="162"/>
      <c r="L290" s="162"/>
      <c r="R290" s="173"/>
      <c r="S290" s="173"/>
      <c r="T290" s="173"/>
      <c r="W290" s="173"/>
      <c r="X290" s="173"/>
      <c r="Y290" s="173"/>
      <c r="AB290" s="173"/>
      <c r="AC290" s="173"/>
      <c r="AD290" s="173"/>
      <c r="AG290" s="173"/>
      <c r="AH290" s="173"/>
      <c r="AI290" s="173"/>
    </row>
    <row r="291" spans="2:35">
      <c r="B291" s="162"/>
      <c r="C291" s="162"/>
      <c r="D291" s="162"/>
      <c r="E291" s="162"/>
      <c r="F291" s="162"/>
      <c r="G291" s="162"/>
      <c r="H291" s="162"/>
      <c r="I291" s="162"/>
      <c r="J291" s="162"/>
      <c r="K291" s="162"/>
      <c r="L291" s="162"/>
      <c r="R291" s="173"/>
      <c r="S291" s="173"/>
      <c r="T291" s="173"/>
      <c r="W291" s="173"/>
      <c r="X291" s="173"/>
      <c r="Y291" s="173"/>
      <c r="AB291" s="173"/>
      <c r="AC291" s="173"/>
      <c r="AD291" s="173"/>
      <c r="AG291" s="173"/>
      <c r="AH291" s="173"/>
      <c r="AI291" s="173"/>
    </row>
    <row r="292" spans="2:35">
      <c r="B292" s="162"/>
      <c r="C292" s="162"/>
      <c r="D292" s="162"/>
      <c r="E292" s="162"/>
      <c r="F292" s="162"/>
      <c r="G292" s="162"/>
      <c r="H292" s="162"/>
      <c r="I292" s="162"/>
      <c r="J292" s="162"/>
      <c r="K292" s="162"/>
      <c r="L292" s="162"/>
      <c r="R292" s="173"/>
      <c r="S292" s="173"/>
      <c r="T292" s="173"/>
      <c r="W292" s="173"/>
      <c r="X292" s="173"/>
      <c r="Y292" s="173"/>
      <c r="AB292" s="173"/>
      <c r="AC292" s="173"/>
      <c r="AD292" s="173"/>
      <c r="AG292" s="173"/>
      <c r="AH292" s="173"/>
      <c r="AI292" s="173"/>
    </row>
    <row r="293" spans="2:35">
      <c r="B293" s="162"/>
      <c r="C293" s="162"/>
      <c r="D293" s="162"/>
      <c r="E293" s="162"/>
      <c r="F293" s="162"/>
      <c r="G293" s="162"/>
      <c r="H293" s="162"/>
      <c r="I293" s="162"/>
      <c r="J293" s="162"/>
      <c r="K293" s="162"/>
      <c r="L293" s="162"/>
      <c r="R293" s="173"/>
      <c r="S293" s="173"/>
      <c r="T293" s="173"/>
      <c r="W293" s="173"/>
      <c r="X293" s="173"/>
      <c r="Y293" s="173"/>
      <c r="AB293" s="173"/>
      <c r="AC293" s="173"/>
      <c r="AD293" s="173"/>
      <c r="AG293" s="173"/>
      <c r="AH293" s="173"/>
      <c r="AI293" s="173"/>
    </row>
    <row r="294" spans="2:35">
      <c r="B294" s="162"/>
      <c r="C294" s="162"/>
      <c r="D294" s="162"/>
      <c r="E294" s="162"/>
      <c r="F294" s="162"/>
      <c r="G294" s="162"/>
      <c r="H294" s="162"/>
      <c r="I294" s="162"/>
      <c r="J294" s="162"/>
      <c r="K294" s="162"/>
      <c r="L294" s="162"/>
      <c r="R294" s="173"/>
      <c r="S294" s="173"/>
      <c r="T294" s="173"/>
      <c r="W294" s="173"/>
      <c r="X294" s="173"/>
      <c r="Y294" s="173"/>
      <c r="AB294" s="173"/>
      <c r="AC294" s="173"/>
      <c r="AD294" s="173"/>
      <c r="AG294" s="173"/>
      <c r="AH294" s="173"/>
      <c r="AI294" s="173"/>
    </row>
    <row r="295" spans="2:35">
      <c r="B295" s="162"/>
      <c r="C295" s="162"/>
      <c r="D295" s="162"/>
      <c r="E295" s="162"/>
      <c r="F295" s="162"/>
      <c r="G295" s="162"/>
      <c r="H295" s="162"/>
      <c r="I295" s="162"/>
      <c r="J295" s="162"/>
      <c r="K295" s="162"/>
      <c r="L295" s="162"/>
      <c r="R295" s="173"/>
      <c r="S295" s="173"/>
      <c r="T295" s="173"/>
      <c r="W295" s="173"/>
      <c r="X295" s="173"/>
      <c r="Y295" s="173"/>
      <c r="AB295" s="173"/>
      <c r="AC295" s="173"/>
      <c r="AD295" s="173"/>
      <c r="AG295" s="173"/>
      <c r="AH295" s="173"/>
      <c r="AI295" s="173"/>
    </row>
    <row r="296" spans="2:35">
      <c r="B296" s="162"/>
      <c r="C296" s="162"/>
      <c r="D296" s="162"/>
      <c r="E296" s="162"/>
      <c r="F296" s="162"/>
      <c r="G296" s="162"/>
      <c r="H296" s="162"/>
      <c r="I296" s="162"/>
      <c r="J296" s="162"/>
      <c r="K296" s="162"/>
      <c r="L296" s="162"/>
      <c r="R296" s="173"/>
      <c r="S296" s="173"/>
      <c r="T296" s="173"/>
      <c r="W296" s="173"/>
      <c r="X296" s="173"/>
      <c r="Y296" s="173"/>
      <c r="AB296" s="173"/>
      <c r="AC296" s="173"/>
      <c r="AD296" s="173"/>
      <c r="AG296" s="173"/>
      <c r="AH296" s="173"/>
      <c r="AI296" s="173"/>
    </row>
    <row r="297" spans="2:35">
      <c r="B297" s="162"/>
      <c r="C297" s="162"/>
      <c r="D297" s="162"/>
      <c r="E297" s="162"/>
      <c r="F297" s="162"/>
      <c r="G297" s="162"/>
      <c r="H297" s="162"/>
      <c r="I297" s="162"/>
      <c r="J297" s="162"/>
      <c r="K297" s="162"/>
      <c r="L297" s="162"/>
      <c r="R297" s="173"/>
      <c r="S297" s="173"/>
      <c r="T297" s="173"/>
      <c r="W297" s="173"/>
      <c r="X297" s="173"/>
      <c r="Y297" s="173"/>
      <c r="AB297" s="173"/>
      <c r="AC297" s="173"/>
      <c r="AD297" s="173"/>
      <c r="AG297" s="173"/>
      <c r="AH297" s="173"/>
      <c r="AI297" s="173"/>
    </row>
    <row r="298" spans="2:35">
      <c r="B298" s="162"/>
      <c r="C298" s="162"/>
      <c r="D298" s="162"/>
      <c r="E298" s="162"/>
      <c r="F298" s="162"/>
      <c r="G298" s="162"/>
      <c r="H298" s="162"/>
      <c r="I298" s="162"/>
      <c r="J298" s="162"/>
      <c r="K298" s="162"/>
      <c r="L298" s="162"/>
      <c r="R298" s="173"/>
      <c r="S298" s="173"/>
      <c r="T298" s="173"/>
      <c r="W298" s="173"/>
      <c r="X298" s="173"/>
      <c r="Y298" s="173"/>
      <c r="AB298" s="173"/>
      <c r="AC298" s="173"/>
      <c r="AD298" s="173"/>
      <c r="AG298" s="173"/>
      <c r="AH298" s="173"/>
      <c r="AI298" s="173"/>
    </row>
    <row r="299" spans="2:35">
      <c r="B299" s="162"/>
      <c r="C299" s="162"/>
      <c r="D299" s="162"/>
      <c r="E299" s="162"/>
      <c r="F299" s="162"/>
      <c r="G299" s="162"/>
      <c r="H299" s="162"/>
      <c r="I299" s="162"/>
      <c r="J299" s="162"/>
      <c r="K299" s="162"/>
      <c r="L299" s="162"/>
      <c r="R299" s="173"/>
      <c r="S299" s="173"/>
      <c r="T299" s="173"/>
      <c r="W299" s="173"/>
      <c r="X299" s="173"/>
      <c r="Y299" s="173"/>
      <c r="AB299" s="173"/>
      <c r="AC299" s="173"/>
      <c r="AD299" s="173"/>
      <c r="AG299" s="173"/>
      <c r="AH299" s="173"/>
      <c r="AI299" s="173"/>
    </row>
    <row r="300" spans="2:35">
      <c r="B300" s="162"/>
      <c r="C300" s="162"/>
      <c r="D300" s="162"/>
      <c r="E300" s="162"/>
      <c r="F300" s="162"/>
      <c r="G300" s="162"/>
      <c r="H300" s="162"/>
      <c r="I300" s="162"/>
      <c r="J300" s="162"/>
      <c r="K300" s="162"/>
      <c r="L300" s="162"/>
      <c r="R300" s="173"/>
      <c r="S300" s="173"/>
      <c r="T300" s="173"/>
      <c r="W300" s="173"/>
      <c r="X300" s="173"/>
      <c r="Y300" s="173"/>
      <c r="AB300" s="173"/>
      <c r="AC300" s="173"/>
      <c r="AD300" s="173"/>
      <c r="AG300" s="173"/>
      <c r="AH300" s="173"/>
      <c r="AI300" s="173"/>
    </row>
    <row r="301" spans="2:35">
      <c r="B301" s="162"/>
      <c r="C301" s="162"/>
      <c r="D301" s="162"/>
      <c r="E301" s="162"/>
      <c r="F301" s="162"/>
      <c r="G301" s="162"/>
      <c r="H301" s="162"/>
      <c r="I301" s="162"/>
      <c r="J301" s="162"/>
      <c r="K301" s="162"/>
      <c r="L301" s="162"/>
      <c r="R301" s="173"/>
      <c r="S301" s="173"/>
      <c r="T301" s="173"/>
      <c r="W301" s="173"/>
      <c r="X301" s="173"/>
      <c r="Y301" s="173"/>
      <c r="AB301" s="173"/>
      <c r="AC301" s="173"/>
      <c r="AD301" s="173"/>
      <c r="AG301" s="173"/>
      <c r="AH301" s="173"/>
      <c r="AI301" s="173"/>
    </row>
    <row r="302" spans="2:35">
      <c r="B302" s="162"/>
      <c r="C302" s="162"/>
      <c r="D302" s="162"/>
      <c r="E302" s="162"/>
      <c r="F302" s="162"/>
      <c r="G302" s="162"/>
      <c r="H302" s="162"/>
      <c r="I302" s="162"/>
      <c r="J302" s="162"/>
      <c r="K302" s="162"/>
      <c r="L302" s="162"/>
      <c r="R302" s="173"/>
      <c r="S302" s="173"/>
      <c r="T302" s="173"/>
      <c r="W302" s="173"/>
      <c r="X302" s="173"/>
      <c r="Y302" s="173"/>
      <c r="AB302" s="173"/>
      <c r="AC302" s="173"/>
      <c r="AD302" s="173"/>
      <c r="AG302" s="173"/>
      <c r="AH302" s="173"/>
      <c r="AI302" s="173"/>
    </row>
    <row r="303" spans="2:35">
      <c r="B303" s="162"/>
      <c r="C303" s="162"/>
      <c r="D303" s="162"/>
      <c r="E303" s="162"/>
      <c r="F303" s="162"/>
      <c r="G303" s="162"/>
      <c r="H303" s="162"/>
      <c r="I303" s="162"/>
      <c r="J303" s="162"/>
      <c r="K303" s="162"/>
      <c r="L303" s="162"/>
      <c r="R303" s="173"/>
      <c r="S303" s="173"/>
      <c r="T303" s="173"/>
      <c r="W303" s="173"/>
      <c r="X303" s="173"/>
      <c r="Y303" s="173"/>
      <c r="AB303" s="173"/>
      <c r="AC303" s="173"/>
      <c r="AD303" s="173"/>
      <c r="AG303" s="173"/>
      <c r="AH303" s="173"/>
      <c r="AI303" s="173"/>
    </row>
    <row r="304" spans="2:35">
      <c r="B304" s="162"/>
      <c r="C304" s="162"/>
      <c r="D304" s="162"/>
      <c r="E304" s="162"/>
      <c r="F304" s="162"/>
      <c r="G304" s="162"/>
      <c r="H304" s="162"/>
      <c r="I304" s="162"/>
      <c r="J304" s="162"/>
      <c r="K304" s="162"/>
      <c r="L304" s="162"/>
      <c r="R304" s="173"/>
      <c r="S304" s="173"/>
      <c r="T304" s="173"/>
      <c r="W304" s="173"/>
      <c r="X304" s="173"/>
      <c r="Y304" s="173"/>
      <c r="AB304" s="173"/>
      <c r="AC304" s="173"/>
      <c r="AD304" s="173"/>
      <c r="AG304" s="173"/>
      <c r="AH304" s="173"/>
      <c r="AI304" s="173"/>
    </row>
    <row r="305" spans="2:35">
      <c r="B305" s="162"/>
      <c r="C305" s="162"/>
      <c r="D305" s="162"/>
      <c r="E305" s="162"/>
      <c r="F305" s="162"/>
      <c r="G305" s="162"/>
      <c r="H305" s="162"/>
      <c r="I305" s="162"/>
      <c r="J305" s="162"/>
      <c r="K305" s="162"/>
      <c r="L305" s="162"/>
      <c r="R305" s="173"/>
      <c r="S305" s="173"/>
      <c r="T305" s="173"/>
      <c r="W305" s="173"/>
      <c r="X305" s="173"/>
      <c r="Y305" s="173"/>
      <c r="AB305" s="173"/>
      <c r="AC305" s="173"/>
      <c r="AD305" s="173"/>
      <c r="AG305" s="173"/>
      <c r="AH305" s="173"/>
      <c r="AI305" s="173"/>
    </row>
    <row r="306" spans="2:35">
      <c r="B306" s="162"/>
      <c r="C306" s="162"/>
      <c r="D306" s="162"/>
      <c r="E306" s="162"/>
      <c r="F306" s="162"/>
      <c r="G306" s="162"/>
      <c r="H306" s="162"/>
      <c r="I306" s="162"/>
      <c r="J306" s="162"/>
      <c r="K306" s="162"/>
      <c r="L306" s="162"/>
      <c r="R306" s="173"/>
      <c r="S306" s="173"/>
      <c r="T306" s="173"/>
      <c r="W306" s="173"/>
      <c r="X306" s="173"/>
      <c r="Y306" s="173"/>
      <c r="AB306" s="173"/>
      <c r="AC306" s="173"/>
      <c r="AD306" s="173"/>
      <c r="AG306" s="173"/>
      <c r="AH306" s="173"/>
      <c r="AI306" s="173"/>
    </row>
    <row r="307" spans="2:35">
      <c r="B307" s="162"/>
      <c r="C307" s="162"/>
      <c r="D307" s="162"/>
      <c r="E307" s="162"/>
      <c r="F307" s="162"/>
      <c r="G307" s="162"/>
      <c r="H307" s="162"/>
      <c r="I307" s="162"/>
      <c r="J307" s="162"/>
      <c r="K307" s="162"/>
      <c r="L307" s="162"/>
      <c r="R307" s="173"/>
      <c r="S307" s="173"/>
      <c r="T307" s="173"/>
      <c r="W307" s="173"/>
      <c r="X307" s="173"/>
      <c r="Y307" s="173"/>
      <c r="AB307" s="173"/>
      <c r="AC307" s="173"/>
      <c r="AD307" s="173"/>
      <c r="AG307" s="173"/>
      <c r="AH307" s="173"/>
      <c r="AI307" s="173"/>
    </row>
    <row r="308" spans="2:35">
      <c r="B308" s="162"/>
      <c r="C308" s="162"/>
      <c r="D308" s="162"/>
      <c r="E308" s="162"/>
      <c r="F308" s="162"/>
      <c r="G308" s="162"/>
      <c r="H308" s="162"/>
      <c r="I308" s="162"/>
      <c r="J308" s="162"/>
      <c r="K308" s="162"/>
      <c r="L308" s="162"/>
      <c r="R308" s="173"/>
      <c r="S308" s="173"/>
      <c r="T308" s="173"/>
      <c r="W308" s="173"/>
      <c r="X308" s="173"/>
      <c r="Y308" s="173"/>
      <c r="AB308" s="173"/>
      <c r="AC308" s="173"/>
      <c r="AD308" s="173"/>
      <c r="AG308" s="173"/>
      <c r="AH308" s="173"/>
      <c r="AI308" s="173"/>
    </row>
    <row r="309" spans="2:35">
      <c r="B309" s="162"/>
      <c r="C309" s="162"/>
      <c r="D309" s="162"/>
      <c r="E309" s="162"/>
      <c r="F309" s="162"/>
      <c r="G309" s="162"/>
      <c r="H309" s="162"/>
      <c r="I309" s="162"/>
      <c r="J309" s="162"/>
      <c r="K309" s="162"/>
      <c r="L309" s="162"/>
      <c r="R309" s="173"/>
      <c r="S309" s="173"/>
      <c r="T309" s="173"/>
      <c r="W309" s="173"/>
      <c r="X309" s="173"/>
      <c r="Y309" s="173"/>
      <c r="AB309" s="173"/>
      <c r="AC309" s="173"/>
      <c r="AD309" s="173"/>
      <c r="AG309" s="173"/>
      <c r="AH309" s="173"/>
      <c r="AI309" s="173"/>
    </row>
    <row r="310" spans="2:35">
      <c r="B310" s="162"/>
      <c r="C310" s="162"/>
      <c r="D310" s="162"/>
      <c r="E310" s="162"/>
      <c r="F310" s="162"/>
      <c r="G310" s="162"/>
      <c r="H310" s="162"/>
      <c r="I310" s="162"/>
      <c r="J310" s="162"/>
      <c r="K310" s="162"/>
      <c r="L310" s="162"/>
      <c r="R310" s="173"/>
      <c r="S310" s="173"/>
      <c r="T310" s="173"/>
      <c r="W310" s="173"/>
      <c r="X310" s="173"/>
      <c r="Y310" s="173"/>
      <c r="AB310" s="173"/>
      <c r="AC310" s="173"/>
      <c r="AD310" s="173"/>
      <c r="AG310" s="173"/>
      <c r="AH310" s="173"/>
      <c r="AI310" s="173"/>
    </row>
    <row r="311" spans="2:35">
      <c r="B311" s="162"/>
      <c r="C311" s="162"/>
      <c r="D311" s="162"/>
      <c r="E311" s="162"/>
      <c r="F311" s="162"/>
      <c r="G311" s="162"/>
      <c r="H311" s="162"/>
      <c r="I311" s="162"/>
      <c r="J311" s="162"/>
      <c r="K311" s="162"/>
      <c r="L311" s="162"/>
      <c r="R311" s="173"/>
      <c r="S311" s="173"/>
      <c r="T311" s="173"/>
      <c r="W311" s="173"/>
      <c r="X311" s="173"/>
      <c r="Y311" s="173"/>
      <c r="AB311" s="173"/>
      <c r="AC311" s="173"/>
      <c r="AD311" s="173"/>
      <c r="AG311" s="173"/>
      <c r="AH311" s="173"/>
      <c r="AI311" s="173"/>
    </row>
    <row r="312" spans="2:35">
      <c r="B312" s="162"/>
      <c r="C312" s="162"/>
      <c r="D312" s="162"/>
      <c r="E312" s="162"/>
      <c r="F312" s="162"/>
      <c r="G312" s="162"/>
      <c r="H312" s="162"/>
      <c r="I312" s="162"/>
      <c r="J312" s="162"/>
      <c r="K312" s="162"/>
      <c r="L312" s="162"/>
      <c r="R312" s="173"/>
      <c r="S312" s="173"/>
      <c r="T312" s="173"/>
      <c r="W312" s="173"/>
      <c r="X312" s="173"/>
      <c r="Y312" s="173"/>
      <c r="AB312" s="173"/>
      <c r="AC312" s="173"/>
      <c r="AD312" s="173"/>
      <c r="AG312" s="173"/>
      <c r="AH312" s="173"/>
      <c r="AI312" s="173"/>
    </row>
    <row r="313" spans="2:35">
      <c r="B313" s="162"/>
      <c r="C313" s="162"/>
      <c r="D313" s="162"/>
      <c r="E313" s="162"/>
      <c r="F313" s="162"/>
      <c r="G313" s="162"/>
      <c r="H313" s="162"/>
      <c r="I313" s="162"/>
      <c r="J313" s="162"/>
      <c r="K313" s="162"/>
      <c r="L313" s="162"/>
      <c r="R313" s="173"/>
      <c r="S313" s="173"/>
      <c r="T313" s="173"/>
      <c r="W313" s="173"/>
      <c r="X313" s="173"/>
      <c r="Y313" s="173"/>
      <c r="AB313" s="173"/>
      <c r="AC313" s="173"/>
      <c r="AD313" s="173"/>
      <c r="AG313" s="173"/>
      <c r="AH313" s="173"/>
      <c r="AI313" s="173"/>
    </row>
    <row r="314" spans="2:35">
      <c r="B314" s="162"/>
      <c r="C314" s="162"/>
      <c r="D314" s="162"/>
      <c r="E314" s="162"/>
      <c r="F314" s="162"/>
      <c r="G314" s="162"/>
      <c r="H314" s="162"/>
      <c r="I314" s="162"/>
      <c r="J314" s="162"/>
      <c r="K314" s="162"/>
      <c r="L314" s="162"/>
      <c r="R314" s="173"/>
      <c r="S314" s="173"/>
      <c r="T314" s="173"/>
      <c r="W314" s="173"/>
      <c r="X314" s="173"/>
      <c r="Y314" s="173"/>
      <c r="AB314" s="173"/>
      <c r="AC314" s="173"/>
      <c r="AD314" s="173"/>
      <c r="AG314" s="173"/>
      <c r="AH314" s="173"/>
      <c r="AI314" s="173"/>
    </row>
    <row r="315" spans="2:35">
      <c r="B315" s="162"/>
      <c r="C315" s="162"/>
      <c r="D315" s="162"/>
      <c r="E315" s="162"/>
      <c r="F315" s="162"/>
      <c r="G315" s="162"/>
      <c r="H315" s="162"/>
      <c r="I315" s="162"/>
      <c r="J315" s="162"/>
      <c r="K315" s="162"/>
      <c r="L315" s="162"/>
      <c r="R315" s="173"/>
      <c r="S315" s="173"/>
      <c r="T315" s="173"/>
      <c r="W315" s="173"/>
      <c r="X315" s="173"/>
      <c r="Y315" s="173"/>
      <c r="AB315" s="173"/>
      <c r="AC315" s="173"/>
      <c r="AD315" s="173"/>
      <c r="AG315" s="173"/>
      <c r="AH315" s="173"/>
      <c r="AI315" s="173"/>
    </row>
    <row r="316" spans="2:35">
      <c r="B316" s="162"/>
      <c r="C316" s="162"/>
      <c r="D316" s="162"/>
      <c r="E316" s="162"/>
      <c r="F316" s="162"/>
      <c r="G316" s="162"/>
      <c r="H316" s="162"/>
      <c r="I316" s="162"/>
      <c r="J316" s="162"/>
      <c r="K316" s="162"/>
      <c r="L316" s="162"/>
      <c r="R316" s="173"/>
      <c r="S316" s="173"/>
      <c r="T316" s="173"/>
      <c r="W316" s="173"/>
      <c r="X316" s="173"/>
      <c r="Y316" s="173"/>
      <c r="AB316" s="173"/>
      <c r="AC316" s="173"/>
      <c r="AD316" s="173"/>
      <c r="AG316" s="173"/>
      <c r="AH316" s="173"/>
      <c r="AI316" s="173"/>
    </row>
    <row r="317" spans="2:35">
      <c r="B317" s="162"/>
      <c r="C317" s="162"/>
      <c r="D317" s="162"/>
      <c r="E317" s="162"/>
      <c r="F317" s="162"/>
      <c r="G317" s="162"/>
      <c r="H317" s="162"/>
      <c r="I317" s="162"/>
      <c r="J317" s="162"/>
      <c r="K317" s="162"/>
      <c r="L317" s="162"/>
      <c r="R317" s="173"/>
      <c r="S317" s="173"/>
      <c r="T317" s="173"/>
      <c r="W317" s="173"/>
      <c r="X317" s="173"/>
      <c r="Y317" s="173"/>
      <c r="AB317" s="173"/>
      <c r="AC317" s="173"/>
      <c r="AD317" s="173"/>
      <c r="AG317" s="173"/>
      <c r="AH317" s="173"/>
      <c r="AI317" s="173"/>
    </row>
    <row r="318" spans="2:35">
      <c r="B318" s="162"/>
      <c r="C318" s="162"/>
      <c r="D318" s="162"/>
      <c r="E318" s="162"/>
      <c r="F318" s="162"/>
      <c r="G318" s="162"/>
      <c r="H318" s="162"/>
      <c r="I318" s="162"/>
      <c r="J318" s="162"/>
      <c r="K318" s="162"/>
      <c r="L318" s="162"/>
      <c r="R318" s="173"/>
      <c r="S318" s="173"/>
      <c r="T318" s="173"/>
      <c r="W318" s="173"/>
      <c r="X318" s="173"/>
      <c r="Y318" s="173"/>
      <c r="AB318" s="173"/>
      <c r="AC318" s="173"/>
      <c r="AD318" s="173"/>
      <c r="AG318" s="173"/>
      <c r="AH318" s="173"/>
      <c r="AI318" s="173"/>
    </row>
    <row r="319" spans="2:35">
      <c r="B319" s="162"/>
      <c r="C319" s="162"/>
      <c r="D319" s="162"/>
      <c r="E319" s="162"/>
      <c r="F319" s="162"/>
      <c r="G319" s="162"/>
      <c r="H319" s="162"/>
      <c r="I319" s="162"/>
      <c r="J319" s="162"/>
      <c r="K319" s="162"/>
      <c r="L319" s="162"/>
      <c r="R319" s="173"/>
      <c r="S319" s="173"/>
      <c r="T319" s="173"/>
      <c r="W319" s="173"/>
      <c r="X319" s="173"/>
      <c r="Y319" s="173"/>
      <c r="AB319" s="173"/>
      <c r="AC319" s="173"/>
      <c r="AD319" s="173"/>
      <c r="AG319" s="173"/>
      <c r="AH319" s="173"/>
      <c r="AI319" s="173"/>
    </row>
    <row r="320" spans="2:35">
      <c r="B320" s="162"/>
      <c r="C320" s="162"/>
      <c r="D320" s="162"/>
      <c r="E320" s="162"/>
      <c r="F320" s="162"/>
      <c r="G320" s="162"/>
      <c r="H320" s="162"/>
      <c r="I320" s="162"/>
      <c r="J320" s="162"/>
      <c r="K320" s="162"/>
      <c r="L320" s="162"/>
      <c r="R320" s="173"/>
      <c r="S320" s="173"/>
      <c r="T320" s="173"/>
      <c r="W320" s="173"/>
      <c r="X320" s="173"/>
      <c r="Y320" s="173"/>
      <c r="AB320" s="173"/>
      <c r="AC320" s="173"/>
      <c r="AD320" s="173"/>
      <c r="AG320" s="173"/>
      <c r="AH320" s="173"/>
      <c r="AI320" s="173"/>
    </row>
    <row r="321" spans="2:35">
      <c r="B321" s="162"/>
      <c r="C321" s="162"/>
      <c r="D321" s="162"/>
      <c r="E321" s="162"/>
      <c r="F321" s="162"/>
      <c r="G321" s="162"/>
      <c r="H321" s="162"/>
      <c r="I321" s="162"/>
      <c r="J321" s="162"/>
      <c r="K321" s="162"/>
      <c r="L321" s="162"/>
      <c r="R321" s="173"/>
      <c r="S321" s="173"/>
      <c r="T321" s="173"/>
      <c r="W321" s="173"/>
      <c r="X321" s="173"/>
      <c r="Y321" s="173"/>
      <c r="AB321" s="173"/>
      <c r="AC321" s="173"/>
      <c r="AD321" s="173"/>
      <c r="AG321" s="173"/>
      <c r="AH321" s="173"/>
      <c r="AI321" s="173"/>
    </row>
    <row r="322" spans="2:35">
      <c r="B322" s="162"/>
      <c r="C322" s="162"/>
      <c r="D322" s="162"/>
      <c r="E322" s="162"/>
      <c r="F322" s="162"/>
      <c r="G322" s="162"/>
      <c r="H322" s="162"/>
      <c r="I322" s="162"/>
      <c r="J322" s="162"/>
      <c r="K322" s="162"/>
      <c r="L322" s="162"/>
      <c r="R322" s="173"/>
      <c r="S322" s="173"/>
      <c r="T322" s="173"/>
      <c r="W322" s="173"/>
      <c r="X322" s="173"/>
      <c r="Y322" s="173"/>
      <c r="AB322" s="173"/>
      <c r="AC322" s="173"/>
      <c r="AD322" s="173"/>
      <c r="AG322" s="173"/>
      <c r="AH322" s="173"/>
      <c r="AI322" s="173"/>
    </row>
    <row r="323" spans="2:35">
      <c r="B323" s="162"/>
      <c r="C323" s="162"/>
      <c r="D323" s="162"/>
      <c r="E323" s="162"/>
      <c r="F323" s="162"/>
      <c r="G323" s="162"/>
      <c r="H323" s="162"/>
      <c r="I323" s="162"/>
      <c r="J323" s="162"/>
      <c r="K323" s="162"/>
      <c r="L323" s="162"/>
      <c r="R323" s="173"/>
      <c r="S323" s="173"/>
      <c r="T323" s="173"/>
      <c r="W323" s="173"/>
      <c r="X323" s="173"/>
      <c r="Y323" s="173"/>
      <c r="AB323" s="173"/>
      <c r="AC323" s="173"/>
      <c r="AD323" s="173"/>
      <c r="AG323" s="173"/>
      <c r="AH323" s="173"/>
      <c r="AI323" s="173"/>
    </row>
    <row r="324" spans="2:35">
      <c r="B324" s="162"/>
      <c r="C324" s="162"/>
      <c r="D324" s="162"/>
      <c r="E324" s="162"/>
      <c r="F324" s="162"/>
      <c r="G324" s="162"/>
      <c r="H324" s="162"/>
      <c r="I324" s="162"/>
      <c r="J324" s="162"/>
      <c r="K324" s="162"/>
      <c r="L324" s="162"/>
      <c r="R324" s="173"/>
      <c r="S324" s="173"/>
      <c r="T324" s="173"/>
      <c r="W324" s="173"/>
      <c r="X324" s="173"/>
      <c r="Y324" s="173"/>
      <c r="AB324" s="173"/>
      <c r="AC324" s="173"/>
      <c r="AD324" s="173"/>
      <c r="AG324" s="173"/>
      <c r="AH324" s="173"/>
      <c r="AI324" s="173"/>
    </row>
    <row r="325" spans="2:35">
      <c r="B325" s="162"/>
      <c r="C325" s="162"/>
      <c r="D325" s="162"/>
      <c r="E325" s="162"/>
      <c r="F325" s="162"/>
      <c r="G325" s="162"/>
      <c r="H325" s="162"/>
      <c r="I325" s="162"/>
      <c r="J325" s="162"/>
      <c r="K325" s="162"/>
      <c r="L325" s="162"/>
      <c r="R325" s="173"/>
      <c r="S325" s="173"/>
      <c r="T325" s="173"/>
      <c r="W325" s="173"/>
      <c r="X325" s="173"/>
      <c r="Y325" s="173"/>
      <c r="AB325" s="173"/>
      <c r="AC325" s="173"/>
      <c r="AD325" s="173"/>
      <c r="AG325" s="173"/>
      <c r="AH325" s="173"/>
      <c r="AI325" s="173"/>
    </row>
    <row r="326" spans="2:35">
      <c r="B326" s="162"/>
      <c r="C326" s="162"/>
      <c r="D326" s="162"/>
      <c r="E326" s="162"/>
      <c r="F326" s="162"/>
      <c r="G326" s="162"/>
      <c r="H326" s="162"/>
      <c r="I326" s="162"/>
      <c r="J326" s="162"/>
      <c r="K326" s="162"/>
      <c r="L326" s="162"/>
      <c r="R326" s="173"/>
      <c r="S326" s="173"/>
      <c r="T326" s="173"/>
      <c r="W326" s="173"/>
      <c r="X326" s="173"/>
      <c r="Y326" s="173"/>
      <c r="AB326" s="173"/>
      <c r="AC326" s="173"/>
      <c r="AD326" s="173"/>
      <c r="AG326" s="173"/>
      <c r="AH326" s="173"/>
      <c r="AI326" s="173"/>
    </row>
    <row r="327" spans="2:35">
      <c r="B327" s="162"/>
      <c r="C327" s="162"/>
      <c r="D327" s="162"/>
      <c r="E327" s="162"/>
      <c r="F327" s="162"/>
      <c r="G327" s="162"/>
      <c r="H327" s="162"/>
      <c r="I327" s="162"/>
      <c r="J327" s="162"/>
      <c r="K327" s="162"/>
      <c r="L327" s="162"/>
      <c r="R327" s="173"/>
      <c r="S327" s="173"/>
      <c r="T327" s="173"/>
      <c r="W327" s="173"/>
      <c r="X327" s="173"/>
      <c r="Y327" s="173"/>
      <c r="AB327" s="173"/>
      <c r="AC327" s="173"/>
      <c r="AD327" s="173"/>
      <c r="AG327" s="173"/>
      <c r="AH327" s="173"/>
      <c r="AI327" s="173"/>
    </row>
    <row r="328" spans="2:35">
      <c r="B328" s="162"/>
      <c r="C328" s="162"/>
      <c r="D328" s="162"/>
      <c r="E328" s="162"/>
      <c r="F328" s="162"/>
      <c r="G328" s="162"/>
      <c r="H328" s="162"/>
      <c r="I328" s="162"/>
      <c r="J328" s="162"/>
      <c r="K328" s="162"/>
      <c r="L328" s="162"/>
      <c r="R328" s="173"/>
      <c r="S328" s="173"/>
      <c r="T328" s="173"/>
      <c r="W328" s="173"/>
      <c r="X328" s="173"/>
      <c r="Y328" s="173"/>
      <c r="AB328" s="173"/>
      <c r="AC328" s="173"/>
      <c r="AD328" s="173"/>
      <c r="AG328" s="173"/>
      <c r="AH328" s="173"/>
      <c r="AI328" s="173"/>
    </row>
    <row r="329" spans="2:35">
      <c r="B329" s="162"/>
      <c r="C329" s="162"/>
      <c r="D329" s="162"/>
      <c r="E329" s="162"/>
      <c r="F329" s="162"/>
      <c r="G329" s="162"/>
      <c r="H329" s="162"/>
      <c r="I329" s="162"/>
      <c r="J329" s="162"/>
      <c r="K329" s="162"/>
      <c r="L329" s="162"/>
      <c r="R329" s="173"/>
      <c r="S329" s="173"/>
      <c r="T329" s="173"/>
      <c r="W329" s="173"/>
      <c r="X329" s="173"/>
      <c r="Y329" s="173"/>
      <c r="AB329" s="173"/>
      <c r="AC329" s="173"/>
      <c r="AD329" s="173"/>
      <c r="AG329" s="173"/>
      <c r="AH329" s="173"/>
      <c r="AI329" s="173"/>
    </row>
    <row r="330" spans="2:35">
      <c r="B330" s="162"/>
      <c r="C330" s="162"/>
      <c r="D330" s="162"/>
      <c r="E330" s="162"/>
      <c r="F330" s="162"/>
      <c r="G330" s="162"/>
      <c r="H330" s="162"/>
      <c r="I330" s="162"/>
      <c r="J330" s="162"/>
      <c r="K330" s="162"/>
      <c r="L330" s="162"/>
      <c r="R330" s="173"/>
      <c r="S330" s="173"/>
      <c r="T330" s="173"/>
      <c r="W330" s="173"/>
      <c r="X330" s="173"/>
      <c r="Y330" s="173"/>
      <c r="AB330" s="173"/>
      <c r="AC330" s="173"/>
      <c r="AD330" s="173"/>
      <c r="AG330" s="173"/>
      <c r="AH330" s="173"/>
      <c r="AI330" s="173"/>
    </row>
    <row r="331" spans="2:35">
      <c r="B331" s="162"/>
      <c r="C331" s="162"/>
      <c r="D331" s="162"/>
      <c r="E331" s="162"/>
      <c r="F331" s="162"/>
      <c r="G331" s="162"/>
      <c r="H331" s="162"/>
      <c r="I331" s="162"/>
      <c r="J331" s="162"/>
      <c r="K331" s="162"/>
      <c r="L331" s="162"/>
      <c r="R331" s="173"/>
      <c r="S331" s="173"/>
      <c r="T331" s="173"/>
      <c r="W331" s="173"/>
      <c r="X331" s="173"/>
      <c r="Y331" s="173"/>
      <c r="AB331" s="173"/>
      <c r="AC331" s="173"/>
      <c r="AD331" s="173"/>
      <c r="AG331" s="173"/>
      <c r="AH331" s="173"/>
      <c r="AI331" s="173"/>
    </row>
    <row r="332" spans="2:35">
      <c r="B332" s="162"/>
      <c r="C332" s="162"/>
      <c r="D332" s="162"/>
      <c r="E332" s="162"/>
      <c r="F332" s="162"/>
      <c r="G332" s="162"/>
      <c r="H332" s="162"/>
      <c r="I332" s="162"/>
      <c r="J332" s="162"/>
      <c r="K332" s="162"/>
      <c r="L332" s="162"/>
      <c r="R332" s="173"/>
      <c r="S332" s="173"/>
      <c r="T332" s="173"/>
      <c r="W332" s="173"/>
      <c r="X332" s="173"/>
      <c r="Y332" s="173"/>
      <c r="AB332" s="173"/>
      <c r="AC332" s="173"/>
      <c r="AD332" s="173"/>
      <c r="AG332" s="173"/>
      <c r="AH332" s="173"/>
      <c r="AI332" s="173"/>
    </row>
    <row r="333" spans="2:35">
      <c r="B333" s="162"/>
      <c r="C333" s="162"/>
      <c r="D333" s="162"/>
      <c r="E333" s="162"/>
      <c r="F333" s="162"/>
      <c r="G333" s="162"/>
      <c r="H333" s="162"/>
      <c r="I333" s="162"/>
      <c r="J333" s="162"/>
      <c r="K333" s="162"/>
      <c r="L333" s="162"/>
      <c r="R333" s="173"/>
      <c r="S333" s="173"/>
      <c r="T333" s="173"/>
      <c r="W333" s="173"/>
      <c r="X333" s="173"/>
      <c r="Y333" s="173"/>
      <c r="AB333" s="173"/>
      <c r="AC333" s="173"/>
      <c r="AD333" s="173"/>
      <c r="AG333" s="173"/>
      <c r="AH333" s="173"/>
      <c r="AI333" s="173"/>
    </row>
    <row r="334" spans="2:35">
      <c r="B334" s="162"/>
      <c r="C334" s="162"/>
      <c r="D334" s="162"/>
      <c r="E334" s="162"/>
      <c r="F334" s="162"/>
      <c r="G334" s="162"/>
      <c r="H334" s="162"/>
      <c r="I334" s="162"/>
      <c r="J334" s="162"/>
      <c r="K334" s="162"/>
      <c r="L334" s="162"/>
      <c r="R334" s="173"/>
      <c r="S334" s="173"/>
      <c r="T334" s="173"/>
      <c r="W334" s="173"/>
      <c r="X334" s="173"/>
      <c r="Y334" s="173"/>
      <c r="AB334" s="173"/>
      <c r="AC334" s="173"/>
      <c r="AD334" s="173"/>
      <c r="AG334" s="173"/>
      <c r="AH334" s="173"/>
      <c r="AI334" s="173"/>
    </row>
    <row r="335" spans="2:35">
      <c r="B335" s="162"/>
      <c r="C335" s="162"/>
      <c r="D335" s="162"/>
      <c r="E335" s="162"/>
      <c r="F335" s="162"/>
      <c r="G335" s="162"/>
      <c r="H335" s="162"/>
      <c r="I335" s="162"/>
      <c r="J335" s="162"/>
      <c r="K335" s="162"/>
      <c r="L335" s="162"/>
      <c r="R335" s="173"/>
      <c r="S335" s="173"/>
      <c r="T335" s="173"/>
      <c r="W335" s="173"/>
      <c r="X335" s="173"/>
      <c r="Y335" s="173"/>
      <c r="AB335" s="173"/>
      <c r="AC335" s="173"/>
      <c r="AD335" s="173"/>
      <c r="AG335" s="173"/>
      <c r="AH335" s="173"/>
      <c r="AI335" s="173"/>
    </row>
    <row r="336" spans="2:35">
      <c r="B336" s="162"/>
      <c r="C336" s="162"/>
      <c r="D336" s="162"/>
      <c r="E336" s="162"/>
      <c r="F336" s="162"/>
      <c r="G336" s="162"/>
      <c r="H336" s="162"/>
      <c r="I336" s="162"/>
      <c r="J336" s="162"/>
      <c r="K336" s="162"/>
      <c r="L336" s="162"/>
      <c r="R336" s="173"/>
      <c r="S336" s="173"/>
      <c r="T336" s="173"/>
      <c r="W336" s="173"/>
      <c r="X336" s="173"/>
      <c r="Y336" s="173"/>
      <c r="AB336" s="173"/>
      <c r="AC336" s="173"/>
      <c r="AD336" s="173"/>
      <c r="AG336" s="173"/>
      <c r="AH336" s="173"/>
      <c r="AI336" s="173"/>
    </row>
    <row r="337" spans="2:35">
      <c r="B337" s="162"/>
      <c r="C337" s="162"/>
      <c r="D337" s="162"/>
      <c r="E337" s="162"/>
      <c r="F337" s="162"/>
      <c r="G337" s="162"/>
      <c r="H337" s="162"/>
      <c r="I337" s="162"/>
      <c r="J337" s="162"/>
      <c r="K337" s="162"/>
      <c r="L337" s="162"/>
      <c r="R337" s="173"/>
      <c r="S337" s="173"/>
      <c r="T337" s="173"/>
      <c r="W337" s="173"/>
      <c r="X337" s="173"/>
      <c r="Y337" s="173"/>
      <c r="AB337" s="173"/>
      <c r="AC337" s="173"/>
      <c r="AD337" s="173"/>
      <c r="AG337" s="173"/>
      <c r="AH337" s="173"/>
      <c r="AI337" s="173"/>
    </row>
    <row r="338" spans="2:35">
      <c r="B338" s="162"/>
      <c r="C338" s="162"/>
      <c r="D338" s="162"/>
      <c r="E338" s="162"/>
      <c r="F338" s="162"/>
      <c r="G338" s="162"/>
      <c r="H338" s="162"/>
      <c r="I338" s="162"/>
      <c r="J338" s="162"/>
      <c r="K338" s="162"/>
      <c r="L338" s="162"/>
      <c r="R338" s="173"/>
      <c r="S338" s="173"/>
      <c r="T338" s="173"/>
      <c r="W338" s="173"/>
      <c r="X338" s="173"/>
      <c r="Y338" s="173"/>
      <c r="AB338" s="173"/>
      <c r="AC338" s="173"/>
      <c r="AD338" s="173"/>
      <c r="AG338" s="173"/>
      <c r="AH338" s="173"/>
      <c r="AI338" s="173"/>
    </row>
    <row r="339" spans="2:35">
      <c r="B339" s="162"/>
      <c r="C339" s="162"/>
      <c r="D339" s="162"/>
      <c r="E339" s="162"/>
      <c r="F339" s="162"/>
      <c r="G339" s="162"/>
      <c r="H339" s="162"/>
      <c r="I339" s="162"/>
      <c r="J339" s="162"/>
      <c r="K339" s="162"/>
      <c r="L339" s="162"/>
      <c r="R339" s="173"/>
      <c r="S339" s="173"/>
      <c r="T339" s="173"/>
      <c r="W339" s="173"/>
      <c r="X339" s="173"/>
      <c r="Y339" s="173"/>
      <c r="AB339" s="173"/>
      <c r="AC339" s="173"/>
      <c r="AD339" s="173"/>
      <c r="AG339" s="173"/>
      <c r="AH339" s="173"/>
      <c r="AI339" s="173"/>
    </row>
    <row r="340" spans="2:35">
      <c r="B340" s="162"/>
      <c r="C340" s="162"/>
      <c r="D340" s="162"/>
      <c r="E340" s="162"/>
      <c r="F340" s="162"/>
      <c r="G340" s="162"/>
      <c r="H340" s="162"/>
      <c r="I340" s="162"/>
      <c r="J340" s="162"/>
      <c r="K340" s="162"/>
      <c r="L340" s="162"/>
      <c r="R340" s="173"/>
      <c r="S340" s="173"/>
      <c r="T340" s="173"/>
      <c r="W340" s="173"/>
      <c r="X340" s="173"/>
      <c r="Y340" s="173"/>
      <c r="AB340" s="173"/>
      <c r="AC340" s="173"/>
      <c r="AD340" s="173"/>
      <c r="AG340" s="173"/>
      <c r="AH340" s="173"/>
      <c r="AI340" s="173"/>
    </row>
    <row r="341" spans="2:35">
      <c r="B341" s="162"/>
      <c r="C341" s="162"/>
      <c r="D341" s="162"/>
      <c r="E341" s="162"/>
      <c r="F341" s="162"/>
      <c r="G341" s="162"/>
      <c r="H341" s="162"/>
      <c r="I341" s="162"/>
      <c r="J341" s="162"/>
      <c r="K341" s="162"/>
      <c r="L341" s="162"/>
      <c r="R341" s="173"/>
      <c r="S341" s="173"/>
      <c r="T341" s="173"/>
      <c r="W341" s="173"/>
      <c r="X341" s="173"/>
      <c r="Y341" s="173"/>
      <c r="AB341" s="173"/>
      <c r="AC341" s="173"/>
      <c r="AD341" s="173"/>
      <c r="AG341" s="173"/>
      <c r="AH341" s="173"/>
      <c r="AI341" s="173"/>
    </row>
    <row r="342" spans="2:35">
      <c r="B342" s="162"/>
      <c r="C342" s="162"/>
      <c r="D342" s="162"/>
      <c r="E342" s="162"/>
      <c r="F342" s="162"/>
      <c r="G342" s="162"/>
      <c r="H342" s="162"/>
      <c r="I342" s="162"/>
      <c r="J342" s="162"/>
      <c r="K342" s="162"/>
      <c r="L342" s="162"/>
      <c r="R342" s="173"/>
      <c r="S342" s="173"/>
      <c r="T342" s="173"/>
      <c r="W342" s="173"/>
      <c r="X342" s="173"/>
      <c r="Y342" s="173"/>
      <c r="AB342" s="173"/>
      <c r="AC342" s="173"/>
      <c r="AD342" s="173"/>
      <c r="AG342" s="173"/>
      <c r="AH342" s="173"/>
      <c r="AI342" s="173"/>
    </row>
    <row r="343" spans="2:35">
      <c r="B343" s="162"/>
      <c r="C343" s="162"/>
      <c r="D343" s="162"/>
      <c r="E343" s="162"/>
      <c r="F343" s="162"/>
      <c r="G343" s="162"/>
      <c r="H343" s="162"/>
      <c r="I343" s="162"/>
      <c r="J343" s="162"/>
      <c r="K343" s="162"/>
      <c r="L343" s="162"/>
      <c r="R343" s="173"/>
      <c r="S343" s="173"/>
      <c r="T343" s="173"/>
      <c r="W343" s="173"/>
      <c r="X343" s="173"/>
      <c r="Y343" s="173"/>
      <c r="AB343" s="173"/>
      <c r="AC343" s="173"/>
      <c r="AD343" s="173"/>
      <c r="AG343" s="173"/>
      <c r="AH343" s="173"/>
      <c r="AI343" s="173"/>
    </row>
    <row r="344" spans="2:35">
      <c r="B344" s="162"/>
      <c r="C344" s="162"/>
      <c r="D344" s="162"/>
      <c r="E344" s="162"/>
      <c r="F344" s="162"/>
      <c r="G344" s="162"/>
      <c r="H344" s="162"/>
      <c r="I344" s="162"/>
      <c r="J344" s="162"/>
      <c r="K344" s="162"/>
      <c r="L344" s="162"/>
      <c r="R344" s="173"/>
      <c r="S344" s="173"/>
      <c r="T344" s="173"/>
      <c r="W344" s="173"/>
      <c r="X344" s="173"/>
      <c r="Y344" s="173"/>
      <c r="AB344" s="173"/>
      <c r="AC344" s="173"/>
      <c r="AD344" s="173"/>
      <c r="AG344" s="173"/>
      <c r="AH344" s="173"/>
      <c r="AI344" s="173"/>
    </row>
    <row r="345" spans="2:35">
      <c r="B345" s="162"/>
      <c r="C345" s="162"/>
      <c r="D345" s="162"/>
      <c r="E345" s="162"/>
      <c r="F345" s="162"/>
      <c r="G345" s="162"/>
      <c r="H345" s="162"/>
      <c r="I345" s="162"/>
      <c r="J345" s="162"/>
      <c r="K345" s="162"/>
      <c r="L345" s="162"/>
      <c r="R345" s="173"/>
      <c r="S345" s="173"/>
      <c r="T345" s="173"/>
      <c r="W345" s="173"/>
      <c r="X345" s="173"/>
      <c r="Y345" s="173"/>
      <c r="AB345" s="173"/>
      <c r="AC345" s="173"/>
      <c r="AD345" s="173"/>
      <c r="AG345" s="173"/>
      <c r="AH345" s="173"/>
      <c r="AI345" s="173"/>
    </row>
    <row r="346" spans="2:35">
      <c r="B346" s="162"/>
      <c r="C346" s="162"/>
      <c r="D346" s="162"/>
      <c r="E346" s="162"/>
      <c r="F346" s="162"/>
      <c r="G346" s="162"/>
      <c r="H346" s="162"/>
      <c r="I346" s="162"/>
      <c r="J346" s="162"/>
      <c r="K346" s="162"/>
      <c r="L346" s="162"/>
      <c r="R346" s="173"/>
      <c r="S346" s="173"/>
      <c r="T346" s="173"/>
      <c r="W346" s="173"/>
      <c r="X346" s="173"/>
      <c r="Y346" s="173"/>
      <c r="AB346" s="173"/>
      <c r="AC346" s="173"/>
      <c r="AD346" s="173"/>
      <c r="AG346" s="173"/>
      <c r="AH346" s="173"/>
      <c r="AI346" s="173"/>
    </row>
    <row r="347" spans="2:35">
      <c r="B347" s="162"/>
      <c r="C347" s="162"/>
      <c r="D347" s="162"/>
      <c r="E347" s="162"/>
      <c r="F347" s="162"/>
      <c r="G347" s="162"/>
      <c r="H347" s="162"/>
      <c r="I347" s="162"/>
      <c r="J347" s="162"/>
      <c r="K347" s="162"/>
      <c r="L347" s="162"/>
      <c r="R347" s="173"/>
      <c r="S347" s="173"/>
      <c r="T347" s="173"/>
      <c r="W347" s="173"/>
      <c r="X347" s="173"/>
      <c r="Y347" s="173"/>
      <c r="AB347" s="173"/>
      <c r="AC347" s="173"/>
      <c r="AD347" s="173"/>
      <c r="AG347" s="173"/>
      <c r="AH347" s="173"/>
      <c r="AI347" s="173"/>
    </row>
    <row r="348" spans="2:35">
      <c r="B348" s="162"/>
      <c r="C348" s="162"/>
      <c r="D348" s="162"/>
      <c r="E348" s="162"/>
      <c r="F348" s="162"/>
      <c r="G348" s="162"/>
      <c r="H348" s="162"/>
      <c r="I348" s="162"/>
      <c r="J348" s="162"/>
      <c r="K348" s="162"/>
      <c r="L348" s="162"/>
      <c r="R348" s="173"/>
      <c r="S348" s="173"/>
      <c r="T348" s="173"/>
      <c r="W348" s="173"/>
      <c r="X348" s="173"/>
      <c r="Y348" s="173"/>
      <c r="AB348" s="173"/>
      <c r="AC348" s="173"/>
      <c r="AD348" s="173"/>
      <c r="AG348" s="173"/>
      <c r="AH348" s="173"/>
      <c r="AI348" s="173"/>
    </row>
    <row r="349" spans="2:35">
      <c r="B349" s="162"/>
      <c r="C349" s="162"/>
      <c r="D349" s="162"/>
      <c r="E349" s="162"/>
      <c r="F349" s="162"/>
      <c r="G349" s="162"/>
      <c r="H349" s="162"/>
      <c r="I349" s="162"/>
      <c r="J349" s="162"/>
      <c r="K349" s="162"/>
      <c r="L349" s="162"/>
      <c r="R349" s="173"/>
      <c r="S349" s="173"/>
      <c r="T349" s="173"/>
      <c r="W349" s="173"/>
      <c r="X349" s="173"/>
      <c r="Y349" s="173"/>
      <c r="AB349" s="173"/>
      <c r="AC349" s="173"/>
      <c r="AD349" s="173"/>
      <c r="AG349" s="173"/>
      <c r="AH349" s="173"/>
      <c r="AI349" s="173"/>
    </row>
    <row r="350" spans="2:35">
      <c r="B350" s="162"/>
      <c r="C350" s="162"/>
      <c r="D350" s="162"/>
      <c r="E350" s="162"/>
      <c r="F350" s="162"/>
      <c r="G350" s="162"/>
      <c r="H350" s="162"/>
      <c r="I350" s="162"/>
      <c r="J350" s="162"/>
      <c r="K350" s="162"/>
      <c r="L350" s="162"/>
      <c r="R350" s="173"/>
      <c r="S350" s="173"/>
      <c r="T350" s="173"/>
      <c r="W350" s="173"/>
      <c r="X350" s="173"/>
      <c r="Y350" s="173"/>
      <c r="AB350" s="173"/>
      <c r="AC350" s="173"/>
      <c r="AD350" s="173"/>
      <c r="AG350" s="173"/>
      <c r="AH350" s="173"/>
      <c r="AI350" s="173"/>
    </row>
    <row r="351" spans="2:35">
      <c r="B351" s="162"/>
      <c r="C351" s="162"/>
      <c r="D351" s="162"/>
      <c r="E351" s="162"/>
      <c r="F351" s="162"/>
      <c r="G351" s="162"/>
      <c r="H351" s="162"/>
      <c r="I351" s="162"/>
      <c r="J351" s="162"/>
      <c r="K351" s="162"/>
      <c r="L351" s="162"/>
      <c r="R351" s="173"/>
      <c r="S351" s="173"/>
      <c r="T351" s="173"/>
      <c r="W351" s="173"/>
      <c r="X351" s="173"/>
      <c r="Y351" s="173"/>
      <c r="AB351" s="173"/>
      <c r="AC351" s="173"/>
      <c r="AD351" s="173"/>
      <c r="AG351" s="173"/>
      <c r="AH351" s="173"/>
      <c r="AI351" s="173"/>
    </row>
    <row r="352" spans="2:35">
      <c r="B352" s="162"/>
      <c r="C352" s="162"/>
      <c r="D352" s="162"/>
      <c r="E352" s="162"/>
      <c r="F352" s="162"/>
      <c r="G352" s="162"/>
      <c r="H352" s="162"/>
      <c r="I352" s="162"/>
      <c r="J352" s="162"/>
      <c r="K352" s="162"/>
      <c r="L352" s="162"/>
      <c r="R352" s="173"/>
      <c r="S352" s="173"/>
      <c r="T352" s="173"/>
      <c r="W352" s="173"/>
      <c r="X352" s="173"/>
      <c r="Y352" s="173"/>
      <c r="AB352" s="173"/>
      <c r="AC352" s="173"/>
      <c r="AD352" s="173"/>
      <c r="AG352" s="173"/>
      <c r="AH352" s="173"/>
      <c r="AI352" s="173"/>
    </row>
    <row r="353" spans="2:35">
      <c r="B353" s="162"/>
      <c r="C353" s="162"/>
      <c r="D353" s="162"/>
      <c r="E353" s="162"/>
      <c r="F353" s="162"/>
      <c r="G353" s="162"/>
      <c r="H353" s="162"/>
      <c r="I353" s="162"/>
      <c r="J353" s="162"/>
      <c r="K353" s="162"/>
      <c r="L353" s="162"/>
      <c r="R353" s="173"/>
      <c r="S353" s="173"/>
      <c r="T353" s="173"/>
      <c r="W353" s="173"/>
      <c r="X353" s="173"/>
      <c r="Y353" s="173"/>
      <c r="AB353" s="173"/>
      <c r="AC353" s="173"/>
      <c r="AD353" s="173"/>
      <c r="AG353" s="173"/>
      <c r="AH353" s="173"/>
      <c r="AI353" s="173"/>
    </row>
    <row r="354" spans="2:35">
      <c r="B354" s="162"/>
      <c r="C354" s="162"/>
      <c r="D354" s="162"/>
      <c r="E354" s="162"/>
      <c r="F354" s="162"/>
      <c r="G354" s="162"/>
      <c r="H354" s="162"/>
      <c r="I354" s="162"/>
      <c r="J354" s="162"/>
      <c r="K354" s="162"/>
      <c r="L354" s="162"/>
      <c r="R354" s="173"/>
      <c r="S354" s="173"/>
      <c r="T354" s="173"/>
      <c r="W354" s="173"/>
      <c r="X354" s="173"/>
      <c r="Y354" s="173"/>
      <c r="AB354" s="173"/>
      <c r="AC354" s="173"/>
      <c r="AD354" s="173"/>
      <c r="AG354" s="173"/>
      <c r="AH354" s="173"/>
      <c r="AI354" s="173"/>
    </row>
    <row r="355" spans="2:35">
      <c r="B355" s="162"/>
      <c r="C355" s="162"/>
      <c r="D355" s="162"/>
      <c r="E355" s="162"/>
      <c r="F355" s="162"/>
      <c r="G355" s="162"/>
      <c r="H355" s="162"/>
      <c r="I355" s="162"/>
      <c r="J355" s="162"/>
      <c r="K355" s="162"/>
      <c r="L355" s="162"/>
      <c r="R355" s="173"/>
      <c r="S355" s="173"/>
      <c r="T355" s="173"/>
      <c r="W355" s="173"/>
      <c r="X355" s="173"/>
      <c r="Y355" s="173"/>
      <c r="AB355" s="173"/>
      <c r="AC355" s="173"/>
      <c r="AD355" s="173"/>
      <c r="AG355" s="173"/>
      <c r="AH355" s="173"/>
      <c r="AI355" s="173"/>
    </row>
    <row r="356" spans="2:35">
      <c r="B356" s="162"/>
      <c r="C356" s="162"/>
      <c r="D356" s="162"/>
      <c r="E356" s="162"/>
      <c r="F356" s="162"/>
      <c r="G356" s="162"/>
      <c r="H356" s="162"/>
      <c r="I356" s="162"/>
      <c r="J356" s="162"/>
      <c r="K356" s="162"/>
      <c r="L356" s="162"/>
      <c r="R356" s="173"/>
      <c r="S356" s="173"/>
      <c r="T356" s="173"/>
      <c r="W356" s="173"/>
      <c r="X356" s="173"/>
      <c r="Y356" s="173"/>
      <c r="AB356" s="173"/>
      <c r="AC356" s="173"/>
      <c r="AD356" s="173"/>
      <c r="AG356" s="173"/>
      <c r="AH356" s="173"/>
      <c r="AI356" s="173"/>
    </row>
    <row r="357" spans="2:35">
      <c r="B357" s="162"/>
      <c r="C357" s="162"/>
      <c r="D357" s="162"/>
      <c r="E357" s="162"/>
      <c r="F357" s="162"/>
      <c r="G357" s="162"/>
      <c r="H357" s="162"/>
      <c r="I357" s="162"/>
      <c r="J357" s="162"/>
      <c r="K357" s="162"/>
      <c r="L357" s="162"/>
      <c r="R357" s="173"/>
      <c r="S357" s="173"/>
      <c r="T357" s="173"/>
      <c r="W357" s="173"/>
      <c r="X357" s="173"/>
      <c r="Y357" s="173"/>
      <c r="AB357" s="173"/>
      <c r="AC357" s="173"/>
      <c r="AD357" s="173"/>
      <c r="AG357" s="173"/>
      <c r="AH357" s="173"/>
      <c r="AI357" s="173"/>
    </row>
    <row r="358" spans="2:35">
      <c r="B358" s="162"/>
      <c r="C358" s="162"/>
      <c r="D358" s="162"/>
      <c r="E358" s="162"/>
      <c r="F358" s="162"/>
      <c r="G358" s="162"/>
      <c r="H358" s="162"/>
      <c r="I358" s="162"/>
      <c r="J358" s="162"/>
      <c r="K358" s="162"/>
      <c r="L358" s="162"/>
      <c r="R358" s="173"/>
      <c r="S358" s="173"/>
      <c r="T358" s="173"/>
      <c r="W358" s="173"/>
      <c r="X358" s="173"/>
      <c r="Y358" s="173"/>
      <c r="AB358" s="173"/>
      <c r="AC358" s="173"/>
      <c r="AD358" s="173"/>
      <c r="AG358" s="173"/>
      <c r="AH358" s="173"/>
      <c r="AI358" s="173"/>
    </row>
    <row r="359" spans="2:35">
      <c r="B359" s="162"/>
      <c r="C359" s="162"/>
      <c r="D359" s="162"/>
      <c r="E359" s="162"/>
      <c r="F359" s="162"/>
      <c r="G359" s="162"/>
      <c r="H359" s="162"/>
      <c r="I359" s="162"/>
      <c r="J359" s="162"/>
      <c r="K359" s="162"/>
      <c r="L359" s="162"/>
      <c r="R359" s="173"/>
      <c r="S359" s="173"/>
      <c r="T359" s="173"/>
      <c r="W359" s="173"/>
      <c r="X359" s="173"/>
      <c r="Y359" s="173"/>
      <c r="AB359" s="173"/>
      <c r="AC359" s="173"/>
      <c r="AD359" s="173"/>
      <c r="AG359" s="173"/>
      <c r="AH359" s="173"/>
      <c r="AI359" s="173"/>
    </row>
    <row r="360" spans="2:35">
      <c r="B360" s="162"/>
      <c r="C360" s="162"/>
      <c r="D360" s="162"/>
      <c r="E360" s="162"/>
      <c r="F360" s="162"/>
      <c r="G360" s="162"/>
      <c r="H360" s="162"/>
      <c r="I360" s="162"/>
      <c r="J360" s="162"/>
      <c r="K360" s="162"/>
      <c r="L360" s="162"/>
      <c r="R360" s="173"/>
      <c r="S360" s="173"/>
      <c r="T360" s="173"/>
      <c r="W360" s="173"/>
      <c r="X360" s="173"/>
      <c r="Y360" s="173"/>
      <c r="AB360" s="173"/>
      <c r="AC360" s="173"/>
      <c r="AD360" s="173"/>
      <c r="AG360" s="173"/>
      <c r="AH360" s="173"/>
      <c r="AI360" s="173"/>
    </row>
    <row r="361" spans="2:35">
      <c r="B361" s="162"/>
      <c r="C361" s="162"/>
      <c r="D361" s="162"/>
      <c r="E361" s="162"/>
      <c r="F361" s="162"/>
      <c r="G361" s="162"/>
      <c r="H361" s="162"/>
      <c r="I361" s="162"/>
      <c r="J361" s="162"/>
      <c r="K361" s="162"/>
      <c r="L361" s="162"/>
      <c r="R361" s="173"/>
      <c r="S361" s="173"/>
      <c r="T361" s="173"/>
      <c r="W361" s="173"/>
      <c r="X361" s="173"/>
      <c r="Y361" s="173"/>
      <c r="AB361" s="173"/>
      <c r="AC361" s="173"/>
      <c r="AD361" s="173"/>
      <c r="AG361" s="173"/>
      <c r="AH361" s="173"/>
      <c r="AI361" s="173"/>
    </row>
    <row r="362" spans="2:35">
      <c r="B362" s="162"/>
      <c r="C362" s="162"/>
      <c r="D362" s="162"/>
      <c r="E362" s="162"/>
      <c r="F362" s="162"/>
      <c r="G362" s="162"/>
      <c r="H362" s="162"/>
      <c r="I362" s="162"/>
      <c r="J362" s="162"/>
      <c r="K362" s="162"/>
      <c r="L362" s="162"/>
      <c r="R362" s="173"/>
      <c r="S362" s="173"/>
      <c r="T362" s="173"/>
      <c r="W362" s="173"/>
      <c r="X362" s="173"/>
      <c r="Y362" s="173"/>
      <c r="AB362" s="173"/>
      <c r="AC362" s="173"/>
      <c r="AD362" s="173"/>
      <c r="AG362" s="173"/>
      <c r="AH362" s="173"/>
      <c r="AI362" s="173"/>
    </row>
    <row r="363" spans="2:35">
      <c r="B363" s="162"/>
      <c r="C363" s="162"/>
      <c r="D363" s="162"/>
      <c r="E363" s="162"/>
      <c r="F363" s="162"/>
      <c r="G363" s="162"/>
      <c r="H363" s="162"/>
      <c r="I363" s="162"/>
      <c r="J363" s="162"/>
      <c r="K363" s="162"/>
      <c r="L363" s="162"/>
      <c r="R363" s="173"/>
      <c r="S363" s="173"/>
      <c r="T363" s="173"/>
      <c r="W363" s="173"/>
      <c r="X363" s="173"/>
      <c r="Y363" s="173"/>
      <c r="AB363" s="173"/>
      <c r="AC363" s="173"/>
      <c r="AD363" s="173"/>
      <c r="AG363" s="173"/>
      <c r="AH363" s="173"/>
      <c r="AI363" s="173"/>
    </row>
    <row r="364" spans="2:35">
      <c r="B364" s="162"/>
      <c r="C364" s="162"/>
      <c r="D364" s="162"/>
      <c r="E364" s="162"/>
      <c r="F364" s="162"/>
      <c r="G364" s="162"/>
      <c r="H364" s="162"/>
      <c r="I364" s="162"/>
      <c r="J364" s="162"/>
      <c r="K364" s="162"/>
      <c r="L364" s="162"/>
      <c r="R364" s="173"/>
      <c r="S364" s="173"/>
      <c r="T364" s="173"/>
      <c r="W364" s="173"/>
      <c r="X364" s="173"/>
      <c r="Y364" s="173"/>
      <c r="AB364" s="173"/>
      <c r="AC364" s="173"/>
      <c r="AD364" s="173"/>
      <c r="AG364" s="173"/>
      <c r="AH364" s="173"/>
      <c r="AI364" s="173"/>
    </row>
    <row r="365" spans="2:35">
      <c r="B365" s="162"/>
      <c r="C365" s="162"/>
      <c r="D365" s="162"/>
      <c r="E365" s="162"/>
      <c r="F365" s="162"/>
      <c r="G365" s="162"/>
      <c r="H365" s="162"/>
      <c r="I365" s="162"/>
      <c r="J365" s="162"/>
      <c r="K365" s="162"/>
      <c r="L365" s="162"/>
      <c r="R365" s="173"/>
      <c r="S365" s="173"/>
      <c r="T365" s="173"/>
      <c r="W365" s="173"/>
      <c r="X365" s="173"/>
      <c r="Y365" s="173"/>
      <c r="AB365" s="173"/>
      <c r="AC365" s="173"/>
      <c r="AD365" s="173"/>
      <c r="AG365" s="173"/>
      <c r="AH365" s="173"/>
      <c r="AI365" s="173"/>
    </row>
    <row r="366" spans="2:35">
      <c r="B366" s="162"/>
      <c r="C366" s="162"/>
      <c r="D366" s="162"/>
      <c r="E366" s="162"/>
      <c r="F366" s="162"/>
      <c r="G366" s="162"/>
      <c r="H366" s="162"/>
      <c r="I366" s="162"/>
      <c r="J366" s="162"/>
      <c r="K366" s="162"/>
      <c r="L366" s="162"/>
      <c r="R366" s="173"/>
      <c r="S366" s="173"/>
      <c r="T366" s="173"/>
      <c r="W366" s="173"/>
      <c r="X366" s="173"/>
      <c r="Y366" s="173"/>
      <c r="AB366" s="173"/>
      <c r="AC366" s="173"/>
      <c r="AD366" s="173"/>
      <c r="AG366" s="173"/>
      <c r="AH366" s="173"/>
      <c r="AI366" s="173"/>
    </row>
    <row r="367" spans="2:35">
      <c r="B367" s="162"/>
      <c r="C367" s="162"/>
      <c r="D367" s="162"/>
      <c r="E367" s="162"/>
      <c r="F367" s="162"/>
      <c r="G367" s="162"/>
      <c r="H367" s="162"/>
      <c r="I367" s="162"/>
      <c r="J367" s="162"/>
      <c r="K367" s="162"/>
      <c r="L367" s="162"/>
      <c r="R367" s="173"/>
      <c r="S367" s="173"/>
      <c r="T367" s="173"/>
      <c r="W367" s="173"/>
      <c r="X367" s="173"/>
      <c r="Y367" s="173"/>
      <c r="AB367" s="173"/>
      <c r="AC367" s="173"/>
      <c r="AD367" s="173"/>
      <c r="AG367" s="173"/>
      <c r="AH367" s="173"/>
      <c r="AI367" s="173"/>
    </row>
    <row r="368" spans="2:35">
      <c r="B368" s="162"/>
      <c r="C368" s="162"/>
      <c r="D368" s="162"/>
      <c r="E368" s="162"/>
      <c r="F368" s="162"/>
      <c r="G368" s="162"/>
      <c r="H368" s="162"/>
      <c r="I368" s="162"/>
      <c r="J368" s="162"/>
      <c r="K368" s="162"/>
      <c r="L368" s="162"/>
      <c r="R368" s="173"/>
      <c r="S368" s="173"/>
      <c r="T368" s="173"/>
      <c r="W368" s="173"/>
      <c r="X368" s="173"/>
      <c r="Y368" s="173"/>
      <c r="AB368" s="173"/>
      <c r="AC368" s="173"/>
      <c r="AD368" s="173"/>
      <c r="AG368" s="173"/>
      <c r="AH368" s="173"/>
      <c r="AI368" s="173"/>
    </row>
    <row r="369" spans="2:35">
      <c r="B369" s="162"/>
      <c r="C369" s="162"/>
      <c r="D369" s="162"/>
      <c r="E369" s="162"/>
      <c r="F369" s="162"/>
      <c r="G369" s="162"/>
      <c r="H369" s="162"/>
      <c r="I369" s="162"/>
      <c r="J369" s="162"/>
      <c r="K369" s="162"/>
      <c r="L369" s="162"/>
      <c r="R369" s="173"/>
      <c r="S369" s="173"/>
      <c r="T369" s="173"/>
      <c r="W369" s="173"/>
      <c r="X369" s="173"/>
      <c r="Y369" s="173"/>
      <c r="AB369" s="173"/>
      <c r="AC369" s="173"/>
      <c r="AD369" s="173"/>
      <c r="AG369" s="173"/>
      <c r="AH369" s="173"/>
      <c r="AI369" s="173"/>
    </row>
    <row r="370" spans="2:35">
      <c r="B370" s="162"/>
      <c r="C370" s="162"/>
      <c r="D370" s="162"/>
      <c r="E370" s="162"/>
      <c r="F370" s="162"/>
      <c r="G370" s="162"/>
      <c r="H370" s="162"/>
      <c r="I370" s="162"/>
      <c r="J370" s="162"/>
      <c r="K370" s="162"/>
      <c r="L370" s="162"/>
      <c r="R370" s="173"/>
      <c r="S370" s="173"/>
      <c r="T370" s="173"/>
      <c r="W370" s="173"/>
      <c r="X370" s="173"/>
      <c r="Y370" s="173"/>
      <c r="AB370" s="173"/>
      <c r="AC370" s="173"/>
      <c r="AD370" s="173"/>
      <c r="AG370" s="173"/>
      <c r="AH370" s="173"/>
      <c r="AI370" s="173"/>
    </row>
    <row r="371" spans="2:35">
      <c r="B371" s="162"/>
      <c r="C371" s="162"/>
      <c r="D371" s="162"/>
      <c r="E371" s="162"/>
      <c r="F371" s="162"/>
      <c r="G371" s="162"/>
      <c r="H371" s="162"/>
      <c r="I371" s="162"/>
      <c r="J371" s="162"/>
      <c r="K371" s="162"/>
      <c r="L371" s="162"/>
      <c r="R371" s="173"/>
      <c r="S371" s="173"/>
      <c r="T371" s="173"/>
      <c r="W371" s="173"/>
      <c r="X371" s="173"/>
      <c r="Y371" s="173"/>
      <c r="AB371" s="173"/>
      <c r="AC371" s="173"/>
      <c r="AD371" s="173"/>
      <c r="AG371" s="173"/>
      <c r="AH371" s="173"/>
      <c r="AI371" s="173"/>
    </row>
    <row r="372" spans="2:35">
      <c r="B372" s="162"/>
      <c r="C372" s="162"/>
      <c r="D372" s="162"/>
      <c r="E372" s="162"/>
      <c r="F372" s="162"/>
      <c r="G372" s="162"/>
      <c r="H372" s="162"/>
      <c r="I372" s="162"/>
      <c r="J372" s="162"/>
      <c r="K372" s="162"/>
      <c r="L372" s="162"/>
      <c r="R372" s="173"/>
      <c r="S372" s="173"/>
      <c r="T372" s="173"/>
      <c r="W372" s="173"/>
      <c r="X372" s="173"/>
      <c r="Y372" s="173"/>
      <c r="AB372" s="173"/>
      <c r="AC372" s="173"/>
      <c r="AD372" s="173"/>
      <c r="AG372" s="173"/>
      <c r="AH372" s="173"/>
      <c r="AI372" s="173"/>
    </row>
    <row r="373" spans="2:35">
      <c r="B373" s="162"/>
      <c r="C373" s="162"/>
      <c r="D373" s="162"/>
      <c r="E373" s="162"/>
      <c r="F373" s="162"/>
      <c r="G373" s="162"/>
      <c r="H373" s="162"/>
      <c r="I373" s="162"/>
      <c r="J373" s="162"/>
      <c r="K373" s="162"/>
      <c r="L373" s="162"/>
      <c r="R373" s="173"/>
      <c r="S373" s="173"/>
      <c r="T373" s="173"/>
      <c r="W373" s="173"/>
      <c r="X373" s="173"/>
      <c r="Y373" s="173"/>
      <c r="AB373" s="173"/>
      <c r="AC373" s="173"/>
      <c r="AD373" s="173"/>
      <c r="AG373" s="173"/>
      <c r="AH373" s="173"/>
      <c r="AI373" s="173"/>
    </row>
    <row r="374" spans="2:35">
      <c r="B374" s="162"/>
      <c r="C374" s="162"/>
      <c r="D374" s="162"/>
      <c r="E374" s="162"/>
      <c r="F374" s="162"/>
      <c r="G374" s="162"/>
      <c r="H374" s="162"/>
      <c r="I374" s="162"/>
      <c r="J374" s="162"/>
      <c r="K374" s="162"/>
      <c r="L374" s="162"/>
      <c r="R374" s="173"/>
      <c r="S374" s="173"/>
      <c r="T374" s="173"/>
      <c r="W374" s="173"/>
      <c r="X374" s="173"/>
      <c r="Y374" s="173"/>
      <c r="AB374" s="173"/>
      <c r="AC374" s="173"/>
      <c r="AD374" s="173"/>
      <c r="AG374" s="173"/>
      <c r="AH374" s="173"/>
      <c r="AI374" s="173"/>
    </row>
    <row r="375" spans="2:35">
      <c r="B375" s="162"/>
      <c r="C375" s="162"/>
      <c r="D375" s="162"/>
      <c r="E375" s="162"/>
      <c r="F375" s="162"/>
      <c r="G375" s="162"/>
      <c r="H375" s="162"/>
      <c r="I375" s="162"/>
      <c r="J375" s="162"/>
      <c r="K375" s="162"/>
      <c r="L375" s="162"/>
      <c r="R375" s="173"/>
      <c r="S375" s="173"/>
      <c r="T375" s="173"/>
      <c r="W375" s="173"/>
      <c r="X375" s="173"/>
      <c r="Y375" s="173"/>
      <c r="AB375" s="173"/>
      <c r="AC375" s="173"/>
      <c r="AD375" s="173"/>
      <c r="AG375" s="173"/>
      <c r="AH375" s="173"/>
      <c r="AI375" s="173"/>
    </row>
    <row r="376" spans="2:35">
      <c r="B376" s="162"/>
      <c r="C376" s="162"/>
      <c r="D376" s="162"/>
      <c r="E376" s="162"/>
      <c r="F376" s="162"/>
      <c r="G376" s="162"/>
      <c r="H376" s="162"/>
      <c r="I376" s="162"/>
      <c r="J376" s="162"/>
      <c r="K376" s="162"/>
      <c r="L376" s="162"/>
      <c r="R376" s="173"/>
      <c r="S376" s="173"/>
      <c r="T376" s="173"/>
      <c r="W376" s="173"/>
      <c r="X376" s="173"/>
      <c r="Y376" s="173"/>
      <c r="AB376" s="173"/>
      <c r="AC376" s="173"/>
      <c r="AD376" s="173"/>
      <c r="AG376" s="173"/>
      <c r="AH376" s="173"/>
      <c r="AI376" s="173"/>
    </row>
    <row r="377" spans="2:35">
      <c r="B377" s="162"/>
      <c r="C377" s="162"/>
      <c r="D377" s="162"/>
      <c r="E377" s="162"/>
      <c r="F377" s="162"/>
      <c r="G377" s="162"/>
      <c r="H377" s="162"/>
      <c r="I377" s="162"/>
      <c r="J377" s="162"/>
      <c r="K377" s="162"/>
      <c r="L377" s="162"/>
      <c r="R377" s="173"/>
      <c r="S377" s="173"/>
      <c r="T377" s="173"/>
      <c r="W377" s="173"/>
      <c r="X377" s="173"/>
      <c r="Y377" s="173"/>
      <c r="AB377" s="173"/>
      <c r="AC377" s="173"/>
      <c r="AD377" s="173"/>
      <c r="AG377" s="173"/>
      <c r="AH377" s="173"/>
      <c r="AI377" s="173"/>
    </row>
    <row r="378" spans="2:35">
      <c r="B378" s="162"/>
      <c r="C378" s="162"/>
      <c r="D378" s="162"/>
      <c r="E378" s="162"/>
      <c r="F378" s="162"/>
      <c r="G378" s="162"/>
      <c r="H378" s="162"/>
      <c r="I378" s="162"/>
      <c r="J378" s="162"/>
      <c r="K378" s="162"/>
      <c r="L378" s="162"/>
      <c r="R378" s="173"/>
      <c r="S378" s="173"/>
      <c r="T378" s="173"/>
      <c r="W378" s="173"/>
      <c r="X378" s="173"/>
      <c r="Y378" s="173"/>
      <c r="AB378" s="173"/>
      <c r="AC378" s="173"/>
      <c r="AD378" s="173"/>
      <c r="AG378" s="173"/>
      <c r="AH378" s="173"/>
      <c r="AI378" s="173"/>
    </row>
    <row r="379" spans="2:35">
      <c r="B379" s="162"/>
      <c r="C379" s="162"/>
      <c r="D379" s="162"/>
      <c r="E379" s="162"/>
      <c r="F379" s="162"/>
      <c r="G379" s="162"/>
      <c r="H379" s="162"/>
      <c r="I379" s="162"/>
      <c r="J379" s="162"/>
      <c r="K379" s="162"/>
      <c r="L379" s="162"/>
      <c r="R379" s="173"/>
      <c r="S379" s="173"/>
      <c r="T379" s="173"/>
      <c r="W379" s="173"/>
      <c r="X379" s="173"/>
      <c r="Y379" s="173"/>
      <c r="AB379" s="173"/>
      <c r="AC379" s="173"/>
      <c r="AD379" s="173"/>
      <c r="AG379" s="173"/>
      <c r="AH379" s="173"/>
      <c r="AI379" s="173"/>
    </row>
    <row r="380" spans="2:35">
      <c r="B380" s="162"/>
      <c r="C380" s="162"/>
      <c r="D380" s="162"/>
      <c r="E380" s="162"/>
      <c r="F380" s="162"/>
      <c r="G380" s="162"/>
      <c r="H380" s="162"/>
      <c r="I380" s="162"/>
      <c r="J380" s="162"/>
      <c r="K380" s="162"/>
      <c r="L380" s="162"/>
      <c r="R380" s="173"/>
      <c r="S380" s="173"/>
      <c r="T380" s="173"/>
      <c r="W380" s="173"/>
      <c r="X380" s="173"/>
      <c r="Y380" s="173"/>
      <c r="AB380" s="173"/>
      <c r="AC380" s="173"/>
      <c r="AD380" s="173"/>
      <c r="AG380" s="173"/>
      <c r="AH380" s="173"/>
      <c r="AI380" s="173"/>
    </row>
    <row r="381" spans="2:35">
      <c r="B381" s="162"/>
      <c r="C381" s="162"/>
      <c r="D381" s="162"/>
      <c r="E381" s="162"/>
      <c r="F381" s="162"/>
      <c r="G381" s="162"/>
      <c r="H381" s="162"/>
      <c r="I381" s="162"/>
      <c r="J381" s="162"/>
      <c r="K381" s="162"/>
      <c r="L381" s="162"/>
      <c r="R381" s="173"/>
      <c r="S381" s="173"/>
      <c r="T381" s="173"/>
      <c r="W381" s="173"/>
      <c r="X381" s="173"/>
      <c r="Y381" s="173"/>
      <c r="AB381" s="173"/>
      <c r="AC381" s="173"/>
      <c r="AD381" s="173"/>
      <c r="AG381" s="173"/>
      <c r="AH381" s="173"/>
      <c r="AI381" s="173"/>
    </row>
    <row r="382" spans="2:35">
      <c r="B382" s="162"/>
      <c r="C382" s="162"/>
      <c r="D382" s="162"/>
      <c r="E382" s="162"/>
      <c r="F382" s="162"/>
      <c r="G382" s="162"/>
      <c r="H382" s="162"/>
      <c r="I382" s="162"/>
      <c r="J382" s="162"/>
      <c r="K382" s="162"/>
      <c r="L382" s="162"/>
      <c r="R382" s="173"/>
      <c r="S382" s="173"/>
      <c r="T382" s="173"/>
      <c r="W382" s="173"/>
      <c r="X382" s="173"/>
      <c r="Y382" s="173"/>
      <c r="AB382" s="173"/>
      <c r="AC382" s="173"/>
      <c r="AD382" s="173"/>
      <c r="AG382" s="173"/>
      <c r="AH382" s="173"/>
      <c r="AI382" s="173"/>
    </row>
    <row r="383" spans="2:35">
      <c r="B383" s="162"/>
      <c r="C383" s="162"/>
      <c r="D383" s="162"/>
      <c r="E383" s="162"/>
      <c r="F383" s="162"/>
      <c r="G383" s="162"/>
      <c r="H383" s="162"/>
      <c r="I383" s="162"/>
      <c r="J383" s="162"/>
      <c r="K383" s="162"/>
      <c r="L383" s="162"/>
      <c r="R383" s="173"/>
      <c r="S383" s="173"/>
      <c r="T383" s="173"/>
      <c r="W383" s="173"/>
      <c r="X383" s="173"/>
      <c r="Y383" s="173"/>
      <c r="AB383" s="173"/>
      <c r="AC383" s="173"/>
      <c r="AD383" s="173"/>
      <c r="AG383" s="173"/>
      <c r="AH383" s="173"/>
      <c r="AI383" s="173"/>
    </row>
    <row r="384" spans="2:35">
      <c r="B384" s="162"/>
      <c r="C384" s="162"/>
      <c r="D384" s="162"/>
      <c r="E384" s="162"/>
      <c r="F384" s="162"/>
      <c r="G384" s="162"/>
      <c r="H384" s="162"/>
      <c r="I384" s="162"/>
      <c r="J384" s="162"/>
      <c r="K384" s="162"/>
      <c r="L384" s="162"/>
      <c r="R384" s="173"/>
      <c r="S384" s="173"/>
      <c r="T384" s="173"/>
      <c r="W384" s="173"/>
      <c r="X384" s="173"/>
      <c r="Y384" s="173"/>
      <c r="AB384" s="173"/>
      <c r="AC384" s="173"/>
      <c r="AD384" s="173"/>
      <c r="AG384" s="173"/>
      <c r="AH384" s="173"/>
      <c r="AI384" s="173"/>
    </row>
    <row r="385" spans="2:35">
      <c r="B385" s="162"/>
      <c r="C385" s="162"/>
      <c r="D385" s="162"/>
      <c r="E385" s="162"/>
      <c r="F385" s="162"/>
      <c r="G385" s="162"/>
      <c r="H385" s="162"/>
      <c r="I385" s="162"/>
      <c r="J385" s="162"/>
      <c r="K385" s="162"/>
      <c r="L385" s="162"/>
      <c r="R385" s="173"/>
      <c r="S385" s="173"/>
      <c r="T385" s="173"/>
      <c r="W385" s="173"/>
      <c r="X385" s="173"/>
      <c r="Y385" s="173"/>
      <c r="AB385" s="173"/>
      <c r="AC385" s="173"/>
      <c r="AD385" s="173"/>
      <c r="AG385" s="173"/>
      <c r="AH385" s="173"/>
      <c r="AI385" s="173"/>
    </row>
    <row r="386" spans="2:35">
      <c r="B386" s="162"/>
      <c r="C386" s="162"/>
      <c r="D386" s="162"/>
      <c r="E386" s="162"/>
      <c r="F386" s="162"/>
      <c r="G386" s="162"/>
      <c r="H386" s="162"/>
      <c r="I386" s="162"/>
      <c r="J386" s="162"/>
      <c r="K386" s="162"/>
      <c r="L386" s="162"/>
      <c r="R386" s="173"/>
      <c r="S386" s="173"/>
      <c r="T386" s="173"/>
      <c r="W386" s="173"/>
      <c r="X386" s="173"/>
      <c r="Y386" s="173"/>
      <c r="AB386" s="173"/>
      <c r="AC386" s="173"/>
      <c r="AD386" s="173"/>
      <c r="AG386" s="173"/>
      <c r="AH386" s="173"/>
      <c r="AI386" s="173"/>
    </row>
    <row r="387" spans="2:35">
      <c r="B387" s="162"/>
      <c r="C387" s="162"/>
      <c r="D387" s="162"/>
      <c r="E387" s="162"/>
      <c r="F387" s="162"/>
      <c r="G387" s="162"/>
      <c r="H387" s="162"/>
      <c r="I387" s="162"/>
      <c r="J387" s="162"/>
      <c r="K387" s="162"/>
      <c r="L387" s="162"/>
      <c r="R387" s="173"/>
      <c r="S387" s="173"/>
      <c r="T387" s="173"/>
      <c r="W387" s="173"/>
      <c r="X387" s="173"/>
      <c r="Y387" s="173"/>
      <c r="AB387" s="173"/>
      <c r="AC387" s="173"/>
      <c r="AD387" s="173"/>
      <c r="AG387" s="173"/>
      <c r="AH387" s="173"/>
      <c r="AI387" s="173"/>
    </row>
    <row r="388" spans="2:35">
      <c r="B388" s="162"/>
      <c r="C388" s="162"/>
      <c r="D388" s="162"/>
      <c r="E388" s="162"/>
      <c r="F388" s="162"/>
      <c r="G388" s="162"/>
      <c r="H388" s="162"/>
      <c r="I388" s="162"/>
      <c r="J388" s="162"/>
      <c r="K388" s="162"/>
      <c r="L388" s="162"/>
      <c r="R388" s="173"/>
      <c r="S388" s="173"/>
      <c r="T388" s="173"/>
      <c r="W388" s="173"/>
      <c r="X388" s="173"/>
      <c r="Y388" s="173"/>
      <c r="AB388" s="173"/>
      <c r="AC388" s="173"/>
      <c r="AD388" s="173"/>
      <c r="AG388" s="173"/>
      <c r="AH388" s="173"/>
      <c r="AI388" s="173"/>
    </row>
    <row r="389" spans="2:35">
      <c r="B389" s="162"/>
      <c r="C389" s="162"/>
      <c r="D389" s="162"/>
      <c r="E389" s="162"/>
      <c r="F389" s="162"/>
      <c r="G389" s="162"/>
      <c r="H389" s="162"/>
      <c r="I389" s="162"/>
      <c r="J389" s="162"/>
      <c r="K389" s="162"/>
      <c r="L389" s="162"/>
      <c r="R389" s="173"/>
      <c r="S389" s="173"/>
      <c r="T389" s="173"/>
      <c r="W389" s="173"/>
      <c r="X389" s="173"/>
      <c r="Y389" s="173"/>
      <c r="AB389" s="173"/>
      <c r="AC389" s="173"/>
      <c r="AD389" s="173"/>
      <c r="AG389" s="173"/>
      <c r="AH389" s="173"/>
      <c r="AI389" s="173"/>
    </row>
    <row r="390" spans="2:35">
      <c r="B390" s="162"/>
      <c r="C390" s="162"/>
      <c r="D390" s="162"/>
      <c r="E390" s="162"/>
      <c r="F390" s="162"/>
      <c r="G390" s="162"/>
      <c r="H390" s="162"/>
      <c r="I390" s="162"/>
      <c r="J390" s="162"/>
      <c r="K390" s="162"/>
      <c r="L390" s="162"/>
      <c r="R390" s="173"/>
      <c r="S390" s="173"/>
      <c r="T390" s="173"/>
      <c r="W390" s="173"/>
      <c r="X390" s="173"/>
      <c r="Y390" s="173"/>
      <c r="AB390" s="173"/>
      <c r="AC390" s="173"/>
      <c r="AD390" s="173"/>
      <c r="AG390" s="173"/>
      <c r="AH390" s="173"/>
      <c r="AI390" s="173"/>
    </row>
    <row r="391" spans="2:35">
      <c r="B391" s="162"/>
      <c r="C391" s="162"/>
      <c r="D391" s="162"/>
      <c r="E391" s="162"/>
      <c r="F391" s="162"/>
      <c r="G391" s="162"/>
      <c r="H391" s="162"/>
      <c r="I391" s="162"/>
      <c r="J391" s="162"/>
      <c r="K391" s="162"/>
      <c r="L391" s="162"/>
      <c r="R391" s="173"/>
      <c r="S391" s="173"/>
      <c r="T391" s="173"/>
      <c r="W391" s="173"/>
      <c r="X391" s="173"/>
      <c r="Y391" s="173"/>
      <c r="AB391" s="173"/>
      <c r="AC391" s="173"/>
      <c r="AD391" s="173"/>
      <c r="AG391" s="173"/>
      <c r="AH391" s="173"/>
      <c r="AI391" s="173"/>
    </row>
    <row r="392" spans="2:35">
      <c r="B392" s="162"/>
      <c r="C392" s="162"/>
      <c r="D392" s="162"/>
      <c r="E392" s="162"/>
      <c r="F392" s="162"/>
      <c r="G392" s="162"/>
      <c r="H392" s="162"/>
      <c r="I392" s="162"/>
      <c r="J392" s="162"/>
      <c r="K392" s="162"/>
      <c r="L392" s="162"/>
      <c r="R392" s="173"/>
      <c r="S392" s="173"/>
      <c r="T392" s="173"/>
      <c r="W392" s="173"/>
      <c r="X392" s="173"/>
      <c r="Y392" s="173"/>
      <c r="AB392" s="173"/>
      <c r="AC392" s="173"/>
      <c r="AD392" s="173"/>
      <c r="AG392" s="173"/>
      <c r="AH392" s="173"/>
      <c r="AI392" s="173"/>
    </row>
    <row r="393" spans="2:35">
      <c r="B393" s="162"/>
      <c r="C393" s="162"/>
      <c r="D393" s="162"/>
      <c r="E393" s="162"/>
      <c r="F393" s="162"/>
      <c r="G393" s="162"/>
      <c r="H393" s="162"/>
      <c r="I393" s="162"/>
      <c r="J393" s="162"/>
      <c r="K393" s="162"/>
      <c r="L393" s="162"/>
      <c r="R393" s="173"/>
      <c r="S393" s="173"/>
      <c r="T393" s="173"/>
      <c r="W393" s="173"/>
      <c r="X393" s="173"/>
      <c r="Y393" s="173"/>
      <c r="AB393" s="173"/>
      <c r="AC393" s="173"/>
      <c r="AD393" s="173"/>
      <c r="AG393" s="173"/>
      <c r="AH393" s="173"/>
      <c r="AI393" s="173"/>
    </row>
    <row r="394" spans="2:35">
      <c r="B394" s="162"/>
      <c r="C394" s="162"/>
      <c r="D394" s="162"/>
      <c r="E394" s="162"/>
      <c r="F394" s="162"/>
      <c r="G394" s="162"/>
      <c r="H394" s="162"/>
      <c r="I394" s="162"/>
      <c r="J394" s="162"/>
      <c r="K394" s="162"/>
      <c r="L394" s="162"/>
      <c r="R394" s="173"/>
      <c r="S394" s="173"/>
      <c r="T394" s="173"/>
      <c r="W394" s="173"/>
      <c r="X394" s="173"/>
      <c r="Y394" s="173"/>
      <c r="AB394" s="173"/>
      <c r="AC394" s="173"/>
      <c r="AD394" s="173"/>
      <c r="AG394" s="173"/>
      <c r="AH394" s="173"/>
      <c r="AI394" s="173"/>
    </row>
    <row r="395" spans="2:35">
      <c r="B395" s="162"/>
      <c r="C395" s="162"/>
      <c r="D395" s="162"/>
      <c r="E395" s="162"/>
      <c r="F395" s="162"/>
      <c r="G395" s="162"/>
      <c r="H395" s="162"/>
      <c r="I395" s="162"/>
      <c r="J395" s="162"/>
      <c r="K395" s="162"/>
      <c r="L395" s="162"/>
      <c r="R395" s="173"/>
      <c r="S395" s="173"/>
      <c r="T395" s="173"/>
      <c r="W395" s="173"/>
      <c r="X395" s="173"/>
      <c r="Y395" s="173"/>
      <c r="AB395" s="173"/>
      <c r="AC395" s="173"/>
      <c r="AD395" s="173"/>
      <c r="AG395" s="173"/>
      <c r="AH395" s="173"/>
      <c r="AI395" s="173"/>
    </row>
    <row r="396" spans="2:35">
      <c r="B396" s="162"/>
      <c r="C396" s="162"/>
      <c r="D396" s="162"/>
      <c r="E396" s="162"/>
      <c r="F396" s="162"/>
      <c r="G396" s="162"/>
      <c r="H396" s="162"/>
      <c r="I396" s="162"/>
      <c r="J396" s="162"/>
      <c r="K396" s="162"/>
      <c r="L396" s="162"/>
      <c r="R396" s="173"/>
      <c r="S396" s="173"/>
      <c r="T396" s="173"/>
      <c r="W396" s="173"/>
      <c r="X396" s="173"/>
      <c r="Y396" s="173"/>
      <c r="AB396" s="173"/>
      <c r="AC396" s="173"/>
      <c r="AD396" s="173"/>
      <c r="AG396" s="173"/>
      <c r="AH396" s="173"/>
      <c r="AI396" s="173"/>
    </row>
    <row r="397" spans="2:35">
      <c r="B397" s="162"/>
      <c r="C397" s="162"/>
      <c r="D397" s="162"/>
      <c r="E397" s="162"/>
      <c r="F397" s="162"/>
      <c r="G397" s="162"/>
      <c r="H397" s="162"/>
      <c r="I397" s="162"/>
      <c r="J397" s="162"/>
      <c r="K397" s="162"/>
      <c r="L397" s="162"/>
      <c r="R397" s="173"/>
      <c r="S397" s="173"/>
      <c r="T397" s="173"/>
      <c r="W397" s="173"/>
      <c r="X397" s="173"/>
      <c r="Y397" s="173"/>
      <c r="AB397" s="173"/>
      <c r="AC397" s="173"/>
      <c r="AD397" s="173"/>
      <c r="AG397" s="173"/>
      <c r="AH397" s="173"/>
      <c r="AI397" s="173"/>
    </row>
    <row r="398" spans="2:35">
      <c r="B398" s="162"/>
      <c r="C398" s="162"/>
      <c r="D398" s="162"/>
      <c r="E398" s="162"/>
      <c r="F398" s="162"/>
      <c r="G398" s="162"/>
      <c r="H398" s="162"/>
      <c r="I398" s="162"/>
      <c r="J398" s="162"/>
      <c r="K398" s="162"/>
      <c r="L398" s="162"/>
      <c r="R398" s="173"/>
      <c r="S398" s="173"/>
      <c r="T398" s="173"/>
      <c r="W398" s="173"/>
      <c r="X398" s="173"/>
      <c r="Y398" s="173"/>
      <c r="AB398" s="173"/>
      <c r="AC398" s="173"/>
      <c r="AD398" s="173"/>
      <c r="AG398" s="173"/>
      <c r="AH398" s="173"/>
      <c r="AI398" s="173"/>
    </row>
    <row r="399" spans="2:35">
      <c r="B399" s="162"/>
      <c r="C399" s="162"/>
      <c r="D399" s="162"/>
      <c r="E399" s="162"/>
      <c r="F399" s="162"/>
      <c r="G399" s="162"/>
      <c r="H399" s="162"/>
      <c r="I399" s="162"/>
      <c r="J399" s="162"/>
      <c r="K399" s="162"/>
      <c r="L399" s="162"/>
      <c r="R399" s="173"/>
      <c r="S399" s="173"/>
      <c r="T399" s="173"/>
      <c r="W399" s="173"/>
      <c r="X399" s="173"/>
      <c r="Y399" s="173"/>
      <c r="AB399" s="173"/>
      <c r="AC399" s="173"/>
      <c r="AD399" s="173"/>
      <c r="AG399" s="173"/>
      <c r="AH399" s="173"/>
      <c r="AI399" s="173"/>
    </row>
    <row r="400" spans="2:35">
      <c r="B400" s="162"/>
      <c r="C400" s="162"/>
      <c r="D400" s="162"/>
      <c r="E400" s="162"/>
      <c r="F400" s="162"/>
      <c r="G400" s="162"/>
      <c r="H400" s="162"/>
      <c r="I400" s="162"/>
      <c r="J400" s="162"/>
      <c r="K400" s="162"/>
      <c r="L400" s="162"/>
      <c r="R400" s="173"/>
      <c r="S400" s="173"/>
      <c r="T400" s="173"/>
      <c r="W400" s="173"/>
      <c r="X400" s="173"/>
      <c r="Y400" s="173"/>
      <c r="AB400" s="173"/>
      <c r="AC400" s="173"/>
      <c r="AD400" s="173"/>
      <c r="AG400" s="173"/>
      <c r="AH400" s="173"/>
      <c r="AI400" s="173"/>
    </row>
    <row r="401" spans="2:35">
      <c r="B401" s="162"/>
      <c r="C401" s="162"/>
      <c r="D401" s="162"/>
      <c r="E401" s="162"/>
      <c r="F401" s="162"/>
      <c r="G401" s="162"/>
      <c r="H401" s="162"/>
      <c r="I401" s="162"/>
      <c r="J401" s="162"/>
      <c r="K401" s="162"/>
      <c r="L401" s="162"/>
      <c r="R401" s="173"/>
      <c r="S401" s="173"/>
      <c r="T401" s="173"/>
      <c r="W401" s="173"/>
      <c r="X401" s="173"/>
      <c r="Y401" s="173"/>
      <c r="AB401" s="173"/>
      <c r="AC401" s="173"/>
      <c r="AD401" s="173"/>
      <c r="AG401" s="173"/>
      <c r="AH401" s="173"/>
      <c r="AI401" s="173"/>
    </row>
    <row r="402" spans="2:35">
      <c r="B402" s="162"/>
      <c r="C402" s="162"/>
      <c r="D402" s="162"/>
      <c r="E402" s="162"/>
      <c r="F402" s="162"/>
      <c r="G402" s="162"/>
      <c r="H402" s="162"/>
      <c r="I402" s="162"/>
      <c r="J402" s="162"/>
      <c r="K402" s="162"/>
      <c r="L402" s="162"/>
      <c r="R402" s="173"/>
      <c r="S402" s="173"/>
      <c r="T402" s="173"/>
      <c r="W402" s="173"/>
      <c r="X402" s="173"/>
      <c r="Y402" s="173"/>
      <c r="AB402" s="173"/>
      <c r="AC402" s="173"/>
      <c r="AD402" s="173"/>
      <c r="AG402" s="173"/>
      <c r="AH402" s="173"/>
      <c r="AI402" s="173"/>
    </row>
    <row r="403" spans="2:35">
      <c r="B403" s="162"/>
      <c r="C403" s="162"/>
      <c r="D403" s="162"/>
      <c r="E403" s="162"/>
      <c r="F403" s="162"/>
      <c r="G403" s="162"/>
      <c r="H403" s="162"/>
      <c r="I403" s="162"/>
      <c r="J403" s="162"/>
      <c r="K403" s="162"/>
      <c r="L403" s="162"/>
      <c r="R403" s="173"/>
      <c r="S403" s="173"/>
      <c r="T403" s="173"/>
      <c r="W403" s="173"/>
      <c r="X403" s="173"/>
      <c r="Y403" s="173"/>
      <c r="AB403" s="173"/>
      <c r="AC403" s="173"/>
      <c r="AD403" s="173"/>
      <c r="AG403" s="173"/>
      <c r="AH403" s="173"/>
      <c r="AI403" s="173"/>
    </row>
    <row r="404" spans="2:35">
      <c r="B404" s="162"/>
      <c r="C404" s="162"/>
      <c r="D404" s="162"/>
      <c r="E404" s="162"/>
      <c r="F404" s="162"/>
      <c r="G404" s="162"/>
      <c r="H404" s="162"/>
      <c r="I404" s="162"/>
      <c r="J404" s="162"/>
      <c r="K404" s="162"/>
      <c r="L404" s="162"/>
      <c r="R404" s="173"/>
      <c r="S404" s="173"/>
      <c r="T404" s="173"/>
      <c r="W404" s="173"/>
      <c r="X404" s="173"/>
      <c r="Y404" s="173"/>
      <c r="AB404" s="173"/>
      <c r="AC404" s="173"/>
      <c r="AD404" s="173"/>
      <c r="AG404" s="173"/>
      <c r="AH404" s="173"/>
      <c r="AI404" s="173"/>
    </row>
    <row r="405" spans="2:35">
      <c r="B405" s="162"/>
      <c r="C405" s="162"/>
      <c r="D405" s="162"/>
      <c r="E405" s="162"/>
      <c r="F405" s="162"/>
      <c r="G405" s="162"/>
      <c r="H405" s="162"/>
      <c r="I405" s="162"/>
      <c r="J405" s="162"/>
      <c r="K405" s="162"/>
      <c r="L405" s="162"/>
      <c r="R405" s="173"/>
      <c r="S405" s="173"/>
      <c r="T405" s="173"/>
      <c r="W405" s="173"/>
      <c r="X405" s="173"/>
      <c r="Y405" s="173"/>
      <c r="AB405" s="173"/>
      <c r="AC405" s="173"/>
      <c r="AD405" s="173"/>
      <c r="AG405" s="173"/>
      <c r="AH405" s="173"/>
      <c r="AI405" s="173"/>
    </row>
    <row r="406" spans="2:35">
      <c r="B406" s="162"/>
      <c r="C406" s="162"/>
      <c r="D406" s="162"/>
      <c r="E406" s="162"/>
      <c r="F406" s="162"/>
      <c r="G406" s="162"/>
      <c r="H406" s="162"/>
      <c r="I406" s="162"/>
      <c r="J406" s="162"/>
      <c r="K406" s="162"/>
      <c r="L406" s="162"/>
      <c r="R406" s="173"/>
      <c r="S406" s="173"/>
      <c r="T406" s="173"/>
      <c r="W406" s="173"/>
      <c r="X406" s="173"/>
      <c r="Y406" s="173"/>
      <c r="AB406" s="173"/>
      <c r="AC406" s="173"/>
      <c r="AD406" s="173"/>
      <c r="AG406" s="173"/>
      <c r="AH406" s="173"/>
      <c r="AI406" s="173"/>
    </row>
    <row r="407" spans="2:35">
      <c r="B407" s="162"/>
      <c r="C407" s="162"/>
      <c r="D407" s="162"/>
      <c r="E407" s="162"/>
      <c r="F407" s="162"/>
      <c r="G407" s="162"/>
      <c r="H407" s="162"/>
      <c r="I407" s="162"/>
      <c r="J407" s="162"/>
      <c r="K407" s="162"/>
      <c r="L407" s="162"/>
      <c r="R407" s="173"/>
      <c r="S407" s="173"/>
      <c r="T407" s="173"/>
      <c r="W407" s="173"/>
      <c r="X407" s="173"/>
      <c r="Y407" s="173"/>
      <c r="AB407" s="173"/>
      <c r="AC407" s="173"/>
      <c r="AD407" s="173"/>
      <c r="AG407" s="173"/>
      <c r="AH407" s="173"/>
      <c r="AI407" s="173"/>
    </row>
    <row r="408" spans="2:35">
      <c r="B408" s="162"/>
      <c r="C408" s="162"/>
      <c r="D408" s="162"/>
      <c r="E408" s="162"/>
      <c r="F408" s="162"/>
      <c r="G408" s="162"/>
      <c r="H408" s="162"/>
      <c r="I408" s="162"/>
      <c r="J408" s="162"/>
      <c r="K408" s="162"/>
      <c r="L408" s="162"/>
      <c r="R408" s="173"/>
      <c r="S408" s="173"/>
      <c r="T408" s="173"/>
      <c r="W408" s="173"/>
      <c r="X408" s="173"/>
      <c r="Y408" s="173"/>
      <c r="AB408" s="173"/>
      <c r="AC408" s="173"/>
      <c r="AD408" s="173"/>
      <c r="AG408" s="173"/>
      <c r="AH408" s="173"/>
      <c r="AI408" s="173"/>
    </row>
    <row r="409" spans="2:35">
      <c r="B409" s="162"/>
      <c r="C409" s="162"/>
      <c r="D409" s="162"/>
      <c r="E409" s="162"/>
      <c r="F409" s="162"/>
      <c r="G409" s="162"/>
      <c r="H409" s="162"/>
      <c r="I409" s="162"/>
      <c r="J409" s="162"/>
      <c r="K409" s="162"/>
      <c r="L409" s="162"/>
      <c r="R409" s="173"/>
      <c r="S409" s="173"/>
      <c r="T409" s="173"/>
      <c r="W409" s="173"/>
      <c r="X409" s="173"/>
      <c r="Y409" s="173"/>
      <c r="AB409" s="173"/>
      <c r="AC409" s="173"/>
      <c r="AD409" s="173"/>
      <c r="AG409" s="173"/>
      <c r="AH409" s="173"/>
      <c r="AI409" s="173"/>
    </row>
    <row r="410" spans="2:35">
      <c r="B410" s="162"/>
      <c r="C410" s="162"/>
      <c r="D410" s="162"/>
      <c r="E410" s="162"/>
      <c r="F410" s="162"/>
      <c r="G410" s="162"/>
      <c r="H410" s="162"/>
      <c r="I410" s="162"/>
      <c r="J410" s="162"/>
      <c r="K410" s="162"/>
      <c r="L410" s="162"/>
      <c r="R410" s="173"/>
      <c r="S410" s="173"/>
      <c r="T410" s="173"/>
      <c r="W410" s="173"/>
      <c r="X410" s="173"/>
      <c r="Y410" s="173"/>
      <c r="AB410" s="173"/>
      <c r="AC410" s="173"/>
      <c r="AD410" s="173"/>
      <c r="AG410" s="173"/>
      <c r="AH410" s="173"/>
      <c r="AI410" s="173"/>
    </row>
    <row r="411" spans="2:35">
      <c r="B411" s="162"/>
      <c r="C411" s="162"/>
      <c r="D411" s="162"/>
      <c r="E411" s="162"/>
      <c r="F411" s="162"/>
      <c r="G411" s="162"/>
      <c r="H411" s="162"/>
      <c r="I411" s="162"/>
      <c r="J411" s="162"/>
      <c r="K411" s="162"/>
      <c r="L411" s="162"/>
      <c r="R411" s="173"/>
      <c r="S411" s="173"/>
      <c r="T411" s="173"/>
      <c r="W411" s="173"/>
      <c r="X411" s="173"/>
      <c r="Y411" s="173"/>
      <c r="AB411" s="173"/>
      <c r="AC411" s="173"/>
      <c r="AD411" s="173"/>
      <c r="AG411" s="173"/>
      <c r="AH411" s="173"/>
      <c r="AI411" s="173"/>
    </row>
    <row r="412" spans="2:35">
      <c r="B412" s="162"/>
      <c r="C412" s="162"/>
      <c r="D412" s="162"/>
      <c r="E412" s="162"/>
      <c r="F412" s="162"/>
      <c r="G412" s="162"/>
      <c r="H412" s="162"/>
      <c r="I412" s="162"/>
      <c r="J412" s="162"/>
      <c r="K412" s="162"/>
      <c r="L412" s="162"/>
      <c r="R412" s="173"/>
      <c r="S412" s="173"/>
      <c r="T412" s="173"/>
      <c r="W412" s="173"/>
      <c r="X412" s="173"/>
      <c r="Y412" s="173"/>
      <c r="AB412" s="173"/>
      <c r="AC412" s="173"/>
      <c r="AD412" s="173"/>
      <c r="AG412" s="173"/>
      <c r="AH412" s="173"/>
      <c r="AI412" s="173"/>
    </row>
    <row r="413" spans="2:35">
      <c r="B413" s="162"/>
      <c r="C413" s="162"/>
      <c r="D413" s="162"/>
      <c r="E413" s="162"/>
      <c r="F413" s="162"/>
      <c r="G413" s="162"/>
      <c r="H413" s="162"/>
      <c r="I413" s="162"/>
      <c r="J413" s="162"/>
      <c r="K413" s="162"/>
      <c r="L413" s="162"/>
      <c r="R413" s="173"/>
      <c r="S413" s="173"/>
      <c r="T413" s="173"/>
      <c r="W413" s="173"/>
      <c r="X413" s="173"/>
      <c r="Y413" s="173"/>
      <c r="AB413" s="173"/>
      <c r="AC413" s="173"/>
      <c r="AD413" s="173"/>
      <c r="AG413" s="173"/>
      <c r="AH413" s="173"/>
      <c r="AI413" s="173"/>
    </row>
    <row r="414" spans="2:35">
      <c r="B414" s="162"/>
      <c r="C414" s="162"/>
      <c r="D414" s="162"/>
      <c r="E414" s="162"/>
      <c r="F414" s="162"/>
      <c r="G414" s="162"/>
      <c r="H414" s="162"/>
      <c r="I414" s="162"/>
      <c r="J414" s="162"/>
      <c r="K414" s="162"/>
      <c r="L414" s="162"/>
      <c r="R414" s="173"/>
      <c r="S414" s="173"/>
      <c r="T414" s="173"/>
      <c r="W414" s="173"/>
      <c r="X414" s="173"/>
      <c r="Y414" s="173"/>
      <c r="AB414" s="173"/>
      <c r="AC414" s="173"/>
      <c r="AD414" s="173"/>
      <c r="AG414" s="173"/>
      <c r="AH414" s="173"/>
      <c r="AI414" s="173"/>
    </row>
    <row r="415" spans="2:35">
      <c r="B415" s="162"/>
      <c r="C415" s="162"/>
      <c r="D415" s="162"/>
      <c r="E415" s="162"/>
      <c r="F415" s="162"/>
      <c r="G415" s="162"/>
      <c r="H415" s="162"/>
      <c r="I415" s="162"/>
      <c r="J415" s="162"/>
      <c r="K415" s="162"/>
      <c r="L415" s="162"/>
      <c r="R415" s="173"/>
      <c r="S415" s="173"/>
      <c r="T415" s="173"/>
      <c r="W415" s="173"/>
      <c r="X415" s="173"/>
      <c r="Y415" s="173"/>
      <c r="AB415" s="173"/>
      <c r="AC415" s="173"/>
      <c r="AD415" s="173"/>
      <c r="AG415" s="173"/>
      <c r="AH415" s="173"/>
      <c r="AI415" s="173"/>
    </row>
    <row r="416" spans="2:35">
      <c r="B416" s="162"/>
      <c r="C416" s="162"/>
      <c r="D416" s="162"/>
      <c r="E416" s="162"/>
      <c r="F416" s="162"/>
      <c r="G416" s="162"/>
      <c r="H416" s="162"/>
      <c r="I416" s="162"/>
      <c r="J416" s="162"/>
      <c r="K416" s="162"/>
      <c r="L416" s="162"/>
      <c r="R416" s="173"/>
      <c r="S416" s="173"/>
      <c r="T416" s="173"/>
      <c r="W416" s="173"/>
      <c r="X416" s="173"/>
      <c r="Y416" s="173"/>
      <c r="AB416" s="173"/>
      <c r="AC416" s="173"/>
      <c r="AD416" s="173"/>
      <c r="AG416" s="173"/>
      <c r="AH416" s="173"/>
      <c r="AI416" s="173"/>
    </row>
    <row r="417" spans="2:35">
      <c r="B417" s="162"/>
      <c r="C417" s="162"/>
      <c r="D417" s="162"/>
      <c r="E417" s="162"/>
      <c r="F417" s="162"/>
      <c r="G417" s="162"/>
      <c r="H417" s="162"/>
      <c r="I417" s="162"/>
      <c r="J417" s="162"/>
      <c r="K417" s="162"/>
      <c r="L417" s="162"/>
      <c r="R417" s="173"/>
      <c r="S417" s="173"/>
      <c r="T417" s="173"/>
      <c r="W417" s="173"/>
      <c r="X417" s="173"/>
      <c r="Y417" s="173"/>
      <c r="AB417" s="173"/>
      <c r="AC417" s="173"/>
      <c r="AD417" s="173"/>
      <c r="AG417" s="173"/>
      <c r="AH417" s="173"/>
      <c r="AI417" s="173"/>
    </row>
    <row r="418" spans="2:35">
      <c r="B418" s="162"/>
      <c r="C418" s="162"/>
      <c r="D418" s="162"/>
      <c r="E418" s="162"/>
      <c r="F418" s="162"/>
      <c r="G418" s="162"/>
      <c r="H418" s="162"/>
      <c r="I418" s="162"/>
      <c r="J418" s="162"/>
      <c r="K418" s="162"/>
      <c r="L418" s="162"/>
      <c r="R418" s="173"/>
      <c r="S418" s="173"/>
      <c r="T418" s="173"/>
      <c r="W418" s="173"/>
      <c r="X418" s="173"/>
      <c r="Y418" s="173"/>
      <c r="AB418" s="173"/>
      <c r="AC418" s="173"/>
      <c r="AD418" s="173"/>
      <c r="AG418" s="173"/>
      <c r="AH418" s="173"/>
      <c r="AI418" s="173"/>
    </row>
    <row r="419" spans="2:35">
      <c r="B419" s="162"/>
      <c r="C419" s="162"/>
      <c r="D419" s="162"/>
      <c r="E419" s="162"/>
      <c r="F419" s="162"/>
      <c r="G419" s="162"/>
      <c r="H419" s="162"/>
      <c r="I419" s="162"/>
      <c r="J419" s="162"/>
      <c r="K419" s="162"/>
      <c r="L419" s="162"/>
      <c r="R419" s="173"/>
      <c r="S419" s="173"/>
      <c r="T419" s="173"/>
      <c r="W419" s="173"/>
      <c r="X419" s="173"/>
      <c r="Y419" s="173"/>
      <c r="AB419" s="173"/>
      <c r="AC419" s="173"/>
      <c r="AD419" s="173"/>
      <c r="AG419" s="173"/>
      <c r="AH419" s="173"/>
      <c r="AI419" s="173"/>
    </row>
    <row r="420" spans="2:35">
      <c r="B420" s="162"/>
      <c r="C420" s="162"/>
      <c r="D420" s="162"/>
      <c r="E420" s="162"/>
      <c r="F420" s="162"/>
      <c r="G420" s="162"/>
      <c r="H420" s="162"/>
      <c r="I420" s="162"/>
      <c r="J420" s="162"/>
      <c r="K420" s="162"/>
      <c r="L420" s="162"/>
      <c r="R420" s="173"/>
      <c r="S420" s="173"/>
      <c r="T420" s="173"/>
      <c r="W420" s="173"/>
      <c r="X420" s="173"/>
      <c r="Y420" s="173"/>
      <c r="AB420" s="173"/>
      <c r="AC420" s="173"/>
      <c r="AD420" s="173"/>
      <c r="AG420" s="173"/>
      <c r="AH420" s="173"/>
      <c r="AI420" s="173"/>
    </row>
    <row r="421" spans="2:35">
      <c r="B421" s="162"/>
      <c r="C421" s="162"/>
      <c r="D421" s="162"/>
      <c r="E421" s="162"/>
      <c r="F421" s="162"/>
      <c r="G421" s="162"/>
      <c r="H421" s="162"/>
      <c r="I421" s="162"/>
      <c r="J421" s="162"/>
      <c r="K421" s="162"/>
      <c r="L421" s="162"/>
      <c r="R421" s="173"/>
      <c r="S421" s="173"/>
      <c r="T421" s="173"/>
      <c r="W421" s="173"/>
      <c r="X421" s="173"/>
      <c r="Y421" s="173"/>
      <c r="AB421" s="173"/>
      <c r="AC421" s="173"/>
      <c r="AD421" s="173"/>
      <c r="AG421" s="173"/>
      <c r="AH421" s="173"/>
      <c r="AI421" s="173"/>
    </row>
    <row r="422" spans="2:35">
      <c r="B422" s="162"/>
      <c r="C422" s="162"/>
      <c r="D422" s="162"/>
      <c r="E422" s="162"/>
      <c r="F422" s="162"/>
      <c r="G422" s="162"/>
      <c r="H422" s="162"/>
      <c r="I422" s="162"/>
      <c r="J422" s="162"/>
      <c r="K422" s="162"/>
      <c r="L422" s="162"/>
      <c r="R422" s="173"/>
      <c r="S422" s="173"/>
      <c r="T422" s="173"/>
      <c r="W422" s="173"/>
      <c r="X422" s="173"/>
      <c r="Y422" s="173"/>
      <c r="AB422" s="173"/>
      <c r="AC422" s="173"/>
      <c r="AD422" s="173"/>
      <c r="AG422" s="173"/>
      <c r="AH422" s="173"/>
      <c r="AI422" s="173"/>
    </row>
    <row r="423" spans="2:35">
      <c r="B423" s="162"/>
      <c r="C423" s="162"/>
      <c r="D423" s="162"/>
      <c r="E423" s="162"/>
      <c r="F423" s="162"/>
      <c r="G423" s="162"/>
      <c r="H423" s="162"/>
      <c r="I423" s="162"/>
      <c r="J423" s="162"/>
      <c r="K423" s="162"/>
      <c r="L423" s="162"/>
      <c r="R423" s="173"/>
      <c r="S423" s="173"/>
      <c r="T423" s="173"/>
      <c r="W423" s="173"/>
      <c r="X423" s="173"/>
      <c r="Y423" s="173"/>
      <c r="AB423" s="173"/>
      <c r="AC423" s="173"/>
      <c r="AD423" s="173"/>
      <c r="AG423" s="173"/>
      <c r="AH423" s="173"/>
      <c r="AI423" s="173"/>
    </row>
    <row r="424" spans="2:35">
      <c r="B424" s="162"/>
      <c r="C424" s="162"/>
      <c r="D424" s="162"/>
      <c r="E424" s="162"/>
      <c r="F424" s="162"/>
      <c r="G424" s="162"/>
      <c r="H424" s="162"/>
      <c r="I424" s="162"/>
      <c r="J424" s="162"/>
      <c r="K424" s="162"/>
      <c r="L424" s="162"/>
      <c r="R424" s="173"/>
      <c r="S424" s="173"/>
      <c r="T424" s="173"/>
      <c r="W424" s="173"/>
      <c r="X424" s="173"/>
      <c r="Y424" s="173"/>
      <c r="AB424" s="173"/>
      <c r="AC424" s="173"/>
      <c r="AD424" s="173"/>
      <c r="AG424" s="173"/>
      <c r="AH424" s="173"/>
      <c r="AI424" s="173"/>
    </row>
    <row r="425" spans="2:35">
      <c r="B425" s="162"/>
      <c r="C425" s="162"/>
      <c r="D425" s="162"/>
      <c r="E425" s="162"/>
      <c r="F425" s="162"/>
      <c r="G425" s="162"/>
      <c r="H425" s="162"/>
      <c r="I425" s="162"/>
      <c r="J425" s="162"/>
      <c r="K425" s="162"/>
      <c r="L425" s="162"/>
      <c r="R425" s="173"/>
      <c r="S425" s="173"/>
      <c r="T425" s="173"/>
      <c r="W425" s="173"/>
      <c r="X425" s="173"/>
      <c r="Y425" s="173"/>
      <c r="AB425" s="173"/>
      <c r="AC425" s="173"/>
      <c r="AD425" s="173"/>
      <c r="AG425" s="173"/>
      <c r="AH425" s="173"/>
      <c r="AI425" s="173"/>
    </row>
    <row r="426" spans="2:35">
      <c r="B426" s="162"/>
      <c r="C426" s="162"/>
      <c r="D426" s="162"/>
      <c r="E426" s="162"/>
      <c r="F426" s="162"/>
      <c r="G426" s="162"/>
      <c r="H426" s="162"/>
      <c r="I426" s="162"/>
      <c r="J426" s="162"/>
      <c r="K426" s="162"/>
      <c r="L426" s="162"/>
      <c r="R426" s="173"/>
      <c r="S426" s="173"/>
      <c r="T426" s="173"/>
      <c r="W426" s="173"/>
      <c r="X426" s="173"/>
      <c r="Y426" s="173"/>
      <c r="AB426" s="173"/>
      <c r="AC426" s="173"/>
      <c r="AD426" s="173"/>
      <c r="AG426" s="173"/>
      <c r="AH426" s="173"/>
      <c r="AI426" s="173"/>
    </row>
    <row r="427" spans="2:35">
      <c r="B427" s="162"/>
      <c r="C427" s="162"/>
      <c r="D427" s="162"/>
      <c r="E427" s="162"/>
      <c r="F427" s="162"/>
      <c r="G427" s="162"/>
      <c r="H427" s="162"/>
      <c r="I427" s="162"/>
      <c r="J427" s="162"/>
      <c r="K427" s="162"/>
      <c r="L427" s="162"/>
      <c r="R427" s="173"/>
      <c r="S427" s="173"/>
      <c r="T427" s="173"/>
      <c r="W427" s="173"/>
      <c r="X427" s="173"/>
      <c r="Y427" s="173"/>
      <c r="AB427" s="173"/>
      <c r="AC427" s="173"/>
      <c r="AD427" s="173"/>
      <c r="AG427" s="173"/>
      <c r="AH427" s="173"/>
      <c r="AI427" s="173"/>
    </row>
    <row r="428" spans="2:35">
      <c r="B428" s="162"/>
      <c r="C428" s="162"/>
      <c r="D428" s="162"/>
      <c r="E428" s="162"/>
      <c r="F428" s="162"/>
      <c r="G428" s="162"/>
      <c r="H428" s="162"/>
      <c r="I428" s="162"/>
      <c r="J428" s="162"/>
      <c r="K428" s="162"/>
      <c r="L428" s="162"/>
      <c r="R428" s="173"/>
      <c r="S428" s="173"/>
      <c r="T428" s="173"/>
      <c r="W428" s="173"/>
      <c r="X428" s="173"/>
      <c r="Y428" s="173"/>
      <c r="AB428" s="173"/>
      <c r="AC428" s="173"/>
      <c r="AD428" s="173"/>
      <c r="AG428" s="173"/>
      <c r="AH428" s="173"/>
      <c r="AI428" s="173"/>
    </row>
    <row r="429" spans="2:35">
      <c r="B429" s="162"/>
      <c r="C429" s="162"/>
      <c r="D429" s="162"/>
      <c r="E429" s="162"/>
      <c r="F429" s="162"/>
      <c r="G429" s="162"/>
      <c r="H429" s="162"/>
      <c r="I429" s="162"/>
      <c r="J429" s="162"/>
      <c r="K429" s="162"/>
      <c r="L429" s="162"/>
      <c r="R429" s="173"/>
      <c r="S429" s="173"/>
      <c r="T429" s="173"/>
      <c r="W429" s="173"/>
      <c r="X429" s="173"/>
      <c r="Y429" s="173"/>
      <c r="AB429" s="173"/>
      <c r="AC429" s="173"/>
      <c r="AD429" s="173"/>
      <c r="AG429" s="173"/>
      <c r="AH429" s="173"/>
      <c r="AI429" s="173"/>
    </row>
    <row r="430" spans="2:35">
      <c r="B430" s="162"/>
      <c r="C430" s="162"/>
      <c r="D430" s="162"/>
      <c r="E430" s="162"/>
      <c r="F430" s="162"/>
      <c r="G430" s="162"/>
      <c r="H430" s="162"/>
      <c r="I430" s="162"/>
      <c r="J430" s="162"/>
      <c r="K430" s="162"/>
      <c r="L430" s="162"/>
      <c r="R430" s="173"/>
      <c r="S430" s="173"/>
      <c r="T430" s="173"/>
      <c r="W430" s="173"/>
      <c r="X430" s="173"/>
      <c r="Y430" s="173"/>
      <c r="AB430" s="173"/>
      <c r="AC430" s="173"/>
      <c r="AD430" s="173"/>
      <c r="AG430" s="173"/>
      <c r="AH430" s="173"/>
      <c r="AI430" s="173"/>
    </row>
    <row r="431" spans="2:35">
      <c r="B431" s="162"/>
      <c r="C431" s="162"/>
      <c r="D431" s="162"/>
      <c r="E431" s="162"/>
      <c r="F431" s="162"/>
      <c r="G431" s="162"/>
      <c r="H431" s="162"/>
      <c r="I431" s="162"/>
      <c r="J431" s="162"/>
      <c r="K431" s="162"/>
      <c r="L431" s="162"/>
      <c r="R431" s="173"/>
      <c r="S431" s="173"/>
      <c r="T431" s="173"/>
      <c r="W431" s="173"/>
      <c r="X431" s="173"/>
      <c r="Y431" s="173"/>
      <c r="AB431" s="173"/>
      <c r="AC431" s="173"/>
      <c r="AD431" s="173"/>
      <c r="AG431" s="173"/>
      <c r="AH431" s="173"/>
      <c r="AI431" s="173"/>
    </row>
    <row r="432" spans="2:35">
      <c r="B432" s="162"/>
      <c r="C432" s="162"/>
      <c r="D432" s="162"/>
      <c r="E432" s="162"/>
      <c r="F432" s="162"/>
      <c r="G432" s="162"/>
      <c r="H432" s="162"/>
      <c r="I432" s="162"/>
      <c r="J432" s="162"/>
      <c r="K432" s="162"/>
      <c r="L432" s="162"/>
      <c r="R432" s="173"/>
      <c r="S432" s="173"/>
      <c r="T432" s="173"/>
      <c r="W432" s="173"/>
      <c r="X432" s="173"/>
      <c r="Y432" s="173"/>
      <c r="AB432" s="173"/>
      <c r="AC432" s="173"/>
      <c r="AD432" s="173"/>
      <c r="AG432" s="173"/>
      <c r="AH432" s="173"/>
      <c r="AI432" s="173"/>
    </row>
    <row r="433" spans="2:35">
      <c r="B433" s="162"/>
      <c r="C433" s="162"/>
      <c r="D433" s="162"/>
      <c r="E433" s="162"/>
      <c r="F433" s="162"/>
      <c r="G433" s="162"/>
      <c r="H433" s="162"/>
      <c r="I433" s="162"/>
      <c r="J433" s="162"/>
      <c r="K433" s="162"/>
      <c r="L433" s="162"/>
      <c r="R433" s="173"/>
      <c r="S433" s="173"/>
      <c r="T433" s="173"/>
      <c r="W433" s="173"/>
      <c r="X433" s="173"/>
      <c r="Y433" s="173"/>
      <c r="AB433" s="173"/>
      <c r="AC433" s="173"/>
      <c r="AD433" s="173"/>
      <c r="AG433" s="173"/>
      <c r="AH433" s="173"/>
      <c r="AI433" s="173"/>
    </row>
    <row r="434" spans="2:35">
      <c r="B434" s="162"/>
      <c r="C434" s="162"/>
      <c r="D434" s="162"/>
      <c r="E434" s="162"/>
      <c r="F434" s="162"/>
      <c r="G434" s="162"/>
      <c r="H434" s="162"/>
      <c r="I434" s="162"/>
      <c r="J434" s="162"/>
      <c r="K434" s="162"/>
      <c r="L434" s="162"/>
      <c r="R434" s="173"/>
      <c r="S434" s="173"/>
      <c r="T434" s="173"/>
      <c r="W434" s="173"/>
      <c r="X434" s="173"/>
      <c r="Y434" s="173"/>
      <c r="AB434" s="173"/>
      <c r="AC434" s="173"/>
      <c r="AD434" s="173"/>
      <c r="AG434" s="173"/>
      <c r="AH434" s="173"/>
      <c r="AI434" s="173"/>
    </row>
    <row r="435" spans="2:35">
      <c r="B435" s="162"/>
      <c r="C435" s="162"/>
      <c r="D435" s="162"/>
      <c r="E435" s="162"/>
      <c r="F435" s="162"/>
      <c r="G435" s="162"/>
      <c r="H435" s="162"/>
      <c r="I435" s="162"/>
      <c r="J435" s="162"/>
      <c r="K435" s="162"/>
      <c r="L435" s="162"/>
      <c r="R435" s="173"/>
      <c r="S435" s="173"/>
      <c r="T435" s="173"/>
      <c r="W435" s="173"/>
      <c r="X435" s="173"/>
      <c r="Y435" s="173"/>
      <c r="AB435" s="173"/>
      <c r="AC435" s="173"/>
      <c r="AD435" s="173"/>
      <c r="AG435" s="173"/>
      <c r="AH435" s="173"/>
      <c r="AI435" s="173"/>
    </row>
    <row r="436" spans="2:35">
      <c r="B436" s="162"/>
      <c r="C436" s="162"/>
      <c r="D436" s="162"/>
      <c r="E436" s="162"/>
      <c r="F436" s="162"/>
      <c r="G436" s="162"/>
      <c r="H436" s="162"/>
      <c r="I436" s="162"/>
      <c r="J436" s="162"/>
      <c r="K436" s="162"/>
      <c r="L436" s="162"/>
      <c r="R436" s="173"/>
      <c r="S436" s="173"/>
      <c r="T436" s="173"/>
      <c r="W436" s="173"/>
      <c r="X436" s="173"/>
      <c r="Y436" s="173"/>
      <c r="AB436" s="173"/>
      <c r="AC436" s="173"/>
      <c r="AD436" s="173"/>
      <c r="AG436" s="173"/>
      <c r="AH436" s="173"/>
      <c r="AI436" s="173"/>
    </row>
    <row r="437" spans="2:35">
      <c r="B437" s="162"/>
      <c r="C437" s="162"/>
      <c r="D437" s="162"/>
      <c r="E437" s="162"/>
      <c r="F437" s="162"/>
      <c r="G437" s="162"/>
      <c r="H437" s="162"/>
      <c r="I437" s="162"/>
      <c r="J437" s="162"/>
      <c r="K437" s="162"/>
      <c r="L437" s="162"/>
      <c r="R437" s="173"/>
      <c r="S437" s="173"/>
      <c r="T437" s="173"/>
      <c r="W437" s="173"/>
      <c r="X437" s="173"/>
      <c r="Y437" s="173"/>
      <c r="AB437" s="173"/>
      <c r="AC437" s="173"/>
      <c r="AD437" s="173"/>
      <c r="AG437" s="173"/>
      <c r="AH437" s="173"/>
      <c r="AI437" s="173"/>
    </row>
    <row r="438" spans="2:35">
      <c r="B438" s="162"/>
      <c r="C438" s="162"/>
      <c r="D438" s="162"/>
      <c r="E438" s="162"/>
      <c r="F438" s="162"/>
      <c r="G438" s="162"/>
      <c r="H438" s="162"/>
      <c r="I438" s="162"/>
      <c r="J438" s="162"/>
      <c r="K438" s="162"/>
      <c r="L438" s="162"/>
      <c r="R438" s="173"/>
      <c r="S438" s="173"/>
      <c r="T438" s="173"/>
      <c r="W438" s="173"/>
      <c r="X438" s="173"/>
      <c r="Y438" s="173"/>
      <c r="AB438" s="173"/>
      <c r="AC438" s="173"/>
      <c r="AD438" s="173"/>
      <c r="AG438" s="173"/>
      <c r="AH438" s="173"/>
      <c r="AI438" s="173"/>
    </row>
    <row r="439" spans="2:35">
      <c r="B439" s="162"/>
      <c r="C439" s="162"/>
      <c r="D439" s="162"/>
      <c r="E439" s="162"/>
      <c r="F439" s="162"/>
      <c r="G439" s="162"/>
      <c r="H439" s="162"/>
      <c r="I439" s="162"/>
      <c r="J439" s="162"/>
      <c r="K439" s="162"/>
      <c r="L439" s="162"/>
      <c r="R439" s="173"/>
      <c r="S439" s="173"/>
      <c r="T439" s="173"/>
      <c r="W439" s="173"/>
      <c r="X439" s="173"/>
      <c r="Y439" s="173"/>
      <c r="AB439" s="173"/>
      <c r="AC439" s="173"/>
      <c r="AD439" s="173"/>
      <c r="AG439" s="173"/>
      <c r="AH439" s="173"/>
      <c r="AI439" s="173"/>
    </row>
    <row r="440" spans="2:35">
      <c r="B440" s="162"/>
      <c r="C440" s="162"/>
      <c r="D440" s="162"/>
      <c r="E440" s="162"/>
      <c r="F440" s="162"/>
      <c r="G440" s="162"/>
      <c r="H440" s="162"/>
      <c r="I440" s="162"/>
      <c r="J440" s="162"/>
      <c r="K440" s="162"/>
      <c r="L440" s="162"/>
      <c r="R440" s="173"/>
      <c r="S440" s="173"/>
      <c r="T440" s="173"/>
      <c r="W440" s="173"/>
      <c r="X440" s="173"/>
      <c r="Y440" s="173"/>
      <c r="AB440" s="173"/>
      <c r="AC440" s="173"/>
      <c r="AD440" s="173"/>
      <c r="AG440" s="173"/>
      <c r="AH440" s="173"/>
      <c r="AI440" s="173"/>
    </row>
    <row r="441" spans="2:35">
      <c r="B441" s="162"/>
      <c r="C441" s="162"/>
      <c r="D441" s="162"/>
      <c r="E441" s="162"/>
      <c r="F441" s="162"/>
      <c r="G441" s="162"/>
      <c r="H441" s="162"/>
      <c r="I441" s="162"/>
      <c r="J441" s="162"/>
      <c r="K441" s="162"/>
      <c r="L441" s="162"/>
      <c r="R441" s="173"/>
      <c r="S441" s="173"/>
      <c r="T441" s="173"/>
      <c r="W441" s="173"/>
      <c r="X441" s="173"/>
      <c r="Y441" s="173"/>
      <c r="AB441" s="173"/>
      <c r="AC441" s="173"/>
      <c r="AD441" s="173"/>
      <c r="AG441" s="173"/>
      <c r="AH441" s="173"/>
      <c r="AI441" s="173"/>
    </row>
    <row r="442" spans="2:35">
      <c r="B442" s="162"/>
      <c r="C442" s="162"/>
      <c r="D442" s="162"/>
      <c r="E442" s="162"/>
      <c r="F442" s="162"/>
      <c r="G442" s="162"/>
      <c r="H442" s="162"/>
      <c r="I442" s="162"/>
      <c r="J442" s="162"/>
      <c r="K442" s="162"/>
      <c r="L442" s="162"/>
      <c r="R442" s="173"/>
      <c r="S442" s="173"/>
      <c r="T442" s="173"/>
      <c r="W442" s="173"/>
      <c r="X442" s="173"/>
      <c r="Y442" s="173"/>
      <c r="AB442" s="173"/>
      <c r="AC442" s="173"/>
      <c r="AD442" s="173"/>
      <c r="AG442" s="173"/>
      <c r="AH442" s="173"/>
      <c r="AI442" s="173"/>
    </row>
    <row r="443" spans="2:35">
      <c r="B443" s="162"/>
      <c r="C443" s="162"/>
      <c r="D443" s="162"/>
      <c r="E443" s="162"/>
      <c r="F443" s="162"/>
      <c r="G443" s="162"/>
      <c r="H443" s="162"/>
      <c r="I443" s="162"/>
      <c r="J443" s="162"/>
      <c r="K443" s="162"/>
      <c r="L443" s="162"/>
      <c r="R443" s="173"/>
      <c r="S443" s="173"/>
      <c r="T443" s="173"/>
      <c r="W443" s="173"/>
      <c r="X443" s="173"/>
      <c r="Y443" s="173"/>
      <c r="AB443" s="173"/>
      <c r="AC443" s="173"/>
      <c r="AD443" s="173"/>
      <c r="AG443" s="173"/>
      <c r="AH443" s="173"/>
      <c r="AI443" s="173"/>
    </row>
    <row r="444" spans="2:35">
      <c r="B444" s="162"/>
      <c r="C444" s="162"/>
      <c r="D444" s="162"/>
      <c r="E444" s="162"/>
      <c r="F444" s="162"/>
      <c r="G444" s="162"/>
      <c r="H444" s="162"/>
      <c r="I444" s="162"/>
      <c r="J444" s="162"/>
      <c r="K444" s="162"/>
      <c r="L444" s="162"/>
      <c r="R444" s="173"/>
      <c r="S444" s="173"/>
      <c r="T444" s="173"/>
      <c r="W444" s="173"/>
      <c r="X444" s="173"/>
      <c r="Y444" s="173"/>
      <c r="AB444" s="173"/>
      <c r="AC444" s="173"/>
      <c r="AD444" s="173"/>
      <c r="AG444" s="173"/>
      <c r="AH444" s="173"/>
      <c r="AI444" s="173"/>
    </row>
    <row r="445" spans="2:35">
      <c r="B445" s="162"/>
      <c r="C445" s="162"/>
      <c r="D445" s="162"/>
      <c r="E445" s="162"/>
      <c r="F445" s="162"/>
      <c r="G445" s="162"/>
      <c r="H445" s="162"/>
      <c r="I445" s="162"/>
      <c r="J445" s="162"/>
      <c r="K445" s="162"/>
      <c r="L445" s="162"/>
      <c r="R445" s="173"/>
      <c r="S445" s="173"/>
      <c r="T445" s="173"/>
      <c r="W445" s="173"/>
      <c r="X445" s="173"/>
      <c r="Y445" s="173"/>
      <c r="AB445" s="173"/>
      <c r="AC445" s="173"/>
      <c r="AD445" s="173"/>
      <c r="AG445" s="173"/>
      <c r="AH445" s="173"/>
      <c r="AI445" s="173"/>
    </row>
    <row r="446" spans="2:35">
      <c r="B446" s="162"/>
      <c r="C446" s="162"/>
      <c r="D446" s="162"/>
      <c r="E446" s="162"/>
      <c r="F446" s="162"/>
      <c r="G446" s="162"/>
      <c r="H446" s="162"/>
      <c r="I446" s="162"/>
      <c r="J446" s="162"/>
      <c r="K446" s="162"/>
      <c r="L446" s="162"/>
      <c r="R446" s="173"/>
      <c r="S446" s="173"/>
      <c r="T446" s="173"/>
      <c r="W446" s="173"/>
      <c r="X446" s="173"/>
      <c r="Y446" s="173"/>
      <c r="AB446" s="173"/>
      <c r="AC446" s="173"/>
      <c r="AD446" s="173"/>
      <c r="AG446" s="173"/>
      <c r="AH446" s="173"/>
      <c r="AI446" s="173"/>
    </row>
    <row r="447" spans="2:35">
      <c r="B447" s="162"/>
      <c r="C447" s="162"/>
      <c r="D447" s="162"/>
      <c r="E447" s="162"/>
      <c r="F447" s="162"/>
      <c r="G447" s="162"/>
      <c r="H447" s="162"/>
      <c r="I447" s="162"/>
      <c r="J447" s="162"/>
      <c r="K447" s="162"/>
      <c r="L447" s="162"/>
      <c r="R447" s="173"/>
      <c r="S447" s="173"/>
      <c r="T447" s="173"/>
      <c r="W447" s="173"/>
      <c r="X447" s="173"/>
      <c r="Y447" s="173"/>
      <c r="AB447" s="173"/>
      <c r="AC447" s="173"/>
      <c r="AD447" s="173"/>
      <c r="AG447" s="173"/>
      <c r="AH447" s="173"/>
      <c r="AI447" s="173"/>
    </row>
    <row r="448" spans="2:35">
      <c r="B448" s="162"/>
      <c r="C448" s="162"/>
      <c r="D448" s="162"/>
      <c r="E448" s="162"/>
      <c r="F448" s="162"/>
      <c r="G448" s="162"/>
      <c r="H448" s="162"/>
      <c r="I448" s="162"/>
      <c r="J448" s="162"/>
      <c r="K448" s="162"/>
      <c r="L448" s="162"/>
      <c r="R448" s="173"/>
      <c r="S448" s="173"/>
      <c r="T448" s="173"/>
      <c r="W448" s="173"/>
      <c r="X448" s="173"/>
      <c r="Y448" s="173"/>
      <c r="AB448" s="173"/>
      <c r="AC448" s="173"/>
      <c r="AD448" s="173"/>
      <c r="AG448" s="173"/>
      <c r="AH448" s="173"/>
      <c r="AI448" s="173"/>
    </row>
    <row r="449" spans="2:35">
      <c r="B449" s="162"/>
      <c r="C449" s="162"/>
      <c r="D449" s="162"/>
      <c r="E449" s="162"/>
      <c r="F449" s="162"/>
      <c r="G449" s="162"/>
      <c r="H449" s="162"/>
      <c r="I449" s="162"/>
      <c r="J449" s="162"/>
      <c r="K449" s="162"/>
      <c r="L449" s="162"/>
      <c r="R449" s="173"/>
      <c r="S449" s="173"/>
      <c r="T449" s="173"/>
      <c r="W449" s="173"/>
      <c r="X449" s="173"/>
      <c r="Y449" s="173"/>
      <c r="AB449" s="173"/>
      <c r="AC449" s="173"/>
      <c r="AD449" s="173"/>
      <c r="AG449" s="173"/>
      <c r="AH449" s="173"/>
      <c r="AI449" s="173"/>
    </row>
    <row r="450" spans="2:35">
      <c r="B450" s="162"/>
      <c r="C450" s="162"/>
      <c r="D450" s="162"/>
      <c r="E450" s="162"/>
      <c r="F450" s="162"/>
      <c r="G450" s="162"/>
      <c r="H450" s="162"/>
      <c r="I450" s="162"/>
      <c r="J450" s="162"/>
      <c r="K450" s="162"/>
      <c r="L450" s="162"/>
      <c r="R450" s="173"/>
      <c r="S450" s="173"/>
      <c r="T450" s="173"/>
      <c r="W450" s="173"/>
      <c r="X450" s="173"/>
      <c r="Y450" s="173"/>
      <c r="AB450" s="173"/>
      <c r="AC450" s="173"/>
      <c r="AD450" s="173"/>
      <c r="AG450" s="173"/>
      <c r="AH450" s="173"/>
      <c r="AI450" s="173"/>
    </row>
    <row r="451" spans="2:35">
      <c r="B451" s="162"/>
      <c r="C451" s="162"/>
      <c r="D451" s="162"/>
      <c r="E451" s="162"/>
      <c r="F451" s="162"/>
      <c r="G451" s="162"/>
      <c r="H451" s="162"/>
      <c r="I451" s="162"/>
      <c r="J451" s="162"/>
      <c r="K451" s="162"/>
      <c r="L451" s="162"/>
      <c r="R451" s="173"/>
      <c r="S451" s="173"/>
      <c r="T451" s="173"/>
      <c r="W451" s="173"/>
      <c r="X451" s="173"/>
      <c r="Y451" s="173"/>
      <c r="AB451" s="173"/>
      <c r="AC451" s="173"/>
      <c r="AD451" s="173"/>
      <c r="AG451" s="173"/>
      <c r="AH451" s="173"/>
      <c r="AI451" s="173"/>
    </row>
    <row r="452" spans="2:35">
      <c r="B452" s="162"/>
      <c r="C452" s="162"/>
      <c r="D452" s="162"/>
      <c r="E452" s="162"/>
      <c r="F452" s="162"/>
      <c r="G452" s="162"/>
      <c r="H452" s="162"/>
      <c r="I452" s="162"/>
      <c r="J452" s="162"/>
      <c r="K452" s="162"/>
      <c r="L452" s="162"/>
      <c r="R452" s="173"/>
      <c r="S452" s="173"/>
      <c r="T452" s="173"/>
      <c r="W452" s="173"/>
      <c r="X452" s="173"/>
      <c r="Y452" s="173"/>
      <c r="AB452" s="173"/>
      <c r="AC452" s="173"/>
      <c r="AD452" s="173"/>
      <c r="AG452" s="173"/>
      <c r="AH452" s="173"/>
      <c r="AI452" s="173"/>
    </row>
    <row r="453" spans="2:35">
      <c r="B453" s="162"/>
      <c r="C453" s="162"/>
      <c r="D453" s="162"/>
      <c r="E453" s="162"/>
      <c r="F453" s="162"/>
      <c r="G453" s="162"/>
      <c r="H453" s="162"/>
      <c r="I453" s="162"/>
      <c r="J453" s="162"/>
      <c r="K453" s="162"/>
      <c r="L453" s="162"/>
      <c r="AG453" s="173"/>
      <c r="AH453" s="173"/>
      <c r="AI453" s="173"/>
    </row>
    <row r="454" spans="2:35">
      <c r="B454" s="162"/>
      <c r="C454" s="162"/>
      <c r="D454" s="162"/>
      <c r="E454" s="162"/>
      <c r="F454" s="162"/>
      <c r="G454" s="162"/>
      <c r="H454" s="162"/>
      <c r="I454" s="162"/>
      <c r="J454" s="162"/>
      <c r="K454" s="162"/>
      <c r="L454" s="162"/>
    </row>
    <row r="455" spans="2:35">
      <c r="B455" s="162"/>
      <c r="C455" s="162"/>
      <c r="D455" s="162"/>
      <c r="E455" s="162"/>
      <c r="F455" s="162"/>
      <c r="G455" s="162"/>
      <c r="H455" s="162"/>
      <c r="I455" s="162"/>
      <c r="J455" s="162"/>
      <c r="K455" s="162"/>
      <c r="L455" s="162"/>
    </row>
    <row r="456" spans="2:35">
      <c r="B456" s="162"/>
      <c r="C456" s="162"/>
      <c r="D456" s="162"/>
      <c r="E456" s="162"/>
      <c r="F456" s="162"/>
      <c r="G456" s="162"/>
      <c r="H456" s="162"/>
      <c r="I456" s="162"/>
      <c r="J456" s="162"/>
      <c r="K456" s="162"/>
      <c r="L456" s="162"/>
    </row>
    <row r="457" spans="2:35">
      <c r="B457" s="162"/>
      <c r="C457" s="162"/>
      <c r="D457" s="162"/>
      <c r="E457" s="162"/>
      <c r="F457" s="162"/>
      <c r="G457" s="162"/>
      <c r="H457" s="162"/>
      <c r="I457" s="162"/>
      <c r="J457" s="162"/>
      <c r="K457" s="162"/>
      <c r="L457" s="162"/>
    </row>
    <row r="458" spans="2:35">
      <c r="B458" s="162"/>
      <c r="C458" s="162"/>
      <c r="D458" s="162"/>
      <c r="E458" s="162"/>
      <c r="F458" s="162"/>
      <c r="G458" s="162"/>
      <c r="H458" s="162"/>
      <c r="I458" s="162"/>
      <c r="J458" s="162"/>
      <c r="K458" s="162"/>
      <c r="L458" s="162"/>
    </row>
    <row r="459" spans="2:35">
      <c r="B459" s="162"/>
      <c r="C459" s="162"/>
      <c r="D459" s="162"/>
      <c r="E459" s="162"/>
      <c r="F459" s="162"/>
      <c r="G459" s="162"/>
      <c r="H459" s="162"/>
      <c r="I459" s="162"/>
      <c r="J459" s="162"/>
      <c r="K459" s="162"/>
      <c r="L459" s="162"/>
    </row>
    <row r="460" spans="2:35">
      <c r="B460" s="162"/>
      <c r="C460" s="162"/>
      <c r="D460" s="162"/>
      <c r="E460" s="162"/>
      <c r="F460" s="162"/>
      <c r="G460" s="162"/>
      <c r="H460" s="162"/>
      <c r="I460" s="162"/>
      <c r="J460" s="162"/>
      <c r="K460" s="162"/>
      <c r="L460" s="162"/>
    </row>
    <row r="461" spans="2:35">
      <c r="B461" s="162"/>
      <c r="C461" s="162"/>
      <c r="D461" s="162"/>
      <c r="E461" s="162"/>
      <c r="F461" s="162"/>
      <c r="G461" s="162"/>
      <c r="H461" s="162"/>
      <c r="I461" s="162"/>
      <c r="J461" s="162"/>
      <c r="K461" s="162"/>
      <c r="L461" s="162"/>
    </row>
    <row r="462" spans="2:35">
      <c r="B462" s="162"/>
      <c r="C462" s="162"/>
      <c r="D462" s="162"/>
      <c r="E462" s="162"/>
      <c r="F462" s="162"/>
      <c r="G462" s="162"/>
      <c r="H462" s="162"/>
      <c r="I462" s="162"/>
      <c r="J462" s="162"/>
      <c r="K462" s="162"/>
      <c r="L462" s="162"/>
    </row>
    <row r="463" spans="2:35">
      <c r="B463" s="162"/>
      <c r="C463" s="162"/>
      <c r="D463" s="162"/>
      <c r="E463" s="162"/>
      <c r="F463" s="162"/>
      <c r="G463" s="162"/>
      <c r="H463" s="162"/>
      <c r="I463" s="162"/>
      <c r="J463" s="162"/>
      <c r="K463" s="162"/>
      <c r="L463" s="162"/>
    </row>
    <row r="464" spans="2:35">
      <c r="B464" s="162"/>
      <c r="C464" s="162"/>
      <c r="D464" s="162"/>
      <c r="E464" s="162"/>
      <c r="F464" s="162"/>
      <c r="G464" s="162"/>
      <c r="H464" s="162"/>
      <c r="I464" s="162"/>
      <c r="J464" s="162"/>
      <c r="K464" s="162"/>
      <c r="L464" s="162"/>
    </row>
    <row r="465" spans="2:12">
      <c r="B465" s="162"/>
      <c r="C465" s="162"/>
      <c r="D465" s="162"/>
      <c r="E465" s="162"/>
      <c r="F465" s="162"/>
      <c r="G465" s="162"/>
      <c r="H465" s="162"/>
      <c r="I465" s="162"/>
      <c r="J465" s="162"/>
      <c r="K465" s="162"/>
      <c r="L465" s="162"/>
    </row>
    <row r="466" spans="2:12">
      <c r="B466" s="162"/>
      <c r="C466" s="162"/>
      <c r="D466" s="162"/>
      <c r="E466" s="162"/>
      <c r="F466" s="162"/>
      <c r="G466" s="162"/>
      <c r="H466" s="162"/>
      <c r="I466" s="162"/>
      <c r="J466" s="162"/>
      <c r="K466" s="162"/>
      <c r="L466" s="162"/>
    </row>
    <row r="467" spans="2:12">
      <c r="B467" s="162"/>
      <c r="C467" s="162"/>
      <c r="D467" s="162"/>
      <c r="E467" s="162"/>
      <c r="F467" s="162"/>
      <c r="G467" s="162"/>
      <c r="H467" s="162"/>
      <c r="I467" s="162"/>
      <c r="J467" s="162"/>
      <c r="K467" s="162"/>
      <c r="L467" s="162"/>
    </row>
    <row r="468" spans="2:12">
      <c r="B468" s="162"/>
      <c r="C468" s="162"/>
      <c r="D468" s="162"/>
      <c r="E468" s="162"/>
      <c r="F468" s="162"/>
      <c r="G468" s="162"/>
      <c r="H468" s="162"/>
      <c r="I468" s="162"/>
      <c r="J468" s="162"/>
      <c r="K468" s="162"/>
      <c r="L468" s="162"/>
    </row>
    <row r="469" spans="2:12">
      <c r="B469" s="162"/>
      <c r="C469" s="162"/>
      <c r="D469" s="162"/>
      <c r="E469" s="162"/>
      <c r="F469" s="162"/>
      <c r="G469" s="162"/>
      <c r="H469" s="162"/>
      <c r="I469" s="162"/>
      <c r="J469" s="162"/>
      <c r="K469" s="162"/>
      <c r="L469" s="162"/>
    </row>
    <row r="470" spans="2:12">
      <c r="B470" s="162"/>
      <c r="C470" s="162"/>
      <c r="D470" s="162"/>
      <c r="E470" s="162"/>
      <c r="F470" s="162"/>
      <c r="G470" s="162"/>
      <c r="H470" s="162"/>
      <c r="I470" s="162"/>
      <c r="J470" s="162"/>
      <c r="K470" s="162"/>
      <c r="L470" s="162"/>
    </row>
    <row r="471" spans="2:12">
      <c r="B471" s="162"/>
      <c r="C471" s="162"/>
      <c r="D471" s="162"/>
      <c r="E471" s="162"/>
      <c r="F471" s="162"/>
      <c r="G471" s="162"/>
      <c r="H471" s="162"/>
      <c r="I471" s="162"/>
      <c r="J471" s="162"/>
      <c r="K471" s="162"/>
      <c r="L471" s="162"/>
    </row>
    <row r="472" spans="2:12">
      <c r="B472" s="162"/>
      <c r="C472" s="162"/>
      <c r="D472" s="162"/>
      <c r="E472" s="162"/>
      <c r="F472" s="162"/>
      <c r="G472" s="162"/>
      <c r="H472" s="162"/>
      <c r="I472" s="162"/>
      <c r="J472" s="162"/>
      <c r="K472" s="162"/>
      <c r="L472" s="162"/>
    </row>
    <row r="473" spans="2:12">
      <c r="B473" s="162"/>
      <c r="C473" s="162"/>
      <c r="D473" s="162"/>
      <c r="E473" s="162"/>
      <c r="F473" s="162"/>
      <c r="G473" s="162"/>
      <c r="H473" s="162"/>
      <c r="I473" s="162"/>
      <c r="J473" s="162"/>
      <c r="K473" s="162"/>
      <c r="L473" s="162"/>
    </row>
    <row r="474" spans="2:12">
      <c r="B474" s="162"/>
      <c r="C474" s="162"/>
      <c r="D474" s="162"/>
      <c r="E474" s="162"/>
      <c r="F474" s="162"/>
      <c r="G474" s="162"/>
      <c r="H474" s="162"/>
      <c r="I474" s="162"/>
      <c r="J474" s="162"/>
      <c r="K474" s="162"/>
      <c r="L474" s="162"/>
    </row>
    <row r="475" spans="2:12">
      <c r="B475" s="162"/>
      <c r="C475" s="162"/>
      <c r="D475" s="162"/>
      <c r="E475" s="162"/>
      <c r="F475" s="162"/>
      <c r="G475" s="162"/>
      <c r="H475" s="162"/>
      <c r="I475" s="162"/>
      <c r="J475" s="162"/>
      <c r="K475" s="162"/>
      <c r="L475" s="162"/>
    </row>
    <row r="476" spans="2:12">
      <c r="B476" s="162"/>
      <c r="C476" s="162"/>
      <c r="D476" s="162"/>
      <c r="E476" s="162"/>
      <c r="F476" s="162"/>
      <c r="G476" s="162"/>
      <c r="H476" s="162"/>
      <c r="I476" s="162"/>
      <c r="J476" s="162"/>
      <c r="K476" s="162"/>
      <c r="L476" s="162"/>
    </row>
    <row r="477" spans="2:12">
      <c r="B477" s="162"/>
      <c r="C477" s="162"/>
      <c r="D477" s="162"/>
      <c r="E477" s="162"/>
      <c r="F477" s="162"/>
      <c r="G477" s="162"/>
      <c r="H477" s="162"/>
      <c r="I477" s="162"/>
      <c r="J477" s="162"/>
      <c r="K477" s="162"/>
      <c r="L477" s="162"/>
    </row>
    <row r="478" spans="2:12">
      <c r="B478" s="162"/>
      <c r="C478" s="162"/>
      <c r="D478" s="162"/>
      <c r="E478" s="162"/>
      <c r="F478" s="162"/>
      <c r="G478" s="162"/>
      <c r="H478" s="162"/>
      <c r="I478" s="162"/>
      <c r="J478" s="162"/>
      <c r="K478" s="162"/>
      <c r="L478" s="162"/>
    </row>
    <row r="479" spans="2:12">
      <c r="B479" s="162"/>
      <c r="C479" s="162"/>
      <c r="D479" s="162"/>
      <c r="E479" s="162"/>
      <c r="F479" s="162"/>
      <c r="G479" s="162"/>
      <c r="H479" s="162"/>
      <c r="I479" s="162"/>
      <c r="J479" s="162"/>
      <c r="K479" s="162"/>
      <c r="L479" s="162"/>
    </row>
    <row r="480" spans="2:12">
      <c r="B480" s="162"/>
      <c r="C480" s="162"/>
      <c r="D480" s="162"/>
      <c r="E480" s="162"/>
      <c r="F480" s="162"/>
      <c r="G480" s="162"/>
      <c r="H480" s="162"/>
      <c r="I480" s="162"/>
      <c r="J480" s="162"/>
      <c r="K480" s="162"/>
      <c r="L480" s="162"/>
    </row>
    <row r="481" spans="2:12">
      <c r="B481" s="162"/>
      <c r="C481" s="162"/>
      <c r="D481" s="162"/>
      <c r="E481" s="162"/>
      <c r="F481" s="162"/>
      <c r="G481" s="162"/>
      <c r="H481" s="162"/>
      <c r="I481" s="162"/>
      <c r="J481" s="162"/>
      <c r="K481" s="162"/>
      <c r="L481" s="162"/>
    </row>
    <row r="482" spans="2:12">
      <c r="B482" s="162"/>
      <c r="C482" s="162"/>
      <c r="D482" s="162"/>
      <c r="E482" s="162"/>
      <c r="F482" s="162"/>
      <c r="G482" s="162"/>
      <c r="H482" s="162"/>
      <c r="I482" s="162"/>
      <c r="J482" s="162"/>
      <c r="K482" s="162"/>
      <c r="L482" s="162"/>
    </row>
    <row r="483" spans="2:12">
      <c r="B483" s="162"/>
      <c r="C483" s="162"/>
      <c r="D483" s="162"/>
      <c r="E483" s="162"/>
      <c r="F483" s="162"/>
      <c r="G483" s="162"/>
      <c r="H483" s="162"/>
      <c r="I483" s="162"/>
      <c r="J483" s="162"/>
      <c r="K483" s="162"/>
      <c r="L483" s="162"/>
    </row>
    <row r="484" spans="2:12">
      <c r="B484" s="162"/>
      <c r="C484" s="162"/>
      <c r="D484" s="162"/>
      <c r="E484" s="162"/>
      <c r="F484" s="162"/>
      <c r="G484" s="162"/>
      <c r="H484" s="162"/>
      <c r="I484" s="162"/>
      <c r="J484" s="162"/>
      <c r="K484" s="162"/>
      <c r="L484" s="162"/>
    </row>
    <row r="485" spans="2:12">
      <c r="B485" s="162"/>
      <c r="C485" s="162"/>
      <c r="D485" s="162"/>
      <c r="E485" s="162"/>
      <c r="F485" s="162"/>
      <c r="G485" s="162"/>
      <c r="H485" s="162"/>
      <c r="I485" s="162"/>
      <c r="J485" s="162"/>
      <c r="K485" s="162"/>
      <c r="L485" s="162"/>
    </row>
    <row r="486" spans="2:12">
      <c r="B486" s="162"/>
      <c r="C486" s="162"/>
      <c r="D486" s="162"/>
      <c r="E486" s="162"/>
      <c r="F486" s="162"/>
      <c r="G486" s="162"/>
      <c r="H486" s="162"/>
      <c r="I486" s="162"/>
      <c r="J486" s="162"/>
      <c r="K486" s="162"/>
      <c r="L486" s="162"/>
    </row>
    <row r="487" spans="2:12">
      <c r="B487" s="162"/>
      <c r="C487" s="162"/>
      <c r="D487" s="162"/>
      <c r="E487" s="162"/>
      <c r="F487" s="162"/>
      <c r="G487" s="162"/>
      <c r="H487" s="162"/>
      <c r="I487" s="162"/>
      <c r="J487" s="162"/>
      <c r="K487" s="162"/>
      <c r="L487" s="162"/>
    </row>
    <row r="488" spans="2:12">
      <c r="B488" s="162"/>
      <c r="C488" s="162"/>
      <c r="D488" s="162"/>
      <c r="E488" s="162"/>
      <c r="F488" s="162"/>
      <c r="G488" s="162"/>
      <c r="H488" s="162"/>
      <c r="I488" s="162"/>
      <c r="J488" s="162"/>
      <c r="K488" s="162"/>
      <c r="L488" s="162"/>
    </row>
    <row r="489" spans="2:12">
      <c r="B489" s="162"/>
      <c r="C489" s="162"/>
      <c r="D489" s="162"/>
      <c r="E489" s="162"/>
      <c r="F489" s="162"/>
      <c r="G489" s="162"/>
      <c r="H489" s="162"/>
      <c r="I489" s="162"/>
      <c r="J489" s="162"/>
      <c r="K489" s="162"/>
      <c r="L489" s="162"/>
    </row>
    <row r="490" spans="2:12">
      <c r="B490" s="162"/>
      <c r="C490" s="162"/>
      <c r="D490" s="162"/>
      <c r="E490" s="162"/>
      <c r="F490" s="162"/>
      <c r="G490" s="162"/>
      <c r="H490" s="162"/>
      <c r="I490" s="162"/>
      <c r="J490" s="162"/>
      <c r="K490" s="162"/>
      <c r="L490" s="162"/>
    </row>
    <row r="491" spans="2:12">
      <c r="B491" s="162"/>
      <c r="C491" s="162"/>
      <c r="D491" s="162"/>
      <c r="E491" s="162"/>
      <c r="F491" s="162"/>
      <c r="G491" s="162"/>
      <c r="H491" s="162"/>
      <c r="I491" s="162"/>
      <c r="J491" s="162"/>
      <c r="K491" s="162"/>
      <c r="L491" s="162"/>
    </row>
    <row r="492" spans="2:12">
      <c r="B492" s="162"/>
      <c r="C492" s="162"/>
      <c r="D492" s="162"/>
      <c r="E492" s="162"/>
      <c r="F492" s="162"/>
      <c r="G492" s="162"/>
      <c r="H492" s="162"/>
      <c r="I492" s="162"/>
      <c r="J492" s="162"/>
      <c r="K492" s="162"/>
      <c r="L492" s="162"/>
    </row>
    <row r="493" spans="2:12">
      <c r="B493" s="162"/>
      <c r="C493" s="162"/>
      <c r="D493" s="162"/>
      <c r="E493" s="162"/>
      <c r="F493" s="162"/>
      <c r="G493" s="162"/>
      <c r="H493" s="162"/>
      <c r="I493" s="162"/>
      <c r="J493" s="162"/>
      <c r="K493" s="162"/>
      <c r="L493" s="162"/>
    </row>
    <row r="494" spans="2:12">
      <c r="B494" s="162"/>
      <c r="C494" s="162"/>
      <c r="D494" s="162"/>
      <c r="E494" s="162"/>
      <c r="F494" s="162"/>
      <c r="G494" s="162"/>
      <c r="H494" s="162"/>
      <c r="I494" s="162"/>
      <c r="J494" s="162"/>
      <c r="K494" s="162"/>
      <c r="L494" s="162"/>
    </row>
    <row r="495" spans="2:12">
      <c r="B495" s="162"/>
      <c r="C495" s="162"/>
      <c r="D495" s="162"/>
      <c r="E495" s="162"/>
      <c r="F495" s="162"/>
      <c r="G495" s="162"/>
      <c r="H495" s="162"/>
      <c r="I495" s="162"/>
      <c r="J495" s="162"/>
      <c r="K495" s="162"/>
      <c r="L495" s="162"/>
    </row>
    <row r="496" spans="2:12">
      <c r="B496" s="162"/>
      <c r="C496" s="162"/>
      <c r="D496" s="162"/>
      <c r="E496" s="162"/>
      <c r="F496" s="162"/>
      <c r="G496" s="162"/>
      <c r="H496" s="162"/>
      <c r="I496" s="162"/>
      <c r="J496" s="162"/>
      <c r="K496" s="162"/>
      <c r="L496" s="162"/>
    </row>
    <row r="497" spans="2:12">
      <c r="B497" s="162"/>
      <c r="C497" s="162"/>
      <c r="D497" s="162"/>
      <c r="E497" s="162"/>
      <c r="F497" s="162"/>
      <c r="G497" s="162"/>
      <c r="H497" s="162"/>
      <c r="I497" s="162"/>
      <c r="J497" s="162"/>
      <c r="K497" s="162"/>
      <c r="L497" s="162"/>
    </row>
    <row r="498" spans="2:12">
      <c r="B498" s="162"/>
      <c r="C498" s="162"/>
      <c r="D498" s="162"/>
      <c r="E498" s="162"/>
      <c r="F498" s="162"/>
      <c r="G498" s="162"/>
      <c r="H498" s="162"/>
      <c r="I498" s="162"/>
      <c r="J498" s="162"/>
      <c r="K498" s="162"/>
      <c r="L498" s="162"/>
    </row>
    <row r="499" spans="2:12">
      <c r="B499" s="162"/>
      <c r="C499" s="162"/>
      <c r="D499" s="162"/>
      <c r="E499" s="162"/>
      <c r="F499" s="162"/>
      <c r="G499" s="162"/>
      <c r="H499" s="162"/>
      <c r="I499" s="162"/>
      <c r="J499" s="162"/>
      <c r="K499" s="162"/>
      <c r="L499" s="162"/>
    </row>
    <row r="500" spans="2:12">
      <c r="B500" s="162"/>
      <c r="C500" s="162"/>
      <c r="D500" s="162"/>
      <c r="E500" s="162"/>
      <c r="F500" s="162"/>
      <c r="G500" s="162"/>
      <c r="H500" s="162"/>
      <c r="I500" s="162"/>
      <c r="J500" s="162"/>
      <c r="K500" s="162"/>
      <c r="L500" s="162"/>
    </row>
    <row r="501" spans="2:12">
      <c r="B501" s="162"/>
      <c r="C501" s="162"/>
      <c r="D501" s="162"/>
      <c r="E501" s="162"/>
      <c r="F501" s="162"/>
      <c r="G501" s="162"/>
      <c r="H501" s="162"/>
      <c r="I501" s="162"/>
      <c r="J501" s="162"/>
      <c r="K501" s="162"/>
      <c r="L501" s="162"/>
    </row>
    <row r="502" spans="2:12">
      <c r="B502" s="162"/>
      <c r="C502" s="162"/>
      <c r="D502" s="162"/>
      <c r="E502" s="162"/>
      <c r="F502" s="162"/>
      <c r="G502" s="162"/>
      <c r="H502" s="162"/>
      <c r="I502" s="162"/>
      <c r="J502" s="162"/>
      <c r="K502" s="162"/>
      <c r="L502" s="162"/>
    </row>
    <row r="503" spans="2:12">
      <c r="B503" s="162"/>
      <c r="C503" s="162"/>
      <c r="D503" s="162"/>
      <c r="E503" s="162"/>
      <c r="F503" s="162"/>
      <c r="G503" s="162"/>
      <c r="H503" s="162"/>
      <c r="I503" s="162"/>
      <c r="J503" s="162"/>
      <c r="K503" s="162"/>
      <c r="L503" s="162"/>
    </row>
    <row r="504" spans="2:12">
      <c r="B504" s="162"/>
      <c r="C504" s="162"/>
      <c r="D504" s="162"/>
      <c r="E504" s="162"/>
      <c r="F504" s="162"/>
      <c r="G504" s="162"/>
      <c r="H504" s="162"/>
      <c r="I504" s="162"/>
      <c r="J504" s="162"/>
      <c r="K504" s="162"/>
      <c r="L504" s="162"/>
    </row>
    <row r="505" spans="2:12">
      <c r="B505" s="162"/>
      <c r="C505" s="162"/>
      <c r="D505" s="162"/>
      <c r="E505" s="162"/>
      <c r="F505" s="162"/>
      <c r="G505" s="162"/>
      <c r="H505" s="162"/>
      <c r="I505" s="162"/>
      <c r="J505" s="162"/>
      <c r="K505" s="162"/>
      <c r="L505" s="162"/>
    </row>
    <row r="506" spans="2:12">
      <c r="B506" s="162"/>
      <c r="C506" s="162"/>
      <c r="D506" s="162"/>
      <c r="E506" s="162"/>
      <c r="F506" s="162"/>
      <c r="G506" s="162"/>
      <c r="H506" s="162"/>
      <c r="I506" s="162"/>
      <c r="J506" s="162"/>
      <c r="K506" s="162"/>
      <c r="L506" s="162"/>
    </row>
    <row r="507" spans="2:12">
      <c r="B507" s="162"/>
      <c r="C507" s="162"/>
      <c r="D507" s="162"/>
      <c r="E507" s="162"/>
      <c r="F507" s="162"/>
      <c r="G507" s="162"/>
      <c r="H507" s="162"/>
      <c r="I507" s="162"/>
      <c r="J507" s="162"/>
      <c r="K507" s="162"/>
      <c r="L507" s="162"/>
    </row>
    <row r="508" spans="2:12">
      <c r="B508" s="162"/>
      <c r="C508" s="162"/>
      <c r="D508" s="162"/>
      <c r="E508" s="162"/>
      <c r="F508" s="162"/>
      <c r="G508" s="162"/>
      <c r="H508" s="162"/>
      <c r="I508" s="162"/>
      <c r="J508" s="162"/>
      <c r="K508" s="162"/>
      <c r="L508" s="162"/>
    </row>
    <row r="509" spans="2:12">
      <c r="B509" s="162"/>
      <c r="C509" s="162"/>
      <c r="D509" s="162"/>
      <c r="E509" s="162"/>
      <c r="F509" s="162"/>
      <c r="G509" s="162"/>
      <c r="H509" s="162"/>
      <c r="I509" s="162"/>
      <c r="J509" s="162"/>
      <c r="K509" s="162"/>
      <c r="L509" s="162"/>
    </row>
    <row r="510" spans="2:12">
      <c r="B510" s="162"/>
      <c r="C510" s="162"/>
      <c r="D510" s="162"/>
      <c r="E510" s="162"/>
      <c r="F510" s="162"/>
      <c r="G510" s="162"/>
      <c r="H510" s="162"/>
      <c r="I510" s="162"/>
      <c r="J510" s="162"/>
      <c r="K510" s="162"/>
      <c r="L510" s="162"/>
    </row>
    <row r="511" spans="2:12">
      <c r="B511" s="162"/>
      <c r="C511" s="162"/>
      <c r="D511" s="162"/>
      <c r="E511" s="162"/>
      <c r="F511" s="162"/>
      <c r="G511" s="162"/>
      <c r="H511" s="162"/>
      <c r="I511" s="162"/>
      <c r="J511" s="162"/>
      <c r="K511" s="162"/>
      <c r="L511" s="162"/>
    </row>
    <row r="512" spans="2:12">
      <c r="B512" s="162"/>
      <c r="C512" s="162"/>
      <c r="D512" s="162"/>
      <c r="E512" s="162"/>
      <c r="F512" s="162"/>
      <c r="G512" s="162"/>
      <c r="H512" s="162"/>
      <c r="I512" s="162"/>
      <c r="J512" s="162"/>
      <c r="K512" s="162"/>
      <c r="L512" s="162"/>
    </row>
    <row r="513" spans="2:12">
      <c r="B513" s="162"/>
      <c r="C513" s="162"/>
      <c r="D513" s="162"/>
      <c r="E513" s="162"/>
      <c r="F513" s="162"/>
      <c r="G513" s="162"/>
      <c r="H513" s="162"/>
      <c r="I513" s="162"/>
      <c r="J513" s="162"/>
      <c r="K513" s="162"/>
      <c r="L513" s="162"/>
    </row>
    <row r="514" spans="2:12">
      <c r="B514" s="162"/>
      <c r="C514" s="162"/>
      <c r="D514" s="162"/>
      <c r="E514" s="162"/>
      <c r="F514" s="162"/>
      <c r="G514" s="162"/>
      <c r="H514" s="162"/>
      <c r="I514" s="162"/>
      <c r="J514" s="162"/>
      <c r="K514" s="162"/>
      <c r="L514" s="162"/>
    </row>
    <row r="515" spans="2:12">
      <c r="B515" s="162"/>
      <c r="C515" s="162"/>
      <c r="D515" s="162"/>
      <c r="E515" s="162"/>
      <c r="F515" s="162"/>
      <c r="G515" s="162"/>
      <c r="H515" s="162"/>
      <c r="I515" s="162"/>
      <c r="J515" s="162"/>
      <c r="K515" s="162"/>
      <c r="L515" s="162"/>
    </row>
    <row r="516" spans="2:12">
      <c r="B516" s="162"/>
      <c r="C516" s="162"/>
      <c r="D516" s="162"/>
      <c r="E516" s="162"/>
      <c r="F516" s="162"/>
      <c r="G516" s="162"/>
      <c r="H516" s="162"/>
      <c r="I516" s="162"/>
      <c r="J516" s="162"/>
      <c r="K516" s="162"/>
      <c r="L516" s="162"/>
    </row>
    <row r="517" spans="2:12">
      <c r="B517" s="162"/>
      <c r="C517" s="162"/>
      <c r="D517" s="162"/>
      <c r="E517" s="162"/>
      <c r="F517" s="162"/>
      <c r="G517" s="162"/>
      <c r="H517" s="162"/>
      <c r="I517" s="162"/>
      <c r="J517" s="162"/>
      <c r="K517" s="162"/>
      <c r="L517" s="162"/>
    </row>
    <row r="518" spans="2:12">
      <c r="B518" s="162"/>
      <c r="C518" s="162"/>
      <c r="D518" s="162"/>
      <c r="E518" s="162"/>
      <c r="F518" s="162"/>
      <c r="G518" s="162"/>
      <c r="H518" s="162"/>
      <c r="I518" s="162"/>
      <c r="J518" s="162"/>
      <c r="K518" s="162"/>
      <c r="L518" s="162"/>
    </row>
    <row r="519" spans="2:12">
      <c r="B519" s="162"/>
      <c r="C519" s="162"/>
      <c r="D519" s="162"/>
      <c r="E519" s="162"/>
      <c r="F519" s="162"/>
      <c r="G519" s="162"/>
      <c r="H519" s="162"/>
      <c r="I519" s="162"/>
      <c r="J519" s="162"/>
      <c r="K519" s="162"/>
      <c r="L519" s="162"/>
    </row>
    <row r="520" spans="2:12">
      <c r="B520" s="162"/>
      <c r="C520" s="162"/>
      <c r="D520" s="162"/>
      <c r="E520" s="162"/>
      <c r="F520" s="162"/>
      <c r="G520" s="162"/>
      <c r="H520" s="162"/>
      <c r="I520" s="162"/>
      <c r="J520" s="162"/>
      <c r="K520" s="162"/>
      <c r="L520" s="162"/>
    </row>
    <row r="521" spans="2:12">
      <c r="B521" s="162"/>
      <c r="C521" s="162"/>
      <c r="D521" s="162"/>
      <c r="E521" s="162"/>
      <c r="F521" s="162"/>
      <c r="G521" s="162"/>
      <c r="H521" s="162"/>
      <c r="I521" s="162"/>
      <c r="J521" s="162"/>
      <c r="K521" s="162"/>
      <c r="L521" s="162"/>
    </row>
    <row r="522" spans="2:12">
      <c r="B522" s="162"/>
      <c r="C522" s="162"/>
      <c r="D522" s="162"/>
      <c r="E522" s="162"/>
      <c r="F522" s="162"/>
      <c r="G522" s="162"/>
      <c r="H522" s="162"/>
      <c r="I522" s="162"/>
      <c r="J522" s="162"/>
      <c r="K522" s="162"/>
      <c r="L522" s="162"/>
    </row>
    <row r="523" spans="2:12">
      <c r="B523" s="162"/>
      <c r="C523" s="162"/>
      <c r="D523" s="162"/>
      <c r="E523" s="162"/>
      <c r="F523" s="162"/>
      <c r="G523" s="162"/>
      <c r="H523" s="162"/>
      <c r="I523" s="162"/>
      <c r="J523" s="162"/>
      <c r="K523" s="162"/>
      <c r="L523" s="162"/>
    </row>
    <row r="524" spans="2:12">
      <c r="B524" s="162"/>
      <c r="C524" s="162"/>
      <c r="D524" s="162"/>
      <c r="E524" s="162"/>
      <c r="F524" s="162"/>
      <c r="G524" s="162"/>
      <c r="H524" s="162"/>
      <c r="I524" s="162"/>
      <c r="J524" s="162"/>
      <c r="K524" s="162"/>
      <c r="L524" s="162"/>
    </row>
    <row r="525" spans="2:12">
      <c r="B525" s="162"/>
      <c r="C525" s="162"/>
      <c r="D525" s="162"/>
      <c r="E525" s="162"/>
      <c r="F525" s="162"/>
      <c r="G525" s="162"/>
      <c r="H525" s="162"/>
      <c r="I525" s="162"/>
      <c r="J525" s="162"/>
      <c r="K525" s="162"/>
      <c r="L525" s="162"/>
    </row>
    <row r="526" spans="2:12">
      <c r="B526" s="162"/>
      <c r="C526" s="162"/>
      <c r="D526" s="162"/>
      <c r="E526" s="162"/>
      <c r="F526" s="162"/>
      <c r="G526" s="162"/>
      <c r="H526" s="162"/>
      <c r="I526" s="162"/>
      <c r="J526" s="162"/>
      <c r="K526" s="162"/>
      <c r="L526" s="162"/>
    </row>
    <row r="527" spans="2:12">
      <c r="B527" s="162"/>
      <c r="C527" s="162"/>
      <c r="D527" s="162"/>
      <c r="E527" s="162"/>
      <c r="F527" s="162"/>
      <c r="G527" s="162"/>
      <c r="H527" s="162"/>
      <c r="I527" s="162"/>
      <c r="J527" s="162"/>
      <c r="K527" s="162"/>
      <c r="L527" s="162"/>
    </row>
    <row r="528" spans="2:12">
      <c r="B528" s="162"/>
      <c r="C528" s="162"/>
      <c r="D528" s="162"/>
      <c r="E528" s="162"/>
      <c r="F528" s="162"/>
      <c r="G528" s="162"/>
      <c r="H528" s="162"/>
      <c r="I528" s="162"/>
      <c r="J528" s="162"/>
      <c r="K528" s="162"/>
      <c r="L528" s="162"/>
    </row>
    <row r="529" spans="2:12">
      <c r="B529" s="162"/>
      <c r="C529" s="162"/>
      <c r="D529" s="162"/>
      <c r="E529" s="162"/>
      <c r="F529" s="162"/>
      <c r="G529" s="162"/>
      <c r="H529" s="162"/>
      <c r="I529" s="162"/>
      <c r="J529" s="162"/>
      <c r="K529" s="162"/>
      <c r="L529" s="162"/>
    </row>
    <row r="530" spans="2:12">
      <c r="B530" s="162"/>
      <c r="C530" s="162"/>
      <c r="D530" s="162"/>
      <c r="E530" s="162"/>
      <c r="F530" s="162"/>
      <c r="G530" s="162"/>
      <c r="H530" s="162"/>
      <c r="I530" s="162"/>
      <c r="J530" s="162"/>
      <c r="K530" s="162"/>
      <c r="L530" s="162"/>
    </row>
    <row r="531" spans="2:12">
      <c r="B531" s="162"/>
      <c r="C531" s="162"/>
      <c r="D531" s="162"/>
      <c r="E531" s="162"/>
      <c r="F531" s="162"/>
      <c r="G531" s="162"/>
      <c r="H531" s="162"/>
      <c r="I531" s="162"/>
      <c r="J531" s="162"/>
      <c r="K531" s="162"/>
      <c r="L531" s="162"/>
    </row>
    <row r="532" spans="2:12">
      <c r="B532" s="162"/>
      <c r="C532" s="162"/>
      <c r="D532" s="162"/>
      <c r="E532" s="162"/>
      <c r="F532" s="162"/>
      <c r="G532" s="162"/>
      <c r="H532" s="162"/>
      <c r="I532" s="162"/>
      <c r="J532" s="162"/>
      <c r="K532" s="162"/>
      <c r="L532" s="162"/>
    </row>
    <row r="533" spans="2:12">
      <c r="B533" s="162"/>
      <c r="C533" s="162"/>
      <c r="D533" s="162"/>
      <c r="E533" s="162"/>
      <c r="F533" s="162"/>
      <c r="G533" s="162"/>
      <c r="H533" s="162"/>
      <c r="I533" s="162"/>
      <c r="J533" s="162"/>
      <c r="K533" s="162"/>
      <c r="L533" s="162"/>
    </row>
    <row r="534" spans="2:12">
      <c r="B534" s="162"/>
      <c r="C534" s="162"/>
      <c r="D534" s="162"/>
      <c r="E534" s="162"/>
      <c r="F534" s="162"/>
      <c r="G534" s="162"/>
      <c r="H534" s="162"/>
      <c r="I534" s="162"/>
      <c r="J534" s="162"/>
      <c r="K534" s="162"/>
      <c r="L534" s="162"/>
    </row>
    <row r="535" spans="2:12">
      <c r="B535" s="162"/>
      <c r="C535" s="162"/>
      <c r="D535" s="162"/>
      <c r="E535" s="162"/>
      <c r="F535" s="162"/>
      <c r="G535" s="162"/>
      <c r="H535" s="162"/>
      <c r="I535" s="162"/>
      <c r="J535" s="162"/>
      <c r="K535" s="162"/>
      <c r="L535" s="162"/>
    </row>
    <row r="536" spans="2:12">
      <c r="B536" s="162"/>
      <c r="C536" s="162"/>
      <c r="D536" s="162"/>
      <c r="E536" s="162"/>
      <c r="F536" s="162"/>
      <c r="G536" s="162"/>
      <c r="H536" s="162"/>
      <c r="I536" s="162"/>
      <c r="J536" s="162"/>
      <c r="K536" s="162"/>
      <c r="L536" s="162"/>
    </row>
    <row r="537" spans="2:12">
      <c r="B537" s="162"/>
      <c r="C537" s="162"/>
      <c r="D537" s="162"/>
      <c r="E537" s="162"/>
      <c r="F537" s="162"/>
      <c r="G537" s="162"/>
      <c r="H537" s="162"/>
      <c r="I537" s="162"/>
      <c r="J537" s="162"/>
      <c r="K537" s="162"/>
      <c r="L537" s="162"/>
    </row>
    <row r="538" spans="2:12">
      <c r="B538" s="162"/>
      <c r="C538" s="162"/>
      <c r="D538" s="162"/>
      <c r="E538" s="162"/>
      <c r="F538" s="162"/>
      <c r="G538" s="162"/>
      <c r="H538" s="162"/>
      <c r="I538" s="162"/>
      <c r="J538" s="162"/>
      <c r="K538" s="162"/>
      <c r="L538" s="162"/>
    </row>
    <row r="539" spans="2:12">
      <c r="B539" s="162"/>
      <c r="C539" s="162"/>
      <c r="D539" s="162"/>
      <c r="E539" s="162"/>
      <c r="F539" s="162"/>
      <c r="G539" s="162"/>
      <c r="H539" s="162"/>
      <c r="I539" s="162"/>
      <c r="J539" s="162"/>
      <c r="K539" s="162"/>
      <c r="L539" s="162"/>
    </row>
    <row r="540" spans="2:12">
      <c r="B540" s="162"/>
      <c r="C540" s="162"/>
      <c r="D540" s="162"/>
      <c r="E540" s="162"/>
      <c r="F540" s="162"/>
      <c r="G540" s="162"/>
      <c r="H540" s="162"/>
      <c r="I540" s="162"/>
      <c r="J540" s="162"/>
      <c r="K540" s="162"/>
      <c r="L540" s="162"/>
    </row>
    <row r="541" spans="2:12">
      <c r="B541" s="162"/>
      <c r="C541" s="162"/>
      <c r="D541" s="162"/>
      <c r="E541" s="162"/>
      <c r="F541" s="162"/>
      <c r="G541" s="162"/>
      <c r="H541" s="162"/>
      <c r="I541" s="162"/>
      <c r="J541" s="162"/>
      <c r="K541" s="162"/>
      <c r="L541" s="162"/>
    </row>
    <row r="542" spans="2:12">
      <c r="B542" s="162"/>
      <c r="C542" s="162"/>
      <c r="D542" s="162"/>
      <c r="E542" s="162"/>
      <c r="F542" s="162"/>
      <c r="G542" s="162"/>
      <c r="H542" s="162"/>
      <c r="I542" s="162"/>
      <c r="J542" s="162"/>
      <c r="K542" s="162"/>
      <c r="L542" s="162"/>
    </row>
    <row r="543" spans="2:12">
      <c r="B543" s="162"/>
      <c r="C543" s="162"/>
      <c r="D543" s="162"/>
      <c r="E543" s="162"/>
      <c r="F543" s="162"/>
      <c r="G543" s="162"/>
      <c r="H543" s="162"/>
      <c r="I543" s="162"/>
      <c r="J543" s="162"/>
      <c r="K543" s="162"/>
      <c r="L543" s="162"/>
    </row>
    <row r="544" spans="2:12">
      <c r="B544" s="162"/>
      <c r="C544" s="162"/>
      <c r="D544" s="162"/>
      <c r="E544" s="162"/>
      <c r="F544" s="162"/>
      <c r="G544" s="162"/>
      <c r="H544" s="162"/>
      <c r="I544" s="162"/>
      <c r="J544" s="162"/>
      <c r="K544" s="162"/>
      <c r="L544" s="162"/>
    </row>
    <row r="545" spans="2:12">
      <c r="B545" s="162"/>
      <c r="C545" s="162"/>
      <c r="D545" s="162"/>
      <c r="E545" s="162"/>
      <c r="F545" s="162"/>
      <c r="G545" s="162"/>
      <c r="H545" s="162"/>
      <c r="I545" s="162"/>
      <c r="J545" s="162"/>
      <c r="K545" s="162"/>
      <c r="L545" s="162"/>
    </row>
    <row r="546" spans="2:12">
      <c r="B546" s="162"/>
      <c r="C546" s="162"/>
      <c r="D546" s="162"/>
      <c r="E546" s="162"/>
      <c r="F546" s="162"/>
      <c r="G546" s="162"/>
      <c r="H546" s="162"/>
      <c r="I546" s="162"/>
      <c r="J546" s="162"/>
      <c r="K546" s="162"/>
      <c r="L546" s="162"/>
    </row>
    <row r="547" spans="2:12">
      <c r="B547" s="162"/>
      <c r="C547" s="162"/>
      <c r="D547" s="162"/>
      <c r="E547" s="162"/>
      <c r="F547" s="162"/>
      <c r="G547" s="162"/>
      <c r="H547" s="162"/>
      <c r="I547" s="162"/>
      <c r="J547" s="162"/>
      <c r="K547" s="162"/>
      <c r="L547" s="162"/>
    </row>
    <row r="548" spans="2:12">
      <c r="B548" s="162"/>
      <c r="C548" s="162"/>
      <c r="D548" s="162"/>
      <c r="E548" s="162"/>
      <c r="F548" s="162"/>
      <c r="G548" s="162"/>
      <c r="H548" s="162"/>
      <c r="I548" s="162"/>
      <c r="J548" s="162"/>
      <c r="K548" s="162"/>
      <c r="L548" s="162"/>
    </row>
    <row r="549" spans="2:12">
      <c r="B549" s="162"/>
      <c r="C549" s="162"/>
      <c r="D549" s="162"/>
      <c r="E549" s="162"/>
      <c r="F549" s="162"/>
      <c r="G549" s="162"/>
      <c r="H549" s="162"/>
      <c r="I549" s="162"/>
      <c r="J549" s="162"/>
      <c r="K549" s="162"/>
      <c r="L549" s="162"/>
    </row>
    <row r="550" spans="2:12">
      <c r="B550" s="162"/>
      <c r="C550" s="162"/>
      <c r="D550" s="162"/>
      <c r="E550" s="162"/>
      <c r="F550" s="162"/>
      <c r="G550" s="162"/>
      <c r="H550" s="162"/>
      <c r="I550" s="162"/>
      <c r="J550" s="162"/>
      <c r="K550" s="162"/>
      <c r="L550" s="162"/>
    </row>
    <row r="551" spans="2:12">
      <c r="B551" s="162"/>
      <c r="C551" s="162"/>
      <c r="D551" s="162"/>
      <c r="E551" s="162"/>
      <c r="F551" s="162"/>
      <c r="G551" s="162"/>
      <c r="H551" s="162"/>
      <c r="I551" s="162"/>
      <c r="J551" s="162"/>
      <c r="K551" s="162"/>
      <c r="L551" s="162"/>
    </row>
    <row r="552" spans="2:12">
      <c r="B552" s="162"/>
      <c r="C552" s="162"/>
      <c r="D552" s="162"/>
      <c r="E552" s="162"/>
      <c r="F552" s="162"/>
      <c r="G552" s="162"/>
      <c r="H552" s="162"/>
      <c r="I552" s="162"/>
      <c r="J552" s="162"/>
      <c r="K552" s="162"/>
      <c r="L552" s="162"/>
    </row>
    <row r="553" spans="2:12">
      <c r="B553" s="162"/>
      <c r="C553" s="162"/>
      <c r="D553" s="162"/>
      <c r="E553" s="162"/>
      <c r="F553" s="162"/>
      <c r="G553" s="162"/>
      <c r="H553" s="162"/>
      <c r="I553" s="162"/>
      <c r="J553" s="162"/>
      <c r="K553" s="162"/>
      <c r="L553" s="162"/>
    </row>
    <row r="554" spans="2:12">
      <c r="B554" s="162"/>
      <c r="C554" s="162"/>
      <c r="D554" s="162"/>
      <c r="E554" s="162"/>
      <c r="F554" s="162"/>
      <c r="G554" s="162"/>
      <c r="H554" s="162"/>
      <c r="I554" s="162"/>
      <c r="J554" s="162"/>
      <c r="K554" s="162"/>
      <c r="L554" s="162"/>
    </row>
    <row r="555" spans="2:12">
      <c r="B555" s="162"/>
      <c r="C555" s="162"/>
      <c r="D555" s="162"/>
      <c r="E555" s="162"/>
      <c r="F555" s="162"/>
      <c r="G555" s="162"/>
      <c r="H555" s="162"/>
      <c r="I555" s="162"/>
      <c r="J555" s="162"/>
      <c r="K555" s="162"/>
      <c r="L555" s="162"/>
    </row>
    <row r="556" spans="2:12">
      <c r="B556" s="162"/>
      <c r="C556" s="162"/>
      <c r="D556" s="162"/>
      <c r="E556" s="162"/>
      <c r="F556" s="162"/>
      <c r="G556" s="162"/>
      <c r="H556" s="162"/>
      <c r="I556" s="162"/>
      <c r="J556" s="162"/>
      <c r="K556" s="162"/>
      <c r="L556" s="162"/>
    </row>
    <row r="557" spans="2:12">
      <c r="B557" s="162"/>
      <c r="C557" s="162"/>
      <c r="D557" s="162"/>
      <c r="E557" s="162"/>
      <c r="F557" s="162"/>
      <c r="G557" s="162"/>
      <c r="H557" s="162"/>
      <c r="I557" s="162"/>
      <c r="J557" s="162"/>
      <c r="K557" s="162"/>
      <c r="L557" s="162"/>
    </row>
    <row r="558" spans="2:12">
      <c r="B558" s="162"/>
      <c r="C558" s="162"/>
      <c r="D558" s="162"/>
      <c r="E558" s="162"/>
      <c r="F558" s="162"/>
      <c r="G558" s="162"/>
      <c r="H558" s="162"/>
      <c r="I558" s="162"/>
      <c r="J558" s="162"/>
      <c r="K558" s="162"/>
      <c r="L558" s="162"/>
    </row>
    <row r="559" spans="2:12">
      <c r="B559" s="162"/>
      <c r="C559" s="162"/>
      <c r="D559" s="162"/>
      <c r="E559" s="162"/>
      <c r="F559" s="162"/>
      <c r="G559" s="162"/>
      <c r="H559" s="162"/>
      <c r="I559" s="162"/>
      <c r="J559" s="162"/>
      <c r="K559" s="162"/>
      <c r="L559" s="162"/>
    </row>
    <row r="560" spans="2:12">
      <c r="B560" s="162"/>
      <c r="C560" s="162"/>
      <c r="D560" s="162"/>
      <c r="E560" s="162"/>
      <c r="F560" s="162"/>
      <c r="G560" s="162"/>
      <c r="H560" s="162"/>
      <c r="I560" s="162"/>
      <c r="J560" s="162"/>
      <c r="K560" s="162"/>
      <c r="L560" s="162"/>
    </row>
    <row r="561" spans="2:12">
      <c r="B561" s="162"/>
      <c r="C561" s="162"/>
      <c r="D561" s="162"/>
      <c r="E561" s="162"/>
      <c r="F561" s="162"/>
      <c r="G561" s="162"/>
      <c r="H561" s="162"/>
      <c r="I561" s="162"/>
      <c r="J561" s="162"/>
      <c r="K561" s="162"/>
      <c r="L561" s="162"/>
    </row>
    <row r="562" spans="2:12">
      <c r="B562" s="162"/>
      <c r="C562" s="162"/>
      <c r="D562" s="162"/>
      <c r="E562" s="162"/>
      <c r="F562" s="162"/>
      <c r="G562" s="162"/>
      <c r="H562" s="162"/>
      <c r="I562" s="162"/>
      <c r="J562" s="162"/>
      <c r="K562" s="162"/>
      <c r="L562" s="162"/>
    </row>
    <row r="563" spans="2:12">
      <c r="B563" s="162"/>
      <c r="C563" s="162"/>
      <c r="D563" s="162"/>
      <c r="E563" s="162"/>
      <c r="F563" s="162"/>
      <c r="G563" s="162"/>
      <c r="H563" s="162"/>
      <c r="I563" s="162"/>
      <c r="J563" s="162"/>
      <c r="K563" s="162"/>
      <c r="L563" s="162"/>
    </row>
    <row r="564" spans="2:12">
      <c r="B564" s="162"/>
      <c r="C564" s="162"/>
      <c r="D564" s="162"/>
      <c r="E564" s="162"/>
      <c r="F564" s="162"/>
      <c r="G564" s="162"/>
      <c r="H564" s="162"/>
      <c r="I564" s="162"/>
      <c r="J564" s="162"/>
      <c r="K564" s="162"/>
      <c r="L564" s="162"/>
    </row>
    <row r="565" spans="2:12">
      <c r="B565" s="162"/>
      <c r="C565" s="162"/>
      <c r="D565" s="162"/>
      <c r="E565" s="162"/>
      <c r="F565" s="162"/>
      <c r="G565" s="162"/>
      <c r="H565" s="162"/>
      <c r="I565" s="162"/>
      <c r="J565" s="162"/>
      <c r="K565" s="162"/>
      <c r="L565" s="162"/>
    </row>
    <row r="566" spans="2:12">
      <c r="B566" s="162"/>
      <c r="C566" s="162"/>
      <c r="D566" s="162"/>
      <c r="E566" s="162"/>
      <c r="F566" s="162"/>
      <c r="G566" s="162"/>
      <c r="H566" s="162"/>
      <c r="I566" s="162"/>
      <c r="J566" s="162"/>
      <c r="K566" s="162"/>
      <c r="L566" s="162"/>
    </row>
    <row r="567" spans="2:12">
      <c r="B567" s="162"/>
      <c r="C567" s="162"/>
      <c r="D567" s="162"/>
      <c r="E567" s="162"/>
      <c r="F567" s="162"/>
      <c r="G567" s="162"/>
      <c r="H567" s="162"/>
      <c r="I567" s="162"/>
      <c r="J567" s="162"/>
      <c r="K567" s="162"/>
      <c r="L567" s="162"/>
    </row>
    <row r="568" spans="2:12">
      <c r="B568" s="162"/>
      <c r="C568" s="162"/>
      <c r="D568" s="162"/>
      <c r="E568" s="162"/>
      <c r="F568" s="162"/>
      <c r="G568" s="162"/>
      <c r="H568" s="162"/>
      <c r="I568" s="162"/>
      <c r="J568" s="162"/>
      <c r="K568" s="162"/>
      <c r="L568" s="162"/>
    </row>
    <row r="569" spans="2:12">
      <c r="B569" s="162"/>
      <c r="C569" s="162"/>
      <c r="D569" s="162"/>
      <c r="E569" s="162"/>
      <c r="F569" s="162"/>
      <c r="G569" s="162"/>
      <c r="H569" s="162"/>
      <c r="I569" s="162"/>
      <c r="J569" s="162"/>
      <c r="K569" s="162"/>
      <c r="L569" s="162"/>
    </row>
    <row r="570" spans="2:12">
      <c r="B570" s="162"/>
      <c r="C570" s="162"/>
      <c r="D570" s="162"/>
      <c r="E570" s="162"/>
      <c r="F570" s="162"/>
      <c r="G570" s="162"/>
      <c r="H570" s="162"/>
      <c r="I570" s="162"/>
      <c r="J570" s="162"/>
      <c r="K570" s="162"/>
      <c r="L570" s="162"/>
    </row>
    <row r="571" spans="2:12">
      <c r="B571" s="162"/>
      <c r="C571" s="162"/>
      <c r="D571" s="162"/>
      <c r="E571" s="162"/>
      <c r="F571" s="162"/>
      <c r="G571" s="162"/>
      <c r="H571" s="162"/>
      <c r="I571" s="162"/>
      <c r="J571" s="162"/>
      <c r="K571" s="162"/>
      <c r="L571" s="162"/>
    </row>
    <row r="572" spans="2:12">
      <c r="B572" s="162"/>
      <c r="C572" s="162"/>
      <c r="D572" s="162"/>
      <c r="E572" s="162"/>
      <c r="F572" s="162"/>
      <c r="G572" s="162"/>
      <c r="H572" s="162"/>
      <c r="I572" s="162"/>
      <c r="J572" s="162"/>
      <c r="K572" s="162"/>
      <c r="L572" s="162"/>
    </row>
    <row r="573" spans="2:12">
      <c r="B573" s="162"/>
      <c r="C573" s="162"/>
      <c r="D573" s="162"/>
      <c r="E573" s="162"/>
      <c r="F573" s="162"/>
      <c r="G573" s="162"/>
      <c r="H573" s="162"/>
      <c r="I573" s="162"/>
      <c r="J573" s="162"/>
      <c r="K573" s="162"/>
      <c r="L573" s="162"/>
    </row>
    <row r="574" spans="2:12">
      <c r="B574" s="162"/>
      <c r="C574" s="162"/>
      <c r="D574" s="162"/>
      <c r="E574" s="162"/>
      <c r="F574" s="162"/>
      <c r="G574" s="162"/>
      <c r="H574" s="162"/>
      <c r="I574" s="162"/>
      <c r="J574" s="162"/>
      <c r="K574" s="162"/>
      <c r="L574" s="162"/>
    </row>
    <row r="575" spans="2:12">
      <c r="B575" s="162"/>
      <c r="C575" s="162"/>
      <c r="D575" s="162"/>
      <c r="E575" s="162"/>
      <c r="F575" s="162"/>
      <c r="G575" s="162"/>
      <c r="H575" s="162"/>
      <c r="I575" s="162"/>
      <c r="J575" s="162"/>
      <c r="K575" s="162"/>
      <c r="L575" s="162"/>
    </row>
    <row r="576" spans="2:12">
      <c r="B576" s="162"/>
      <c r="C576" s="162"/>
      <c r="D576" s="162"/>
      <c r="E576" s="162"/>
      <c r="F576" s="162"/>
      <c r="G576" s="162"/>
      <c r="H576" s="162"/>
      <c r="I576" s="162"/>
      <c r="J576" s="162"/>
      <c r="K576" s="162"/>
      <c r="L576" s="162"/>
    </row>
    <row r="577" spans="2:12">
      <c r="B577" s="162"/>
      <c r="C577" s="162"/>
      <c r="D577" s="162"/>
      <c r="E577" s="162"/>
      <c r="F577" s="162"/>
      <c r="G577" s="162"/>
      <c r="H577" s="162"/>
      <c r="I577" s="162"/>
      <c r="J577" s="162"/>
      <c r="K577" s="162"/>
      <c r="L577" s="162"/>
    </row>
    <row r="578" spans="2:12">
      <c r="B578" s="162"/>
      <c r="C578" s="162"/>
      <c r="D578" s="162"/>
      <c r="E578" s="162"/>
      <c r="F578" s="162"/>
      <c r="G578" s="162"/>
      <c r="H578" s="162"/>
      <c r="I578" s="162"/>
      <c r="J578" s="162"/>
      <c r="K578" s="162"/>
      <c r="L578" s="162"/>
    </row>
    <row r="579" spans="2:12">
      <c r="B579" s="162"/>
      <c r="C579" s="162"/>
      <c r="D579" s="162"/>
      <c r="E579" s="162"/>
      <c r="F579" s="162"/>
      <c r="G579" s="162"/>
      <c r="H579" s="162"/>
      <c r="I579" s="162"/>
      <c r="J579" s="162"/>
      <c r="K579" s="162"/>
      <c r="L579" s="162"/>
    </row>
    <row r="580" spans="2:12">
      <c r="B580" s="162"/>
      <c r="C580" s="162"/>
      <c r="D580" s="162"/>
      <c r="E580" s="162"/>
      <c r="F580" s="162"/>
      <c r="G580" s="162"/>
      <c r="H580" s="162"/>
      <c r="I580" s="162"/>
      <c r="J580" s="162"/>
      <c r="K580" s="162"/>
      <c r="L580" s="162"/>
    </row>
    <row r="581" spans="2:12">
      <c r="B581" s="162"/>
      <c r="C581" s="162"/>
      <c r="D581" s="162"/>
      <c r="E581" s="162"/>
      <c r="F581" s="162"/>
      <c r="G581" s="162"/>
      <c r="H581" s="162"/>
      <c r="I581" s="162"/>
      <c r="J581" s="162"/>
      <c r="K581" s="162"/>
      <c r="L581" s="162"/>
    </row>
    <row r="582" spans="2:12">
      <c r="B582" s="162"/>
      <c r="C582" s="162"/>
      <c r="D582" s="162"/>
      <c r="E582" s="162"/>
      <c r="F582" s="162"/>
      <c r="G582" s="162"/>
      <c r="H582" s="162"/>
      <c r="I582" s="162"/>
      <c r="J582" s="162"/>
      <c r="K582" s="162"/>
      <c r="L582" s="162"/>
    </row>
    <row r="583" spans="2:12">
      <c r="B583" s="162"/>
      <c r="C583" s="162"/>
      <c r="D583" s="162"/>
      <c r="E583" s="162"/>
      <c r="F583" s="162"/>
      <c r="G583" s="162"/>
      <c r="H583" s="162"/>
      <c r="I583" s="162"/>
      <c r="J583" s="162"/>
      <c r="K583" s="162"/>
      <c r="L583" s="162"/>
    </row>
    <row r="584" spans="2:12">
      <c r="B584" s="162"/>
      <c r="C584" s="162"/>
      <c r="D584" s="162"/>
      <c r="E584" s="162"/>
      <c r="F584" s="162"/>
      <c r="G584" s="162"/>
      <c r="H584" s="162"/>
      <c r="I584" s="162"/>
      <c r="J584" s="162"/>
      <c r="K584" s="162"/>
      <c r="L584" s="162"/>
    </row>
    <row r="585" spans="2:12">
      <c r="B585" s="162"/>
      <c r="C585" s="162"/>
      <c r="D585" s="162"/>
      <c r="E585" s="162"/>
      <c r="F585" s="162"/>
      <c r="G585" s="162"/>
      <c r="H585" s="162"/>
      <c r="I585" s="162"/>
      <c r="J585" s="162"/>
      <c r="K585" s="162"/>
      <c r="L585" s="162"/>
    </row>
    <row r="586" spans="2:12">
      <c r="B586" s="162"/>
      <c r="C586" s="162"/>
      <c r="D586" s="162"/>
      <c r="E586" s="162"/>
      <c r="F586" s="162"/>
      <c r="G586" s="162"/>
      <c r="H586" s="162"/>
      <c r="I586" s="162"/>
      <c r="J586" s="162"/>
      <c r="K586" s="162"/>
      <c r="L586" s="162"/>
    </row>
    <row r="587" spans="2:12">
      <c r="B587" s="162"/>
      <c r="C587" s="162"/>
      <c r="D587" s="162"/>
      <c r="E587" s="162"/>
      <c r="F587" s="162"/>
      <c r="G587" s="162"/>
      <c r="H587" s="162"/>
      <c r="I587" s="162"/>
      <c r="J587" s="162"/>
      <c r="K587" s="162"/>
      <c r="L587" s="162"/>
    </row>
    <row r="588" spans="2:12">
      <c r="B588" s="162"/>
      <c r="C588" s="162"/>
      <c r="D588" s="162"/>
      <c r="E588" s="162"/>
      <c r="F588" s="162"/>
      <c r="G588" s="162"/>
      <c r="H588" s="162"/>
      <c r="I588" s="162"/>
      <c r="J588" s="162"/>
      <c r="K588" s="162"/>
      <c r="L588" s="162"/>
    </row>
    <row r="589" spans="2:12">
      <c r="B589" s="162"/>
      <c r="C589" s="162"/>
      <c r="D589" s="162"/>
      <c r="E589" s="162"/>
      <c r="F589" s="162"/>
      <c r="G589" s="162"/>
      <c r="H589" s="162"/>
      <c r="I589" s="162"/>
      <c r="J589" s="162"/>
      <c r="K589" s="162"/>
      <c r="L589" s="162"/>
    </row>
    <row r="590" spans="2:12">
      <c r="B590" s="162"/>
      <c r="C590" s="162"/>
      <c r="D590" s="162"/>
      <c r="E590" s="162"/>
      <c r="F590" s="162"/>
      <c r="G590" s="162"/>
      <c r="H590" s="162"/>
      <c r="I590" s="162"/>
      <c r="J590" s="162"/>
      <c r="K590" s="162"/>
      <c r="L590" s="162"/>
    </row>
    <row r="591" spans="2:12">
      <c r="B591" s="162"/>
      <c r="C591" s="162"/>
      <c r="D591" s="162"/>
      <c r="E591" s="162"/>
      <c r="F591" s="162"/>
      <c r="G591" s="162"/>
      <c r="H591" s="162"/>
      <c r="I591" s="162"/>
      <c r="J591" s="162"/>
      <c r="K591" s="162"/>
      <c r="L591" s="162"/>
    </row>
    <row r="592" spans="2:12">
      <c r="B592" s="162"/>
      <c r="C592" s="162"/>
      <c r="D592" s="162"/>
      <c r="E592" s="162"/>
      <c r="F592" s="162"/>
      <c r="G592" s="162"/>
      <c r="H592" s="162"/>
      <c r="I592" s="162"/>
      <c r="J592" s="162"/>
      <c r="K592" s="162"/>
      <c r="L592" s="162"/>
    </row>
    <row r="593" spans="2:12">
      <c r="B593" s="162"/>
      <c r="C593" s="162"/>
      <c r="D593" s="162"/>
      <c r="E593" s="162"/>
      <c r="F593" s="162"/>
      <c r="G593" s="162"/>
      <c r="H593" s="162"/>
      <c r="I593" s="162"/>
      <c r="J593" s="162"/>
      <c r="K593" s="162"/>
      <c r="L593" s="162"/>
    </row>
    <row r="594" spans="2:12">
      <c r="B594" s="162"/>
      <c r="C594" s="162"/>
      <c r="D594" s="162"/>
      <c r="E594" s="162"/>
      <c r="F594" s="162"/>
      <c r="G594" s="162"/>
      <c r="H594" s="162"/>
      <c r="I594" s="162"/>
      <c r="J594" s="162"/>
      <c r="K594" s="162"/>
      <c r="L594" s="162"/>
    </row>
    <row r="595" spans="2:12">
      <c r="B595" s="162"/>
      <c r="C595" s="162"/>
      <c r="D595" s="162"/>
      <c r="E595" s="162"/>
      <c r="F595" s="162"/>
      <c r="G595" s="162"/>
      <c r="H595" s="162"/>
      <c r="I595" s="162"/>
      <c r="J595" s="162"/>
      <c r="K595" s="162"/>
      <c r="L595" s="162"/>
    </row>
    <row r="596" spans="2:12">
      <c r="B596" s="162"/>
      <c r="C596" s="162"/>
      <c r="D596" s="162"/>
      <c r="E596" s="162"/>
      <c r="F596" s="162"/>
      <c r="G596" s="162"/>
      <c r="H596" s="162"/>
      <c r="I596" s="162"/>
      <c r="J596" s="162"/>
      <c r="K596" s="162"/>
      <c r="L596" s="162"/>
    </row>
    <row r="597" spans="2:12">
      <c r="B597" s="162"/>
      <c r="C597" s="162"/>
      <c r="D597" s="162"/>
      <c r="E597" s="162"/>
      <c r="F597" s="162"/>
      <c r="G597" s="162"/>
      <c r="H597" s="162"/>
      <c r="I597" s="162"/>
      <c r="J597" s="162"/>
      <c r="K597" s="162"/>
      <c r="L597" s="162"/>
    </row>
    <row r="598" spans="2:12">
      <c r="B598" s="162"/>
      <c r="C598" s="162"/>
      <c r="D598" s="162"/>
      <c r="E598" s="162"/>
      <c r="F598" s="162"/>
      <c r="G598" s="162"/>
      <c r="H598" s="162"/>
      <c r="I598" s="162"/>
      <c r="J598" s="162"/>
      <c r="K598" s="162"/>
      <c r="L598" s="162"/>
    </row>
    <row r="599" spans="2:12">
      <c r="B599" s="162"/>
      <c r="C599" s="162"/>
      <c r="D599" s="162"/>
      <c r="E599" s="162"/>
      <c r="F599" s="162"/>
      <c r="G599" s="162"/>
      <c r="H599" s="162"/>
      <c r="I599" s="162"/>
      <c r="J599" s="162"/>
      <c r="K599" s="162"/>
      <c r="L599" s="162"/>
    </row>
    <row r="600" spans="2:12">
      <c r="B600" s="162"/>
      <c r="C600" s="162"/>
      <c r="D600" s="162"/>
      <c r="E600" s="162"/>
      <c r="F600" s="162"/>
      <c r="G600" s="162"/>
      <c r="H600" s="162"/>
      <c r="I600" s="162"/>
      <c r="J600" s="162"/>
      <c r="K600" s="162"/>
      <c r="L600" s="162"/>
    </row>
    <row r="601" spans="2:12">
      <c r="B601" s="162"/>
      <c r="C601" s="162"/>
      <c r="D601" s="162"/>
      <c r="E601" s="162"/>
      <c r="F601" s="162"/>
      <c r="G601" s="162"/>
      <c r="H601" s="162"/>
      <c r="I601" s="162"/>
      <c r="J601" s="162"/>
      <c r="K601" s="162"/>
      <c r="L601" s="162"/>
    </row>
    <row r="602" spans="2:12">
      <c r="B602" s="162"/>
      <c r="C602" s="162"/>
      <c r="D602" s="162"/>
      <c r="E602" s="162"/>
      <c r="F602" s="162"/>
      <c r="G602" s="162"/>
      <c r="H602" s="162"/>
      <c r="I602" s="162"/>
      <c r="J602" s="162"/>
      <c r="K602" s="162"/>
      <c r="L602" s="162"/>
    </row>
    <row r="603" spans="2:12">
      <c r="B603" s="162"/>
      <c r="C603" s="162"/>
      <c r="D603" s="162"/>
      <c r="E603" s="162"/>
      <c r="F603" s="162"/>
      <c r="G603" s="162"/>
      <c r="H603" s="162"/>
      <c r="I603" s="162"/>
      <c r="J603" s="162"/>
      <c r="K603" s="162"/>
      <c r="L603" s="162"/>
    </row>
    <row r="604" spans="2:12">
      <c r="B604" s="162"/>
      <c r="C604" s="162"/>
      <c r="D604" s="162"/>
      <c r="E604" s="162"/>
      <c r="F604" s="162"/>
      <c r="G604" s="162"/>
      <c r="H604" s="162"/>
      <c r="I604" s="162"/>
      <c r="J604" s="162"/>
      <c r="K604" s="162"/>
      <c r="L604" s="162"/>
    </row>
    <row r="605" spans="2:12">
      <c r="B605" s="162"/>
      <c r="C605" s="162"/>
      <c r="D605" s="162"/>
      <c r="E605" s="162"/>
      <c r="F605" s="162"/>
      <c r="G605" s="162"/>
      <c r="H605" s="162"/>
      <c r="I605" s="162"/>
      <c r="J605" s="162"/>
      <c r="K605" s="162"/>
      <c r="L605" s="162"/>
    </row>
    <row r="606" spans="2:12">
      <c r="B606" s="162"/>
      <c r="C606" s="162"/>
      <c r="D606" s="162"/>
      <c r="E606" s="162"/>
      <c r="F606" s="162"/>
      <c r="G606" s="162"/>
      <c r="H606" s="162"/>
      <c r="I606" s="162"/>
      <c r="J606" s="162"/>
      <c r="K606" s="162"/>
      <c r="L606" s="162"/>
    </row>
    <row r="607" spans="2:12">
      <c r="B607" s="162"/>
      <c r="C607" s="162"/>
      <c r="D607" s="162"/>
      <c r="E607" s="162"/>
      <c r="F607" s="162"/>
      <c r="G607" s="162"/>
      <c r="H607" s="162"/>
      <c r="I607" s="162"/>
      <c r="J607" s="162"/>
      <c r="K607" s="162"/>
      <c r="L607" s="162"/>
    </row>
    <row r="608" spans="2:12">
      <c r="B608" s="162"/>
      <c r="C608" s="162"/>
      <c r="D608" s="162"/>
      <c r="E608" s="162"/>
      <c r="F608" s="162"/>
      <c r="G608" s="162"/>
      <c r="H608" s="162"/>
      <c r="I608" s="162"/>
      <c r="J608" s="162"/>
      <c r="K608" s="162"/>
      <c r="L608" s="162"/>
    </row>
    <row r="609" spans="2:12">
      <c r="B609" s="162"/>
      <c r="C609" s="162"/>
      <c r="D609" s="162"/>
      <c r="E609" s="162"/>
      <c r="F609" s="162"/>
      <c r="G609" s="162"/>
      <c r="H609" s="162"/>
      <c r="I609" s="162"/>
      <c r="J609" s="162"/>
      <c r="K609" s="162"/>
      <c r="L609" s="162"/>
    </row>
    <row r="610" spans="2:12">
      <c r="B610" s="162"/>
      <c r="C610" s="162"/>
      <c r="D610" s="162"/>
      <c r="E610" s="162"/>
      <c r="F610" s="162"/>
      <c r="G610" s="162"/>
      <c r="H610" s="162"/>
      <c r="I610" s="162"/>
      <c r="J610" s="162"/>
      <c r="K610" s="162"/>
      <c r="L610" s="162"/>
    </row>
    <row r="611" spans="2:12">
      <c r="B611" s="162"/>
      <c r="C611" s="162"/>
      <c r="D611" s="162"/>
      <c r="E611" s="162"/>
      <c r="F611" s="162"/>
      <c r="G611" s="162"/>
      <c r="H611" s="162"/>
      <c r="I611" s="162"/>
      <c r="J611" s="162"/>
      <c r="K611" s="162"/>
      <c r="L611" s="162"/>
    </row>
    <row r="612" spans="2:12">
      <c r="B612" s="162"/>
      <c r="C612" s="162"/>
      <c r="D612" s="162"/>
      <c r="E612" s="162"/>
      <c r="F612" s="162"/>
      <c r="G612" s="162"/>
      <c r="H612" s="162"/>
      <c r="I612" s="162"/>
      <c r="J612" s="162"/>
      <c r="K612" s="162"/>
      <c r="L612" s="162"/>
    </row>
    <row r="613" spans="2:12">
      <c r="B613" s="162"/>
      <c r="C613" s="162"/>
      <c r="D613" s="162"/>
      <c r="E613" s="162"/>
      <c r="F613" s="162"/>
      <c r="G613" s="162"/>
      <c r="H613" s="162"/>
      <c r="I613" s="162"/>
      <c r="J613" s="162"/>
      <c r="K613" s="162"/>
      <c r="L613" s="162"/>
    </row>
    <row r="614" spans="2:12">
      <c r="B614" s="162"/>
      <c r="C614" s="162"/>
      <c r="D614" s="162"/>
      <c r="E614" s="162"/>
      <c r="F614" s="162"/>
      <c r="G614" s="162"/>
      <c r="H614" s="162"/>
      <c r="I614" s="162"/>
      <c r="J614" s="162"/>
      <c r="K614" s="162"/>
      <c r="L614" s="162"/>
    </row>
    <row r="615" spans="2:12">
      <c r="B615" s="162"/>
      <c r="C615" s="162"/>
      <c r="D615" s="162"/>
      <c r="E615" s="162"/>
      <c r="F615" s="162"/>
      <c r="G615" s="162"/>
      <c r="H615" s="162"/>
      <c r="I615" s="162"/>
      <c r="J615" s="162"/>
      <c r="K615" s="162"/>
      <c r="L615" s="162"/>
    </row>
    <row r="616" spans="2:12">
      <c r="B616" s="162"/>
      <c r="C616" s="162"/>
      <c r="D616" s="162"/>
      <c r="E616" s="162"/>
      <c r="F616" s="162"/>
      <c r="G616" s="162"/>
      <c r="H616" s="162"/>
      <c r="I616" s="162"/>
      <c r="J616" s="162"/>
      <c r="K616" s="162"/>
      <c r="L616" s="162"/>
    </row>
    <row r="617" spans="2:12">
      <c r="B617" s="162"/>
      <c r="C617" s="162"/>
      <c r="D617" s="162"/>
      <c r="E617" s="162"/>
      <c r="F617" s="162"/>
      <c r="G617" s="162"/>
      <c r="H617" s="162"/>
      <c r="I617" s="162"/>
      <c r="J617" s="162"/>
      <c r="K617" s="162"/>
      <c r="L617" s="162"/>
    </row>
    <row r="618" spans="2:12">
      <c r="B618" s="162"/>
      <c r="C618" s="162"/>
      <c r="D618" s="162"/>
      <c r="E618" s="162"/>
      <c r="F618" s="162"/>
      <c r="G618" s="162"/>
      <c r="H618" s="162"/>
      <c r="I618" s="162"/>
      <c r="J618" s="162"/>
      <c r="K618" s="162"/>
      <c r="L618" s="162"/>
    </row>
    <row r="619" spans="2:12">
      <c r="B619" s="162"/>
      <c r="C619" s="162"/>
      <c r="D619" s="162"/>
      <c r="E619" s="162"/>
      <c r="F619" s="162"/>
      <c r="G619" s="162"/>
      <c r="H619" s="162"/>
      <c r="I619" s="162"/>
      <c r="J619" s="162"/>
      <c r="K619" s="162"/>
      <c r="L619" s="162"/>
    </row>
    <row r="620" spans="2:12">
      <c r="B620" s="162"/>
      <c r="C620" s="162"/>
      <c r="D620" s="162"/>
      <c r="E620" s="162"/>
      <c r="F620" s="162"/>
      <c r="G620" s="162"/>
      <c r="H620" s="162"/>
      <c r="I620" s="162"/>
      <c r="J620" s="162"/>
      <c r="K620" s="162"/>
      <c r="L620" s="162"/>
    </row>
    <row r="621" spans="2:12">
      <c r="B621" s="162"/>
      <c r="C621" s="162"/>
      <c r="D621" s="162"/>
      <c r="E621" s="162"/>
      <c r="F621" s="162"/>
      <c r="G621" s="162"/>
      <c r="H621" s="162"/>
      <c r="I621" s="162"/>
      <c r="J621" s="162"/>
      <c r="K621" s="162"/>
      <c r="L621" s="162"/>
    </row>
    <row r="622" spans="2:12">
      <c r="B622" s="162"/>
      <c r="C622" s="162"/>
      <c r="D622" s="162"/>
      <c r="E622" s="162"/>
      <c r="F622" s="162"/>
      <c r="G622" s="162"/>
      <c r="H622" s="162"/>
      <c r="I622" s="162"/>
      <c r="J622" s="162"/>
      <c r="K622" s="162"/>
      <c r="L622" s="162"/>
    </row>
    <row r="623" spans="2:12">
      <c r="B623" s="162"/>
      <c r="C623" s="162"/>
      <c r="D623" s="162"/>
      <c r="E623" s="162"/>
      <c r="F623" s="162"/>
      <c r="G623" s="162"/>
      <c r="H623" s="162"/>
      <c r="I623" s="162"/>
      <c r="J623" s="162"/>
      <c r="K623" s="162"/>
      <c r="L623" s="162"/>
    </row>
    <row r="624" spans="2:12">
      <c r="B624" s="162"/>
      <c r="C624" s="162"/>
      <c r="D624" s="162"/>
      <c r="E624" s="162"/>
      <c r="F624" s="162"/>
      <c r="G624" s="162"/>
      <c r="H624" s="162"/>
      <c r="I624" s="162"/>
      <c r="J624" s="162"/>
      <c r="K624" s="162"/>
      <c r="L624" s="162"/>
    </row>
    <row r="625" spans="2:12">
      <c r="B625" s="162"/>
      <c r="C625" s="162"/>
      <c r="D625" s="162"/>
      <c r="E625" s="162"/>
      <c r="F625" s="162"/>
      <c r="G625" s="162"/>
      <c r="H625" s="162"/>
      <c r="I625" s="162"/>
      <c r="J625" s="162"/>
      <c r="K625" s="162"/>
      <c r="L625" s="162"/>
    </row>
    <row r="626" spans="2:12">
      <c r="B626" s="162"/>
      <c r="C626" s="162"/>
      <c r="D626" s="162"/>
      <c r="E626" s="162"/>
      <c r="F626" s="162"/>
      <c r="G626" s="162"/>
      <c r="H626" s="162"/>
      <c r="I626" s="162"/>
      <c r="J626" s="162"/>
      <c r="K626" s="162"/>
      <c r="L626" s="162"/>
    </row>
    <row r="627" spans="2:12">
      <c r="B627" s="162"/>
      <c r="C627" s="162"/>
      <c r="D627" s="162"/>
      <c r="E627" s="162"/>
      <c r="F627" s="162"/>
      <c r="G627" s="162"/>
      <c r="H627" s="162"/>
      <c r="I627" s="162"/>
      <c r="J627" s="162"/>
      <c r="K627" s="162"/>
      <c r="L627" s="162"/>
    </row>
    <row r="628" spans="2:12">
      <c r="B628" s="162"/>
      <c r="C628" s="162"/>
      <c r="D628" s="162"/>
      <c r="E628" s="162"/>
      <c r="F628" s="162"/>
      <c r="G628" s="162"/>
      <c r="H628" s="162"/>
      <c r="I628" s="162"/>
      <c r="J628" s="162"/>
      <c r="K628" s="162"/>
      <c r="L628" s="162"/>
    </row>
    <row r="629" spans="2:12">
      <c r="B629" s="162"/>
      <c r="C629" s="162"/>
      <c r="D629" s="162"/>
      <c r="E629" s="162"/>
      <c r="F629" s="162"/>
      <c r="G629" s="162"/>
      <c r="H629" s="162"/>
      <c r="I629" s="162"/>
      <c r="J629" s="162"/>
      <c r="K629" s="162"/>
      <c r="L629" s="162"/>
    </row>
    <row r="630" spans="2:12">
      <c r="B630" s="162"/>
      <c r="C630" s="162"/>
      <c r="D630" s="162"/>
      <c r="E630" s="162"/>
      <c r="F630" s="162"/>
      <c r="G630" s="162"/>
      <c r="H630" s="162"/>
      <c r="I630" s="162"/>
      <c r="J630" s="162"/>
      <c r="K630" s="162"/>
      <c r="L630" s="162"/>
    </row>
    <row r="631" spans="2:12">
      <c r="B631" s="162"/>
      <c r="C631" s="162"/>
      <c r="D631" s="162"/>
      <c r="E631" s="162"/>
      <c r="F631" s="162"/>
      <c r="G631" s="162"/>
      <c r="H631" s="162"/>
      <c r="I631" s="162"/>
      <c r="J631" s="162"/>
      <c r="K631" s="162"/>
      <c r="L631" s="162"/>
    </row>
    <row r="632" spans="2:12">
      <c r="B632" s="162"/>
      <c r="C632" s="162"/>
      <c r="D632" s="162"/>
      <c r="E632" s="162"/>
      <c r="F632" s="162"/>
      <c r="G632" s="162"/>
      <c r="H632" s="162"/>
      <c r="I632" s="162"/>
      <c r="J632" s="162"/>
      <c r="K632" s="162"/>
      <c r="L632" s="162"/>
    </row>
    <row r="633" spans="2:12">
      <c r="B633" s="162"/>
      <c r="C633" s="162"/>
      <c r="D633" s="162"/>
      <c r="E633" s="162"/>
      <c r="F633" s="162"/>
      <c r="G633" s="162"/>
      <c r="H633" s="162"/>
      <c r="I633" s="162"/>
      <c r="J633" s="162"/>
      <c r="K633" s="162"/>
      <c r="L633" s="162"/>
    </row>
    <row r="634" spans="2:12">
      <c r="B634" s="162"/>
      <c r="C634" s="162"/>
      <c r="D634" s="162"/>
      <c r="E634" s="162"/>
      <c r="F634" s="162"/>
      <c r="G634" s="162"/>
      <c r="H634" s="162"/>
      <c r="I634" s="162"/>
      <c r="J634" s="162"/>
      <c r="K634" s="162"/>
      <c r="L634" s="162"/>
    </row>
    <row r="635" spans="2:12">
      <c r="B635" s="162"/>
      <c r="C635" s="162"/>
      <c r="D635" s="162"/>
      <c r="E635" s="162"/>
      <c r="F635" s="162"/>
      <c r="G635" s="162"/>
      <c r="H635" s="162"/>
      <c r="I635" s="162"/>
      <c r="J635" s="162"/>
      <c r="K635" s="162"/>
      <c r="L635" s="162"/>
    </row>
    <row r="636" spans="2:12">
      <c r="B636" s="162"/>
      <c r="C636" s="162"/>
      <c r="D636" s="162"/>
      <c r="E636" s="162"/>
      <c r="F636" s="162"/>
      <c r="G636" s="162"/>
      <c r="H636" s="162"/>
      <c r="I636" s="162"/>
      <c r="J636" s="162"/>
      <c r="K636" s="162"/>
      <c r="L636" s="162"/>
    </row>
    <row r="637" spans="2:12">
      <c r="B637" s="162"/>
      <c r="C637" s="162"/>
      <c r="D637" s="162"/>
      <c r="E637" s="162"/>
      <c r="F637" s="162"/>
      <c r="G637" s="162"/>
      <c r="H637" s="162"/>
      <c r="I637" s="162"/>
      <c r="J637" s="162"/>
      <c r="K637" s="162"/>
      <c r="L637" s="162"/>
    </row>
    <row r="638" spans="2:12">
      <c r="B638" s="162"/>
      <c r="C638" s="162"/>
      <c r="D638" s="162"/>
      <c r="E638" s="162"/>
      <c r="F638" s="162"/>
      <c r="G638" s="162"/>
      <c r="H638" s="162"/>
      <c r="I638" s="162"/>
      <c r="J638" s="162"/>
      <c r="K638" s="162"/>
      <c r="L638" s="162"/>
    </row>
    <row r="639" spans="2:12">
      <c r="B639" s="162"/>
      <c r="C639" s="162"/>
      <c r="D639" s="162"/>
      <c r="E639" s="162"/>
      <c r="F639" s="162"/>
      <c r="G639" s="162"/>
      <c r="H639" s="162"/>
      <c r="I639" s="162"/>
      <c r="J639" s="162"/>
      <c r="K639" s="162"/>
      <c r="L639" s="162"/>
    </row>
    <row r="640" spans="2:12">
      <c r="B640" s="162"/>
      <c r="C640" s="162"/>
      <c r="D640" s="162"/>
      <c r="E640" s="162"/>
      <c r="F640" s="162"/>
      <c r="G640" s="162"/>
      <c r="H640" s="162"/>
      <c r="I640" s="162"/>
      <c r="J640" s="162"/>
      <c r="K640" s="162"/>
      <c r="L640" s="162"/>
    </row>
    <row r="641" spans="2:12">
      <c r="B641" s="162"/>
      <c r="C641" s="162"/>
      <c r="D641" s="162"/>
      <c r="E641" s="162"/>
      <c r="F641" s="162"/>
      <c r="G641" s="162"/>
      <c r="H641" s="162"/>
      <c r="I641" s="162"/>
      <c r="J641" s="162"/>
      <c r="K641" s="162"/>
      <c r="L641" s="162"/>
    </row>
    <row r="642" spans="2:12">
      <c r="B642" s="162"/>
      <c r="C642" s="162"/>
      <c r="D642" s="162"/>
      <c r="E642" s="162"/>
      <c r="F642" s="162"/>
      <c r="G642" s="162"/>
      <c r="H642" s="162"/>
      <c r="I642" s="162"/>
      <c r="J642" s="162"/>
      <c r="K642" s="162"/>
      <c r="L642" s="162"/>
    </row>
    <row r="643" spans="2:12">
      <c r="B643" s="162"/>
      <c r="C643" s="162"/>
      <c r="D643" s="162"/>
      <c r="E643" s="162"/>
      <c r="F643" s="162"/>
      <c r="G643" s="162"/>
      <c r="H643" s="162"/>
      <c r="I643" s="162"/>
      <c r="J643" s="162"/>
      <c r="K643" s="162"/>
      <c r="L643" s="162"/>
    </row>
    <row r="644" spans="2:12">
      <c r="B644" s="162"/>
      <c r="C644" s="162"/>
      <c r="D644" s="162"/>
      <c r="E644" s="162"/>
      <c r="F644" s="162"/>
      <c r="G644" s="162"/>
      <c r="H644" s="162"/>
      <c r="I644" s="162"/>
      <c r="J644" s="162"/>
      <c r="K644" s="162"/>
      <c r="L644" s="162"/>
    </row>
    <row r="645" spans="2:12">
      <c r="B645" s="162"/>
      <c r="C645" s="162"/>
      <c r="D645" s="162"/>
      <c r="E645" s="162"/>
      <c r="F645" s="162"/>
      <c r="G645" s="162"/>
      <c r="H645" s="162"/>
      <c r="I645" s="162"/>
      <c r="J645" s="162"/>
      <c r="K645" s="162"/>
      <c r="L645" s="162"/>
    </row>
    <row r="646" spans="2:12">
      <c r="B646" s="162"/>
      <c r="C646" s="162"/>
      <c r="D646" s="162"/>
      <c r="E646" s="162"/>
      <c r="F646" s="162"/>
      <c r="G646" s="162"/>
      <c r="H646" s="162"/>
      <c r="I646" s="162"/>
      <c r="J646" s="162"/>
      <c r="K646" s="162"/>
      <c r="L646" s="162"/>
    </row>
    <row r="647" spans="2:12">
      <c r="B647" s="162"/>
      <c r="C647" s="162"/>
      <c r="D647" s="162"/>
      <c r="E647" s="162"/>
      <c r="F647" s="162"/>
      <c r="G647" s="162"/>
      <c r="H647" s="162"/>
      <c r="I647" s="162"/>
      <c r="J647" s="162"/>
      <c r="K647" s="162"/>
      <c r="L647" s="162"/>
    </row>
    <row r="648" spans="2:12">
      <c r="B648" s="162"/>
      <c r="C648" s="162"/>
      <c r="D648" s="162"/>
      <c r="E648" s="162"/>
      <c r="F648" s="162"/>
      <c r="G648" s="162"/>
      <c r="H648" s="162"/>
      <c r="I648" s="162"/>
      <c r="J648" s="162"/>
      <c r="K648" s="162"/>
      <c r="L648" s="162"/>
    </row>
    <row r="649" spans="2:12">
      <c r="B649" s="162"/>
      <c r="C649" s="162"/>
      <c r="D649" s="162"/>
      <c r="E649" s="162"/>
      <c r="F649" s="162"/>
      <c r="G649" s="162"/>
      <c r="H649" s="162"/>
      <c r="I649" s="162"/>
      <c r="J649" s="162"/>
      <c r="K649" s="162"/>
      <c r="L649" s="162"/>
    </row>
    <row r="650" spans="2:12">
      <c r="B650" s="162"/>
      <c r="C650" s="162"/>
      <c r="D650" s="162"/>
      <c r="E650" s="162"/>
      <c r="F650" s="162"/>
      <c r="G650" s="162"/>
      <c r="H650" s="162"/>
      <c r="I650" s="162"/>
      <c r="J650" s="162"/>
      <c r="K650" s="162"/>
      <c r="L650" s="162"/>
    </row>
    <row r="651" spans="2:12">
      <c r="B651" s="162"/>
      <c r="C651" s="162"/>
      <c r="D651" s="162"/>
      <c r="E651" s="162"/>
      <c r="F651" s="162"/>
      <c r="G651" s="162"/>
      <c r="H651" s="162"/>
      <c r="I651" s="162"/>
      <c r="J651" s="162"/>
      <c r="K651" s="162"/>
      <c r="L651" s="162"/>
    </row>
    <row r="652" spans="2:12">
      <c r="B652" s="162"/>
      <c r="C652" s="162"/>
      <c r="D652" s="162"/>
      <c r="E652" s="162"/>
      <c r="F652" s="162"/>
      <c r="G652" s="162"/>
      <c r="H652" s="162"/>
      <c r="I652" s="162"/>
      <c r="J652" s="162"/>
      <c r="K652" s="162"/>
      <c r="L652" s="162"/>
    </row>
    <row r="653" spans="2:12">
      <c r="B653" s="162"/>
      <c r="C653" s="162"/>
      <c r="D653" s="162"/>
      <c r="E653" s="162"/>
      <c r="F653" s="162"/>
      <c r="G653" s="162"/>
      <c r="H653" s="162"/>
      <c r="I653" s="162"/>
      <c r="J653" s="162"/>
      <c r="K653" s="162"/>
      <c r="L653" s="162"/>
    </row>
    <row r="654" spans="2:12">
      <c r="B654" s="162"/>
      <c r="C654" s="162"/>
      <c r="D654" s="162"/>
      <c r="E654" s="162"/>
      <c r="F654" s="162"/>
      <c r="G654" s="162"/>
      <c r="H654" s="162"/>
      <c r="I654" s="162"/>
      <c r="J654" s="162"/>
      <c r="K654" s="162"/>
      <c r="L654" s="162"/>
    </row>
    <row r="655" spans="2:12">
      <c r="B655" s="162"/>
      <c r="C655" s="162"/>
      <c r="D655" s="162"/>
      <c r="E655" s="162"/>
      <c r="F655" s="162"/>
      <c r="G655" s="162"/>
      <c r="H655" s="162"/>
      <c r="I655" s="162"/>
      <c r="J655" s="162"/>
      <c r="K655" s="162"/>
      <c r="L655" s="162"/>
    </row>
    <row r="656" spans="2:12">
      <c r="B656" s="162"/>
      <c r="C656" s="162"/>
      <c r="D656" s="162"/>
      <c r="E656" s="162"/>
      <c r="F656" s="162"/>
      <c r="G656" s="162"/>
      <c r="H656" s="162"/>
      <c r="I656" s="162"/>
      <c r="J656" s="162"/>
      <c r="K656" s="162"/>
      <c r="L656" s="162"/>
    </row>
    <row r="657" spans="2:12">
      <c r="B657" s="162"/>
      <c r="C657" s="162"/>
      <c r="D657" s="162"/>
      <c r="E657" s="162"/>
      <c r="F657" s="162"/>
      <c r="G657" s="162"/>
      <c r="H657" s="162"/>
      <c r="I657" s="162"/>
      <c r="J657" s="162"/>
      <c r="K657" s="162"/>
      <c r="L657" s="162"/>
    </row>
    <row r="658" spans="2:12">
      <c r="B658" s="162"/>
      <c r="C658" s="162"/>
      <c r="D658" s="162"/>
      <c r="E658" s="162"/>
      <c r="F658" s="162"/>
      <c r="G658" s="162"/>
      <c r="H658" s="162"/>
      <c r="I658" s="162"/>
      <c r="J658" s="162"/>
      <c r="K658" s="162"/>
      <c r="L658" s="162"/>
    </row>
    <row r="659" spans="2:12">
      <c r="B659" s="162"/>
      <c r="C659" s="162"/>
      <c r="D659" s="162"/>
      <c r="E659" s="162"/>
      <c r="F659" s="162"/>
      <c r="G659" s="162"/>
      <c r="H659" s="162"/>
      <c r="I659" s="162"/>
      <c r="J659" s="162"/>
      <c r="K659" s="162"/>
      <c r="L659" s="162"/>
    </row>
    <row r="660" spans="2:12">
      <c r="B660" s="162"/>
      <c r="C660" s="162"/>
      <c r="D660" s="162"/>
      <c r="E660" s="162"/>
      <c r="F660" s="162"/>
      <c r="G660" s="162"/>
      <c r="H660" s="162"/>
      <c r="I660" s="162"/>
      <c r="J660" s="162"/>
      <c r="K660" s="162"/>
      <c r="L660" s="162"/>
    </row>
    <row r="661" spans="2:12">
      <c r="B661" s="162"/>
      <c r="C661" s="162"/>
      <c r="D661" s="162"/>
      <c r="E661" s="162"/>
      <c r="F661" s="162"/>
      <c r="G661" s="162"/>
      <c r="H661" s="162"/>
      <c r="I661" s="162"/>
      <c r="J661" s="162"/>
      <c r="K661" s="162"/>
      <c r="L661" s="162"/>
    </row>
    <row r="662" spans="2:12">
      <c r="B662" s="162"/>
      <c r="C662" s="162"/>
      <c r="D662" s="162"/>
      <c r="E662" s="162"/>
      <c r="F662" s="162"/>
      <c r="G662" s="162"/>
      <c r="H662" s="162"/>
      <c r="I662" s="162"/>
      <c r="J662" s="162"/>
      <c r="K662" s="162"/>
      <c r="L662" s="162"/>
    </row>
    <row r="663" spans="2:12">
      <c r="B663" s="162"/>
      <c r="C663" s="162"/>
      <c r="D663" s="162"/>
      <c r="E663" s="162"/>
      <c r="F663" s="162"/>
      <c r="G663" s="162"/>
      <c r="H663" s="162"/>
      <c r="I663" s="162"/>
      <c r="J663" s="162"/>
      <c r="K663" s="162"/>
      <c r="L663" s="162"/>
    </row>
    <row r="664" spans="2:12">
      <c r="B664" s="162"/>
      <c r="C664" s="162"/>
      <c r="D664" s="162"/>
      <c r="E664" s="162"/>
      <c r="F664" s="162"/>
      <c r="G664" s="162"/>
      <c r="H664" s="162"/>
      <c r="I664" s="162"/>
      <c r="J664" s="162"/>
      <c r="K664" s="162"/>
      <c r="L664" s="162"/>
    </row>
    <row r="665" spans="2:12">
      <c r="B665" s="162"/>
      <c r="C665" s="162"/>
      <c r="D665" s="162"/>
      <c r="E665" s="162"/>
      <c r="F665" s="162"/>
      <c r="G665" s="162"/>
      <c r="H665" s="162"/>
      <c r="I665" s="162"/>
      <c r="J665" s="162"/>
      <c r="K665" s="162"/>
      <c r="L665" s="162"/>
    </row>
    <row r="666" spans="2:12">
      <c r="B666" s="162"/>
      <c r="C666" s="162"/>
      <c r="D666" s="162"/>
      <c r="E666" s="162"/>
      <c r="F666" s="162"/>
      <c r="G666" s="162"/>
      <c r="H666" s="162"/>
      <c r="I666" s="162"/>
      <c r="J666" s="162"/>
      <c r="K666" s="162"/>
      <c r="L666" s="162"/>
    </row>
    <row r="667" spans="2:12">
      <c r="B667" s="162"/>
      <c r="C667" s="162"/>
      <c r="D667" s="162"/>
      <c r="E667" s="162"/>
      <c r="F667" s="162"/>
      <c r="G667" s="162"/>
      <c r="H667" s="162"/>
      <c r="I667" s="162"/>
      <c r="J667" s="162"/>
      <c r="K667" s="162"/>
      <c r="L667" s="162"/>
    </row>
    <row r="668" spans="2:12">
      <c r="B668" s="162"/>
      <c r="C668" s="162"/>
      <c r="D668" s="162"/>
      <c r="E668" s="162"/>
      <c r="F668" s="162"/>
      <c r="G668" s="162"/>
      <c r="H668" s="162"/>
      <c r="I668" s="162"/>
      <c r="J668" s="162"/>
      <c r="K668" s="162"/>
      <c r="L668" s="162"/>
    </row>
    <row r="669" spans="2:12">
      <c r="B669" s="162"/>
      <c r="C669" s="162"/>
      <c r="D669" s="162"/>
      <c r="E669" s="162"/>
      <c r="F669" s="162"/>
      <c r="G669" s="162"/>
      <c r="H669" s="162"/>
      <c r="I669" s="162"/>
      <c r="J669" s="162"/>
      <c r="K669" s="162"/>
      <c r="L669" s="162"/>
    </row>
    <row r="670" spans="2:12">
      <c r="B670" s="162"/>
      <c r="C670" s="162"/>
      <c r="D670" s="162"/>
      <c r="E670" s="162"/>
      <c r="F670" s="162"/>
      <c r="G670" s="162"/>
      <c r="H670" s="162"/>
      <c r="I670" s="162"/>
      <c r="J670" s="162"/>
      <c r="K670" s="162"/>
      <c r="L670" s="162"/>
    </row>
    <row r="671" spans="2:12">
      <c r="B671" s="162"/>
      <c r="C671" s="162"/>
      <c r="D671" s="162"/>
      <c r="E671" s="162"/>
      <c r="F671" s="162"/>
      <c r="G671" s="162"/>
      <c r="H671" s="162"/>
      <c r="I671" s="162"/>
      <c r="J671" s="162"/>
      <c r="K671" s="162"/>
      <c r="L671" s="162"/>
    </row>
    <row r="672" spans="2:12">
      <c r="B672" s="162"/>
      <c r="C672" s="162"/>
      <c r="D672" s="162"/>
      <c r="E672" s="162"/>
      <c r="F672" s="162"/>
      <c r="G672" s="162"/>
      <c r="H672" s="162"/>
      <c r="I672" s="162"/>
      <c r="J672" s="162"/>
      <c r="K672" s="162"/>
      <c r="L672" s="162"/>
    </row>
    <row r="673" spans="2:12">
      <c r="B673" s="162"/>
      <c r="C673" s="162"/>
      <c r="D673" s="162"/>
      <c r="E673" s="162"/>
      <c r="F673" s="162"/>
      <c r="G673" s="162"/>
      <c r="H673" s="162"/>
      <c r="I673" s="162"/>
      <c r="J673" s="162"/>
      <c r="K673" s="162"/>
      <c r="L673" s="162"/>
    </row>
    <row r="674" spans="2:12">
      <c r="B674" s="162"/>
      <c r="C674" s="162"/>
      <c r="D674" s="162"/>
      <c r="E674" s="162"/>
      <c r="F674" s="162"/>
      <c r="G674" s="162"/>
      <c r="H674" s="162"/>
      <c r="I674" s="162"/>
      <c r="J674" s="162"/>
      <c r="K674" s="162"/>
      <c r="L674" s="162"/>
    </row>
    <row r="675" spans="2:12">
      <c r="B675" s="162"/>
      <c r="C675" s="162"/>
      <c r="D675" s="162"/>
      <c r="E675" s="162"/>
      <c r="F675" s="162"/>
      <c r="G675" s="162"/>
      <c r="H675" s="162"/>
      <c r="I675" s="162"/>
      <c r="J675" s="162"/>
      <c r="K675" s="162"/>
      <c r="L675" s="162"/>
    </row>
    <row r="676" spans="2:12">
      <c r="B676" s="162"/>
      <c r="C676" s="162"/>
      <c r="D676" s="162"/>
      <c r="E676" s="162"/>
      <c r="F676" s="162"/>
      <c r="G676" s="162"/>
      <c r="H676" s="162"/>
      <c r="I676" s="162"/>
      <c r="J676" s="162"/>
      <c r="K676" s="162"/>
      <c r="L676" s="162"/>
    </row>
    <row r="677" spans="2:12">
      <c r="B677" s="162"/>
      <c r="C677" s="162"/>
      <c r="D677" s="162"/>
      <c r="E677" s="162"/>
      <c r="F677" s="162"/>
      <c r="G677" s="162"/>
      <c r="H677" s="162"/>
      <c r="I677" s="162"/>
      <c r="J677" s="162"/>
      <c r="K677" s="162"/>
      <c r="L677" s="162"/>
    </row>
    <row r="678" spans="2:12">
      <c r="B678" s="162"/>
      <c r="C678" s="162"/>
      <c r="D678" s="162"/>
      <c r="E678" s="162"/>
      <c r="F678" s="162"/>
      <c r="G678" s="162"/>
      <c r="H678" s="162"/>
      <c r="I678" s="162"/>
      <c r="J678" s="162"/>
      <c r="K678" s="162"/>
      <c r="L678" s="162"/>
    </row>
    <row r="679" spans="2:12">
      <c r="B679" s="162"/>
      <c r="C679" s="162"/>
      <c r="D679" s="162"/>
      <c r="E679" s="162"/>
      <c r="F679" s="162"/>
      <c r="G679" s="162"/>
      <c r="H679" s="162"/>
      <c r="I679" s="162"/>
      <c r="J679" s="162"/>
      <c r="K679" s="162"/>
      <c r="L679" s="162"/>
    </row>
    <row r="680" spans="2:12">
      <c r="B680" s="162"/>
      <c r="C680" s="162"/>
      <c r="D680" s="162"/>
      <c r="E680" s="162"/>
      <c r="F680" s="162"/>
      <c r="G680" s="162"/>
      <c r="H680" s="162"/>
      <c r="I680" s="162"/>
      <c r="J680" s="162"/>
      <c r="K680" s="162"/>
      <c r="L680" s="162"/>
    </row>
    <row r="681" spans="2:12">
      <c r="B681" s="162"/>
      <c r="C681" s="162"/>
      <c r="D681" s="162"/>
      <c r="E681" s="162"/>
      <c r="F681" s="162"/>
      <c r="G681" s="162"/>
      <c r="H681" s="162"/>
      <c r="I681" s="162"/>
      <c r="J681" s="162"/>
      <c r="K681" s="162"/>
      <c r="L681" s="162"/>
    </row>
    <row r="682" spans="2:12">
      <c r="B682" s="162"/>
      <c r="C682" s="162"/>
      <c r="D682" s="162"/>
      <c r="E682" s="162"/>
      <c r="F682" s="162"/>
      <c r="G682" s="162"/>
      <c r="H682" s="162"/>
      <c r="I682" s="162"/>
      <c r="J682" s="162"/>
      <c r="K682" s="162"/>
      <c r="L682" s="162"/>
    </row>
    <row r="683" spans="2:12">
      <c r="B683" s="162"/>
      <c r="C683" s="162"/>
      <c r="D683" s="162"/>
      <c r="E683" s="162"/>
      <c r="F683" s="162"/>
      <c r="G683" s="162"/>
      <c r="H683" s="162"/>
      <c r="I683" s="162"/>
      <c r="J683" s="162"/>
      <c r="K683" s="162"/>
      <c r="L683" s="162"/>
    </row>
    <row r="684" spans="2:12">
      <c r="B684" s="162"/>
      <c r="C684" s="162"/>
      <c r="D684" s="162"/>
      <c r="E684" s="162"/>
      <c r="F684" s="162"/>
      <c r="G684" s="162"/>
      <c r="H684" s="162"/>
      <c r="I684" s="162"/>
      <c r="J684" s="162"/>
      <c r="K684" s="162"/>
      <c r="L684" s="162"/>
    </row>
    <row r="685" spans="2:12">
      <c r="B685" s="162"/>
      <c r="C685" s="162"/>
      <c r="D685" s="162"/>
      <c r="E685" s="162"/>
      <c r="F685" s="162"/>
      <c r="G685" s="162"/>
      <c r="H685" s="162"/>
      <c r="I685" s="162"/>
      <c r="J685" s="162"/>
      <c r="K685" s="162"/>
      <c r="L685" s="162"/>
    </row>
    <row r="686" spans="2:12">
      <c r="B686" s="162"/>
      <c r="C686" s="162"/>
      <c r="D686" s="162"/>
      <c r="E686" s="162"/>
      <c r="F686" s="162"/>
      <c r="G686" s="162"/>
      <c r="H686" s="162"/>
      <c r="I686" s="162"/>
      <c r="J686" s="162"/>
      <c r="K686" s="162"/>
      <c r="L686" s="162"/>
    </row>
    <row r="687" spans="2:12">
      <c r="B687" s="162"/>
      <c r="C687" s="162"/>
      <c r="D687" s="162"/>
      <c r="E687" s="162"/>
      <c r="F687" s="162"/>
      <c r="G687" s="162"/>
      <c r="H687" s="162"/>
      <c r="I687" s="162"/>
      <c r="J687" s="162"/>
      <c r="K687" s="162"/>
      <c r="L687" s="162"/>
    </row>
    <row r="688" spans="2:12">
      <c r="B688" s="162"/>
      <c r="C688" s="162"/>
      <c r="D688" s="162"/>
      <c r="E688" s="162"/>
      <c r="F688" s="162"/>
      <c r="G688" s="162"/>
      <c r="H688" s="162"/>
      <c r="I688" s="162"/>
      <c r="J688" s="162"/>
      <c r="K688" s="162"/>
      <c r="L688" s="162"/>
    </row>
    <row r="689" spans="2:12">
      <c r="B689" s="162"/>
      <c r="C689" s="162"/>
      <c r="D689" s="162"/>
      <c r="E689" s="162"/>
      <c r="F689" s="162"/>
      <c r="G689" s="162"/>
      <c r="H689" s="162"/>
      <c r="I689" s="162"/>
      <c r="J689" s="162"/>
      <c r="K689" s="162"/>
      <c r="L689" s="162"/>
    </row>
    <row r="690" spans="2:12">
      <c r="B690" s="162"/>
      <c r="C690" s="162"/>
      <c r="D690" s="162"/>
      <c r="E690" s="162"/>
      <c r="F690" s="162"/>
      <c r="G690" s="162"/>
      <c r="H690" s="162"/>
      <c r="I690" s="162"/>
      <c r="J690" s="162"/>
      <c r="K690" s="162"/>
      <c r="L690" s="162"/>
    </row>
    <row r="691" spans="2:12">
      <c r="B691" s="162"/>
      <c r="C691" s="162"/>
      <c r="D691" s="162"/>
      <c r="E691" s="162"/>
      <c r="F691" s="162"/>
      <c r="G691" s="162"/>
      <c r="H691" s="162"/>
      <c r="I691" s="162"/>
      <c r="J691" s="162"/>
      <c r="K691" s="162"/>
      <c r="L691" s="162"/>
    </row>
    <row r="692" spans="2:12">
      <c r="B692" s="162"/>
      <c r="C692" s="162"/>
      <c r="D692" s="162"/>
      <c r="E692" s="162"/>
      <c r="F692" s="162"/>
      <c r="G692" s="162"/>
      <c r="H692" s="162"/>
      <c r="I692" s="162"/>
      <c r="J692" s="162"/>
      <c r="K692" s="162"/>
      <c r="L692" s="162"/>
    </row>
    <row r="693" spans="2:12">
      <c r="B693" s="162"/>
      <c r="C693" s="162"/>
      <c r="D693" s="162"/>
      <c r="E693" s="162"/>
      <c r="F693" s="162"/>
      <c r="G693" s="162"/>
      <c r="H693" s="162"/>
      <c r="I693" s="162"/>
      <c r="J693" s="162"/>
      <c r="K693" s="162"/>
      <c r="L693" s="162"/>
    </row>
    <row r="694" spans="2:12">
      <c r="B694" s="162"/>
      <c r="C694" s="162"/>
      <c r="D694" s="162"/>
      <c r="E694" s="162"/>
      <c r="F694" s="162"/>
      <c r="G694" s="162"/>
      <c r="H694" s="162"/>
      <c r="I694" s="162"/>
      <c r="J694" s="162"/>
      <c r="K694" s="162"/>
      <c r="L694" s="162"/>
    </row>
    <row r="695" spans="2:12">
      <c r="B695" s="162"/>
      <c r="C695" s="162"/>
      <c r="D695" s="162"/>
      <c r="E695" s="162"/>
      <c r="F695" s="162"/>
      <c r="G695" s="162"/>
      <c r="H695" s="162"/>
      <c r="I695" s="162"/>
      <c r="J695" s="162"/>
      <c r="K695" s="162"/>
      <c r="L695" s="162"/>
    </row>
    <row r="696" spans="2:12">
      <c r="B696" s="162"/>
      <c r="C696" s="162"/>
      <c r="D696" s="162"/>
      <c r="E696" s="162"/>
      <c r="F696" s="162"/>
      <c r="G696" s="162"/>
      <c r="H696" s="162"/>
      <c r="I696" s="162"/>
      <c r="J696" s="162"/>
      <c r="K696" s="162"/>
      <c r="L696" s="162"/>
    </row>
    <row r="697" spans="2:12">
      <c r="B697" s="162"/>
      <c r="C697" s="162"/>
      <c r="D697" s="162"/>
      <c r="E697" s="162"/>
      <c r="F697" s="162"/>
      <c r="G697" s="162"/>
      <c r="H697" s="162"/>
      <c r="I697" s="162"/>
      <c r="J697" s="162"/>
      <c r="K697" s="162"/>
      <c r="L697" s="162"/>
    </row>
    <row r="698" spans="2:12">
      <c r="B698" s="162"/>
      <c r="C698" s="162"/>
      <c r="D698" s="162"/>
      <c r="E698" s="162"/>
      <c r="F698" s="162"/>
      <c r="G698" s="162"/>
      <c r="H698" s="162"/>
      <c r="I698" s="162"/>
      <c r="J698" s="162"/>
      <c r="K698" s="162"/>
      <c r="L698" s="162"/>
    </row>
    <row r="699" spans="2:12">
      <c r="B699" s="162"/>
      <c r="C699" s="162"/>
      <c r="D699" s="162"/>
      <c r="E699" s="162"/>
      <c r="F699" s="162"/>
      <c r="G699" s="162"/>
      <c r="H699" s="162"/>
      <c r="I699" s="162"/>
      <c r="J699" s="162"/>
      <c r="K699" s="162"/>
      <c r="L699" s="162"/>
    </row>
    <row r="700" spans="2:12">
      <c r="B700" s="162"/>
      <c r="C700" s="162"/>
      <c r="D700" s="162"/>
      <c r="E700" s="162"/>
      <c r="F700" s="162"/>
      <c r="G700" s="162"/>
      <c r="H700" s="162"/>
      <c r="I700" s="162"/>
      <c r="J700" s="162"/>
      <c r="K700" s="162"/>
      <c r="L700" s="162"/>
    </row>
    <row r="701" spans="2:12">
      <c r="B701" s="162"/>
      <c r="C701" s="162"/>
      <c r="D701" s="162"/>
      <c r="E701" s="162"/>
      <c r="F701" s="162"/>
      <c r="G701" s="162"/>
      <c r="H701" s="162"/>
      <c r="I701" s="162"/>
      <c r="J701" s="162"/>
      <c r="K701" s="162"/>
      <c r="L701" s="162"/>
    </row>
    <row r="702" spans="2:12">
      <c r="B702" s="162"/>
      <c r="C702" s="162"/>
      <c r="D702" s="162"/>
      <c r="E702" s="162"/>
      <c r="F702" s="162"/>
      <c r="G702" s="162"/>
      <c r="H702" s="162"/>
      <c r="I702" s="162"/>
      <c r="J702" s="162"/>
      <c r="K702" s="162"/>
      <c r="L702" s="162"/>
    </row>
    <row r="703" spans="2:12">
      <c r="B703" s="162"/>
      <c r="C703" s="162"/>
      <c r="D703" s="162"/>
      <c r="E703" s="162"/>
      <c r="F703" s="162"/>
      <c r="G703" s="162"/>
      <c r="H703" s="162"/>
      <c r="I703" s="162"/>
      <c r="J703" s="162"/>
      <c r="K703" s="162"/>
      <c r="L703" s="162"/>
    </row>
    <row r="704" spans="2:12">
      <c r="B704" s="162"/>
      <c r="C704" s="162"/>
      <c r="D704" s="162"/>
      <c r="E704" s="162"/>
      <c r="F704" s="162"/>
      <c r="G704" s="162"/>
      <c r="H704" s="162"/>
      <c r="I704" s="162"/>
      <c r="J704" s="162"/>
      <c r="K704" s="162"/>
      <c r="L704" s="162"/>
    </row>
    <row r="705" spans="2:12">
      <c r="B705" s="162"/>
      <c r="C705" s="162"/>
      <c r="D705" s="162"/>
      <c r="E705" s="162"/>
      <c r="F705" s="162"/>
      <c r="G705" s="162"/>
      <c r="H705" s="162"/>
      <c r="I705" s="162"/>
      <c r="J705" s="162"/>
      <c r="K705" s="162"/>
      <c r="L705" s="162"/>
    </row>
    <row r="706" spans="2:12">
      <c r="B706" s="162"/>
      <c r="C706" s="162"/>
      <c r="D706" s="162"/>
      <c r="E706" s="162"/>
      <c r="F706" s="162"/>
      <c r="G706" s="162"/>
      <c r="H706" s="162"/>
      <c r="I706" s="162"/>
      <c r="J706" s="162"/>
      <c r="K706" s="162"/>
      <c r="L706" s="162"/>
    </row>
    <row r="707" spans="2:12">
      <c r="B707" s="162"/>
      <c r="C707" s="162"/>
      <c r="D707" s="162"/>
      <c r="E707" s="162"/>
      <c r="F707" s="162"/>
      <c r="G707" s="162"/>
      <c r="H707" s="162"/>
      <c r="I707" s="162"/>
      <c r="J707" s="162"/>
      <c r="K707" s="162"/>
      <c r="L707" s="162"/>
    </row>
    <row r="708" spans="2:12">
      <c r="B708" s="162"/>
      <c r="C708" s="162"/>
      <c r="D708" s="162"/>
      <c r="E708" s="162"/>
      <c r="F708" s="162"/>
      <c r="G708" s="162"/>
      <c r="H708" s="162"/>
      <c r="I708" s="162"/>
      <c r="J708" s="162"/>
      <c r="K708" s="162"/>
      <c r="L708" s="162"/>
    </row>
    <row r="709" spans="2:12">
      <c r="B709" s="162"/>
      <c r="C709" s="162"/>
      <c r="D709" s="162"/>
      <c r="E709" s="162"/>
      <c r="F709" s="162"/>
      <c r="G709" s="162"/>
      <c r="H709" s="162"/>
      <c r="I709" s="162"/>
      <c r="J709" s="162"/>
      <c r="K709" s="162"/>
      <c r="L709" s="162"/>
    </row>
    <row r="710" spans="2:12">
      <c r="B710" s="162"/>
      <c r="C710" s="162"/>
      <c r="D710" s="162"/>
      <c r="E710" s="162"/>
      <c r="F710" s="162"/>
      <c r="G710" s="162"/>
      <c r="H710" s="162"/>
      <c r="I710" s="162"/>
      <c r="J710" s="162"/>
      <c r="K710" s="162"/>
      <c r="L710" s="162"/>
    </row>
    <row r="711" spans="2:12">
      <c r="B711" s="162"/>
      <c r="C711" s="162"/>
      <c r="D711" s="162"/>
      <c r="E711" s="162"/>
      <c r="F711" s="162"/>
      <c r="G711" s="162"/>
      <c r="H711" s="162"/>
      <c r="I711" s="162"/>
      <c r="J711" s="162"/>
      <c r="K711" s="162"/>
      <c r="L711" s="162"/>
    </row>
    <row r="712" spans="2:12">
      <c r="B712" s="162"/>
      <c r="C712" s="162"/>
      <c r="D712" s="162"/>
      <c r="E712" s="162"/>
      <c r="F712" s="162"/>
      <c r="G712" s="162"/>
      <c r="H712" s="162"/>
      <c r="I712" s="162"/>
      <c r="J712" s="162"/>
      <c r="K712" s="162"/>
      <c r="L712" s="162"/>
    </row>
    <row r="713" spans="2:12">
      <c r="B713" s="162"/>
      <c r="C713" s="162"/>
      <c r="D713" s="162"/>
      <c r="E713" s="162"/>
      <c r="F713" s="162"/>
      <c r="G713" s="162"/>
      <c r="H713" s="162"/>
      <c r="I713" s="162"/>
      <c r="J713" s="162"/>
      <c r="K713" s="162"/>
      <c r="L713" s="162"/>
    </row>
    <row r="714" spans="2:12">
      <c r="B714" s="162"/>
      <c r="C714" s="162"/>
      <c r="D714" s="162"/>
      <c r="E714" s="162"/>
      <c r="F714" s="162"/>
      <c r="G714" s="162"/>
      <c r="H714" s="162"/>
      <c r="I714" s="162"/>
      <c r="J714" s="162"/>
      <c r="K714" s="162"/>
      <c r="L714" s="162"/>
    </row>
    <row r="715" spans="2:12">
      <c r="B715" s="162"/>
      <c r="C715" s="162"/>
      <c r="D715" s="162"/>
      <c r="E715" s="162"/>
      <c r="F715" s="162"/>
      <c r="G715" s="162"/>
      <c r="H715" s="162"/>
      <c r="I715" s="162"/>
      <c r="J715" s="162"/>
      <c r="K715" s="162"/>
      <c r="L715" s="162"/>
    </row>
    <row r="716" spans="2:12">
      <c r="B716" s="162"/>
      <c r="C716" s="162"/>
      <c r="D716" s="162"/>
      <c r="E716" s="162"/>
      <c r="F716" s="162"/>
      <c r="G716" s="162"/>
      <c r="H716" s="162"/>
      <c r="I716" s="162"/>
      <c r="J716" s="162"/>
      <c r="K716" s="162"/>
      <c r="L716" s="162"/>
    </row>
    <row r="717" spans="2:12">
      <c r="B717" s="162"/>
      <c r="C717" s="162"/>
      <c r="D717" s="162"/>
      <c r="E717" s="162"/>
      <c r="F717" s="162"/>
      <c r="G717" s="162"/>
      <c r="H717" s="162"/>
      <c r="I717" s="162"/>
      <c r="J717" s="162"/>
      <c r="K717" s="162"/>
      <c r="L717" s="162"/>
    </row>
    <row r="718" spans="2:12">
      <c r="B718" s="162"/>
      <c r="C718" s="162"/>
      <c r="D718" s="162"/>
      <c r="E718" s="162"/>
      <c r="F718" s="162"/>
      <c r="G718" s="162"/>
      <c r="H718" s="162"/>
      <c r="I718" s="162"/>
      <c r="J718" s="162"/>
      <c r="K718" s="162"/>
      <c r="L718" s="162"/>
    </row>
    <row r="719" spans="2:12">
      <c r="B719" s="162"/>
      <c r="C719" s="162"/>
      <c r="D719" s="162"/>
      <c r="E719" s="162"/>
      <c r="F719" s="162"/>
      <c r="G719" s="162"/>
      <c r="H719" s="162"/>
      <c r="I719" s="162"/>
      <c r="J719" s="162"/>
      <c r="K719" s="162"/>
      <c r="L719" s="162"/>
    </row>
    <row r="720" spans="2:12">
      <c r="B720" s="162"/>
      <c r="C720" s="162"/>
      <c r="D720" s="162"/>
      <c r="E720" s="162"/>
      <c r="F720" s="162"/>
      <c r="G720" s="162"/>
      <c r="H720" s="162"/>
      <c r="I720" s="162"/>
      <c r="J720" s="162"/>
      <c r="K720" s="162"/>
      <c r="L720" s="162"/>
    </row>
    <row r="721" spans="2:12">
      <c r="B721" s="162"/>
      <c r="C721" s="162"/>
      <c r="D721" s="162"/>
      <c r="E721" s="162"/>
      <c r="F721" s="162"/>
      <c r="G721" s="162"/>
      <c r="H721" s="162"/>
      <c r="I721" s="162"/>
      <c r="J721" s="162"/>
      <c r="K721" s="162"/>
      <c r="L721" s="162"/>
    </row>
    <row r="722" spans="2:12">
      <c r="B722" s="162"/>
      <c r="C722" s="162"/>
      <c r="D722" s="162"/>
      <c r="E722" s="162"/>
      <c r="F722" s="162"/>
      <c r="G722" s="162"/>
      <c r="H722" s="162"/>
      <c r="I722" s="162"/>
      <c r="J722" s="162"/>
      <c r="K722" s="162"/>
      <c r="L722" s="162"/>
    </row>
    <row r="723" spans="2:12">
      <c r="B723" s="162"/>
      <c r="C723" s="162"/>
      <c r="D723" s="162"/>
      <c r="E723" s="162"/>
      <c r="F723" s="162"/>
      <c r="G723" s="162"/>
      <c r="H723" s="162"/>
      <c r="I723" s="162"/>
      <c r="J723" s="162"/>
      <c r="K723" s="162"/>
      <c r="L723" s="162"/>
    </row>
    <row r="724" spans="2:12">
      <c r="B724" s="162"/>
      <c r="C724" s="162"/>
      <c r="D724" s="162"/>
      <c r="E724" s="162"/>
      <c r="F724" s="162"/>
      <c r="G724" s="162"/>
      <c r="H724" s="162"/>
      <c r="I724" s="162"/>
      <c r="J724" s="162"/>
      <c r="K724" s="162"/>
      <c r="L724" s="162"/>
    </row>
    <row r="725" spans="2:12">
      <c r="B725" s="162"/>
      <c r="C725" s="162"/>
      <c r="D725" s="162"/>
      <c r="E725" s="162"/>
      <c r="F725" s="162"/>
      <c r="G725" s="162"/>
      <c r="H725" s="162"/>
      <c r="I725" s="162"/>
      <c r="J725" s="162"/>
      <c r="K725" s="162"/>
      <c r="L725" s="162"/>
    </row>
    <row r="726" spans="2:12">
      <c r="B726" s="162"/>
      <c r="C726" s="162"/>
      <c r="D726" s="162"/>
      <c r="E726" s="162"/>
      <c r="F726" s="162"/>
      <c r="G726" s="162"/>
      <c r="H726" s="162"/>
      <c r="I726" s="162"/>
      <c r="J726" s="162"/>
      <c r="K726" s="162"/>
      <c r="L726" s="162"/>
    </row>
    <row r="727" spans="2:12">
      <c r="B727" s="162"/>
      <c r="C727" s="162"/>
      <c r="D727" s="162"/>
      <c r="E727" s="162"/>
      <c r="F727" s="162"/>
      <c r="G727" s="162"/>
      <c r="H727" s="162"/>
      <c r="I727" s="162"/>
      <c r="J727" s="162"/>
      <c r="K727" s="162"/>
      <c r="L727" s="162"/>
    </row>
    <row r="728" spans="2:12">
      <c r="B728" s="162"/>
      <c r="C728" s="162"/>
      <c r="D728" s="162"/>
      <c r="E728" s="162"/>
      <c r="F728" s="162"/>
      <c r="G728" s="162"/>
      <c r="H728" s="162"/>
      <c r="I728" s="162"/>
      <c r="J728" s="162"/>
      <c r="K728" s="162"/>
      <c r="L728" s="162"/>
    </row>
    <row r="729" spans="2:12">
      <c r="B729" s="162"/>
      <c r="C729" s="162"/>
      <c r="D729" s="162"/>
      <c r="E729" s="162"/>
      <c r="F729" s="162"/>
      <c r="G729" s="162"/>
      <c r="H729" s="162"/>
      <c r="I729" s="162"/>
      <c r="J729" s="162"/>
      <c r="K729" s="162"/>
      <c r="L729" s="162"/>
    </row>
    <row r="730" spans="2:12">
      <c r="B730" s="162"/>
      <c r="C730" s="162"/>
      <c r="D730" s="162"/>
      <c r="E730" s="162"/>
      <c r="F730" s="162"/>
      <c r="G730" s="162"/>
      <c r="H730" s="162"/>
      <c r="I730" s="162"/>
      <c r="J730" s="162"/>
      <c r="K730" s="162"/>
      <c r="L730" s="162"/>
    </row>
    <row r="731" spans="2:12">
      <c r="B731" s="162"/>
      <c r="C731" s="162"/>
      <c r="D731" s="162"/>
      <c r="E731" s="162"/>
      <c r="F731" s="162"/>
      <c r="G731" s="162"/>
      <c r="H731" s="162"/>
      <c r="I731" s="162"/>
      <c r="J731" s="162"/>
      <c r="K731" s="162"/>
      <c r="L731" s="162"/>
    </row>
    <row r="732" spans="2:12">
      <c r="B732" s="162"/>
      <c r="C732" s="162"/>
      <c r="D732" s="162"/>
      <c r="E732" s="162"/>
      <c r="F732" s="162"/>
      <c r="G732" s="162"/>
      <c r="H732" s="162"/>
      <c r="I732" s="162"/>
      <c r="J732" s="162"/>
      <c r="K732" s="162"/>
      <c r="L732" s="162"/>
    </row>
    <row r="733" spans="2:12">
      <c r="B733" s="162"/>
      <c r="C733" s="162"/>
      <c r="D733" s="162"/>
      <c r="E733" s="162"/>
      <c r="F733" s="162"/>
      <c r="G733" s="162"/>
      <c r="H733" s="162"/>
      <c r="I733" s="162"/>
      <c r="J733" s="162"/>
      <c r="K733" s="162"/>
      <c r="L733" s="162"/>
    </row>
    <row r="734" spans="2:12">
      <c r="B734" s="162"/>
      <c r="C734" s="162"/>
      <c r="D734" s="162"/>
      <c r="E734" s="162"/>
      <c r="F734" s="162"/>
      <c r="G734" s="162"/>
      <c r="H734" s="162"/>
      <c r="I734" s="162"/>
      <c r="J734" s="162"/>
      <c r="K734" s="162"/>
      <c r="L734" s="162"/>
    </row>
    <row r="735" spans="2:12">
      <c r="B735" s="162"/>
      <c r="C735" s="162"/>
      <c r="D735" s="162"/>
      <c r="E735" s="162"/>
      <c r="F735" s="162"/>
      <c r="G735" s="162"/>
      <c r="H735" s="162"/>
      <c r="I735" s="162"/>
      <c r="J735" s="162"/>
      <c r="K735" s="162"/>
      <c r="L735" s="162"/>
    </row>
    <row r="736" spans="2:12">
      <c r="B736" s="162"/>
      <c r="C736" s="162"/>
      <c r="D736" s="162"/>
      <c r="E736" s="162"/>
      <c r="F736" s="162"/>
      <c r="G736" s="162"/>
      <c r="H736" s="162"/>
      <c r="I736" s="162"/>
      <c r="J736" s="162"/>
      <c r="K736" s="162"/>
      <c r="L736" s="162"/>
    </row>
    <row r="737" spans="2:12">
      <c r="B737" s="162"/>
      <c r="C737" s="162"/>
      <c r="D737" s="162"/>
      <c r="E737" s="162"/>
      <c r="F737" s="162"/>
      <c r="G737" s="162"/>
      <c r="H737" s="162"/>
      <c r="I737" s="162"/>
      <c r="J737" s="162"/>
      <c r="K737" s="162"/>
      <c r="L737" s="162"/>
    </row>
    <row r="738" spans="2:12">
      <c r="B738" s="162"/>
      <c r="C738" s="162"/>
      <c r="D738" s="162"/>
      <c r="E738" s="162"/>
      <c r="F738" s="162"/>
      <c r="G738" s="162"/>
      <c r="H738" s="162"/>
      <c r="I738" s="162"/>
      <c r="J738" s="162"/>
      <c r="K738" s="162"/>
      <c r="L738" s="162"/>
    </row>
    <row r="739" spans="2:12">
      <c r="B739" s="162"/>
      <c r="C739" s="162"/>
      <c r="D739" s="162"/>
      <c r="E739" s="162"/>
      <c r="F739" s="162"/>
      <c r="G739" s="162"/>
      <c r="H739" s="162"/>
      <c r="I739" s="162"/>
      <c r="J739" s="162"/>
      <c r="K739" s="162"/>
      <c r="L739" s="162"/>
    </row>
    <row r="740" spans="2:12">
      <c r="B740" s="162"/>
      <c r="C740" s="162"/>
      <c r="D740" s="162"/>
      <c r="E740" s="162"/>
      <c r="F740" s="162"/>
      <c r="G740" s="162"/>
      <c r="H740" s="162"/>
      <c r="I740" s="162"/>
      <c r="J740" s="162"/>
      <c r="K740" s="162"/>
      <c r="L740" s="162"/>
    </row>
    <row r="741" spans="2:12">
      <c r="B741" s="162"/>
      <c r="C741" s="162"/>
      <c r="D741" s="162"/>
      <c r="E741" s="162"/>
      <c r="F741" s="162"/>
      <c r="G741" s="162"/>
      <c r="H741" s="162"/>
      <c r="I741" s="162"/>
      <c r="J741" s="162"/>
      <c r="K741" s="162"/>
      <c r="L741" s="162"/>
    </row>
    <row r="742" spans="2:12">
      <c r="B742" s="162"/>
      <c r="C742" s="162"/>
      <c r="D742" s="162"/>
      <c r="E742" s="162"/>
      <c r="F742" s="162"/>
      <c r="G742" s="162"/>
      <c r="H742" s="162"/>
      <c r="I742" s="162"/>
      <c r="J742" s="162"/>
      <c r="K742" s="162"/>
      <c r="L742" s="162"/>
    </row>
    <row r="743" spans="2:12">
      <c r="B743" s="162"/>
      <c r="C743" s="162"/>
      <c r="D743" s="162"/>
      <c r="E743" s="162"/>
      <c r="F743" s="162"/>
      <c r="G743" s="162"/>
      <c r="H743" s="162"/>
      <c r="I743" s="162"/>
      <c r="J743" s="162"/>
      <c r="K743" s="162"/>
      <c r="L743" s="162"/>
    </row>
    <row r="744" spans="2:12">
      <c r="B744" s="162"/>
      <c r="C744" s="162"/>
      <c r="D744" s="162"/>
      <c r="E744" s="162"/>
      <c r="F744" s="162"/>
      <c r="G744" s="162"/>
      <c r="H744" s="162"/>
      <c r="I744" s="162"/>
      <c r="J744" s="162"/>
      <c r="K744" s="162"/>
      <c r="L744" s="162"/>
    </row>
    <row r="745" spans="2:12">
      <c r="B745" s="162"/>
      <c r="C745" s="162"/>
      <c r="D745" s="162"/>
      <c r="E745" s="162"/>
      <c r="F745" s="162"/>
      <c r="G745" s="162"/>
      <c r="H745" s="162"/>
      <c r="I745" s="162"/>
      <c r="J745" s="162"/>
      <c r="K745" s="162"/>
      <c r="L745" s="162"/>
    </row>
    <row r="746" spans="2:12">
      <c r="B746" s="162"/>
      <c r="C746" s="162"/>
      <c r="D746" s="162"/>
      <c r="E746" s="162"/>
      <c r="F746" s="162"/>
      <c r="G746" s="162"/>
      <c r="H746" s="162"/>
      <c r="I746" s="162"/>
      <c r="J746" s="162"/>
      <c r="K746" s="162"/>
      <c r="L746" s="162"/>
    </row>
    <row r="747" spans="2:12">
      <c r="B747" s="162"/>
      <c r="C747" s="162"/>
      <c r="D747" s="162"/>
      <c r="E747" s="162"/>
      <c r="F747" s="162"/>
      <c r="G747" s="162"/>
      <c r="H747" s="162"/>
      <c r="I747" s="162"/>
      <c r="J747" s="162"/>
      <c r="K747" s="162"/>
      <c r="L747" s="162"/>
    </row>
    <row r="748" spans="2:12">
      <c r="B748" s="162"/>
      <c r="C748" s="162"/>
      <c r="D748" s="162"/>
      <c r="E748" s="162"/>
      <c r="F748" s="162"/>
      <c r="G748" s="162"/>
      <c r="H748" s="162"/>
      <c r="I748" s="162"/>
      <c r="J748" s="162"/>
      <c r="K748" s="162"/>
      <c r="L748" s="162"/>
    </row>
    <row r="749" spans="2:12">
      <c r="B749" s="162"/>
      <c r="C749" s="162"/>
      <c r="D749" s="162"/>
      <c r="E749" s="162"/>
      <c r="F749" s="162"/>
      <c r="G749" s="162"/>
      <c r="H749" s="162"/>
      <c r="I749" s="162"/>
      <c r="J749" s="162"/>
      <c r="K749" s="162"/>
      <c r="L749" s="162"/>
    </row>
    <row r="750" spans="2:12">
      <c r="B750" s="162"/>
      <c r="C750" s="162"/>
      <c r="D750" s="162"/>
      <c r="E750" s="162"/>
      <c r="F750" s="162"/>
      <c r="G750" s="162"/>
      <c r="H750" s="162"/>
      <c r="I750" s="162"/>
      <c r="J750" s="162"/>
      <c r="K750" s="162"/>
      <c r="L750" s="162"/>
    </row>
    <row r="751" spans="2:12">
      <c r="B751" s="162"/>
      <c r="C751" s="162"/>
      <c r="D751" s="162"/>
      <c r="E751" s="162"/>
      <c r="F751" s="162"/>
      <c r="G751" s="162"/>
      <c r="H751" s="162"/>
      <c r="I751" s="162"/>
      <c r="J751" s="162"/>
      <c r="K751" s="162"/>
      <c r="L751" s="162"/>
    </row>
    <row r="752" spans="2:12">
      <c r="B752" s="162"/>
      <c r="C752" s="162"/>
      <c r="D752" s="162"/>
      <c r="E752" s="162"/>
      <c r="F752" s="162"/>
      <c r="G752" s="162"/>
      <c r="H752" s="162"/>
      <c r="I752" s="162"/>
      <c r="J752" s="162"/>
      <c r="K752" s="162"/>
      <c r="L752" s="162"/>
    </row>
    <row r="753" spans="2:12">
      <c r="B753" s="162"/>
      <c r="C753" s="162"/>
      <c r="D753" s="162"/>
      <c r="E753" s="162"/>
      <c r="F753" s="162"/>
      <c r="G753" s="162"/>
      <c r="H753" s="162"/>
      <c r="I753" s="162"/>
      <c r="J753" s="162"/>
      <c r="K753" s="162"/>
      <c r="L753" s="162"/>
    </row>
    <row r="754" spans="2:12">
      <c r="B754" s="162"/>
      <c r="C754" s="162"/>
      <c r="D754" s="162"/>
      <c r="E754" s="162"/>
      <c r="F754" s="162"/>
      <c r="G754" s="162"/>
      <c r="H754" s="162"/>
      <c r="I754" s="162"/>
      <c r="J754" s="162"/>
      <c r="K754" s="162"/>
      <c r="L754" s="162"/>
    </row>
    <row r="755" spans="2:12">
      <c r="B755" s="162"/>
      <c r="C755" s="162"/>
      <c r="D755" s="162"/>
      <c r="E755" s="162"/>
      <c r="F755" s="162"/>
      <c r="G755" s="162"/>
      <c r="H755" s="162"/>
      <c r="I755" s="162"/>
      <c r="J755" s="162"/>
      <c r="K755" s="162"/>
      <c r="L755" s="162"/>
    </row>
    <row r="756" spans="2:12">
      <c r="B756" s="162"/>
      <c r="C756" s="162"/>
      <c r="D756" s="162"/>
      <c r="E756" s="162"/>
      <c r="F756" s="162"/>
      <c r="G756" s="162"/>
      <c r="H756" s="162"/>
      <c r="I756" s="162"/>
      <c r="J756" s="162"/>
      <c r="K756" s="162"/>
      <c r="L756" s="162"/>
    </row>
    <row r="757" spans="2:12">
      <c r="B757" s="162"/>
      <c r="C757" s="162"/>
      <c r="D757" s="162"/>
      <c r="E757" s="162"/>
      <c r="F757" s="162"/>
      <c r="G757" s="162"/>
      <c r="H757" s="162"/>
      <c r="I757" s="162"/>
      <c r="J757" s="162"/>
      <c r="K757" s="162"/>
      <c r="L757" s="162"/>
    </row>
    <row r="758" spans="2:12">
      <c r="B758" s="162"/>
      <c r="C758" s="162"/>
      <c r="D758" s="162"/>
      <c r="E758" s="162"/>
      <c r="F758" s="162"/>
      <c r="G758" s="162"/>
      <c r="H758" s="162"/>
      <c r="I758" s="162"/>
      <c r="J758" s="162"/>
      <c r="K758" s="162"/>
      <c r="L758" s="162"/>
    </row>
    <row r="759" spans="2:12">
      <c r="B759" s="162"/>
      <c r="C759" s="162"/>
      <c r="D759" s="162"/>
      <c r="E759" s="162"/>
      <c r="F759" s="162"/>
      <c r="G759" s="162"/>
      <c r="H759" s="162"/>
      <c r="I759" s="162"/>
      <c r="J759" s="162"/>
      <c r="K759" s="162"/>
      <c r="L759" s="162"/>
    </row>
    <row r="760" spans="2:12">
      <c r="B760" s="162"/>
      <c r="C760" s="162"/>
      <c r="D760" s="162"/>
      <c r="E760" s="162"/>
      <c r="F760" s="162"/>
      <c r="G760" s="162"/>
      <c r="H760" s="162"/>
      <c r="I760" s="162"/>
      <c r="J760" s="162"/>
      <c r="K760" s="162"/>
      <c r="L760" s="162"/>
    </row>
    <row r="761" spans="2:12">
      <c r="B761" s="162"/>
      <c r="C761" s="162"/>
      <c r="D761" s="162"/>
      <c r="E761" s="162"/>
      <c r="F761" s="162"/>
      <c r="G761" s="162"/>
      <c r="H761" s="162"/>
      <c r="I761" s="162"/>
      <c r="J761" s="162"/>
      <c r="K761" s="162"/>
      <c r="L761" s="162"/>
    </row>
    <row r="762" spans="2:12">
      <c r="B762" s="162"/>
      <c r="C762" s="162"/>
      <c r="D762" s="162"/>
      <c r="E762" s="162"/>
      <c r="F762" s="162"/>
      <c r="G762" s="162"/>
      <c r="H762" s="162"/>
      <c r="I762" s="162"/>
      <c r="J762" s="162"/>
      <c r="K762" s="162"/>
      <c r="L762" s="162"/>
    </row>
    <row r="763" spans="2:12">
      <c r="B763" s="162"/>
      <c r="C763" s="162"/>
      <c r="D763" s="162"/>
      <c r="E763" s="162"/>
      <c r="F763" s="162"/>
      <c r="G763" s="162"/>
      <c r="H763" s="162"/>
      <c r="I763" s="162"/>
      <c r="J763" s="162"/>
      <c r="K763" s="162"/>
      <c r="L763" s="162"/>
    </row>
    <row r="764" spans="2:12">
      <c r="B764" s="162"/>
      <c r="C764" s="162"/>
      <c r="D764" s="162"/>
      <c r="E764" s="162"/>
      <c r="F764" s="162"/>
      <c r="G764" s="162"/>
      <c r="H764" s="162"/>
      <c r="I764" s="162"/>
      <c r="J764" s="162"/>
      <c r="K764" s="162"/>
      <c r="L764" s="162"/>
    </row>
    <row r="765" spans="2:12">
      <c r="B765" s="162"/>
      <c r="C765" s="162"/>
      <c r="D765" s="162"/>
      <c r="E765" s="162"/>
      <c r="F765" s="162"/>
      <c r="G765" s="162"/>
      <c r="H765" s="162"/>
      <c r="I765" s="162"/>
      <c r="J765" s="162"/>
      <c r="K765" s="162"/>
      <c r="L765" s="162"/>
    </row>
    <row r="766" spans="2:12">
      <c r="B766" s="162"/>
      <c r="C766" s="162"/>
      <c r="D766" s="162"/>
      <c r="E766" s="162"/>
      <c r="F766" s="162"/>
      <c r="G766" s="162"/>
      <c r="H766" s="162"/>
      <c r="I766" s="162"/>
      <c r="J766" s="162"/>
      <c r="K766" s="162"/>
      <c r="L766" s="162"/>
    </row>
    <row r="767" spans="2:12">
      <c r="B767" s="162"/>
      <c r="C767" s="162"/>
      <c r="D767" s="162"/>
      <c r="E767" s="162"/>
      <c r="F767" s="162"/>
      <c r="G767" s="162"/>
      <c r="H767" s="162"/>
      <c r="I767" s="162"/>
      <c r="J767" s="162"/>
      <c r="K767" s="162"/>
      <c r="L767" s="162"/>
    </row>
    <row r="768" spans="2:12">
      <c r="B768" s="162"/>
      <c r="C768" s="162"/>
      <c r="D768" s="162"/>
      <c r="E768" s="162"/>
      <c r="F768" s="162"/>
      <c r="G768" s="162"/>
      <c r="H768" s="162"/>
      <c r="I768" s="162"/>
      <c r="J768" s="162"/>
      <c r="K768" s="162"/>
      <c r="L768" s="162"/>
    </row>
    <row r="769" spans="2:12">
      <c r="B769" s="162"/>
      <c r="C769" s="162"/>
      <c r="D769" s="162"/>
      <c r="E769" s="162"/>
      <c r="F769" s="162"/>
      <c r="G769" s="162"/>
      <c r="H769" s="162"/>
      <c r="I769" s="162"/>
      <c r="J769" s="162"/>
      <c r="K769" s="162"/>
      <c r="L769" s="162"/>
    </row>
    <row r="770" spans="2:12">
      <c r="B770" s="162"/>
      <c r="C770" s="162"/>
      <c r="D770" s="162"/>
      <c r="E770" s="162"/>
      <c r="F770" s="162"/>
      <c r="G770" s="162"/>
      <c r="H770" s="162"/>
      <c r="I770" s="162"/>
      <c r="J770" s="162"/>
      <c r="K770" s="162"/>
      <c r="L770" s="162"/>
    </row>
    <row r="771" spans="2:12">
      <c r="B771" s="162"/>
      <c r="C771" s="162"/>
      <c r="D771" s="162"/>
      <c r="E771" s="162"/>
      <c r="F771" s="162"/>
      <c r="G771" s="162"/>
      <c r="H771" s="162"/>
      <c r="I771" s="162"/>
      <c r="J771" s="162"/>
      <c r="K771" s="162"/>
      <c r="L771" s="162"/>
    </row>
    <row r="772" spans="2:12">
      <c r="B772" s="162"/>
      <c r="C772" s="162"/>
      <c r="D772" s="162"/>
      <c r="E772" s="162"/>
      <c r="F772" s="162"/>
      <c r="G772" s="162"/>
      <c r="H772" s="162"/>
      <c r="I772" s="162"/>
      <c r="J772" s="162"/>
      <c r="K772" s="162"/>
      <c r="L772" s="162"/>
    </row>
    <row r="773" spans="2:12">
      <c r="B773" s="162"/>
      <c r="C773" s="162"/>
      <c r="D773" s="162"/>
      <c r="E773" s="162"/>
      <c r="F773" s="162"/>
      <c r="G773" s="162"/>
      <c r="H773" s="162"/>
      <c r="I773" s="162"/>
      <c r="J773" s="162"/>
      <c r="K773" s="162"/>
      <c r="L773" s="162"/>
    </row>
    <row r="774" spans="2:12">
      <c r="B774" s="162"/>
      <c r="C774" s="162"/>
      <c r="D774" s="162"/>
      <c r="E774" s="162"/>
      <c r="F774" s="162"/>
      <c r="G774" s="162"/>
      <c r="H774" s="162"/>
      <c r="I774" s="162"/>
      <c r="J774" s="162"/>
      <c r="K774" s="162"/>
      <c r="L774" s="162"/>
    </row>
    <row r="775" spans="2:12">
      <c r="B775" s="162"/>
      <c r="C775" s="162"/>
      <c r="D775" s="162"/>
      <c r="E775" s="162"/>
      <c r="F775" s="162"/>
      <c r="G775" s="162"/>
      <c r="H775" s="162"/>
      <c r="I775" s="162"/>
      <c r="J775" s="162"/>
      <c r="K775" s="162"/>
      <c r="L775" s="162"/>
    </row>
    <row r="776" spans="2:12">
      <c r="B776" s="162"/>
      <c r="C776" s="162"/>
      <c r="D776" s="162"/>
      <c r="E776" s="162"/>
      <c r="F776" s="162"/>
      <c r="G776" s="162"/>
      <c r="H776" s="162"/>
      <c r="I776" s="162"/>
      <c r="J776" s="162"/>
      <c r="K776" s="162"/>
      <c r="L776" s="162"/>
    </row>
    <row r="777" spans="2:12">
      <c r="B777" s="162"/>
      <c r="C777" s="162"/>
      <c r="D777" s="162"/>
      <c r="E777" s="162"/>
      <c r="F777" s="162"/>
      <c r="G777" s="162"/>
      <c r="H777" s="162"/>
      <c r="I777" s="162"/>
      <c r="J777" s="162"/>
      <c r="K777" s="162"/>
      <c r="L777" s="162"/>
    </row>
    <row r="778" spans="2:12">
      <c r="B778" s="162"/>
      <c r="C778" s="162"/>
      <c r="D778" s="162"/>
      <c r="E778" s="162"/>
      <c r="F778" s="162"/>
      <c r="G778" s="162"/>
      <c r="H778" s="162"/>
      <c r="I778" s="162"/>
      <c r="J778" s="162"/>
      <c r="K778" s="162"/>
      <c r="L778" s="162"/>
    </row>
    <row r="779" spans="2:12">
      <c r="B779" s="162"/>
      <c r="C779" s="162"/>
      <c r="D779" s="162"/>
      <c r="E779" s="162"/>
      <c r="F779" s="162"/>
      <c r="G779" s="162"/>
      <c r="H779" s="162"/>
      <c r="I779" s="162"/>
      <c r="J779" s="162"/>
      <c r="K779" s="162"/>
      <c r="L779" s="162"/>
    </row>
    <row r="780" spans="2:12">
      <c r="B780" s="162"/>
      <c r="C780" s="162"/>
      <c r="D780" s="162"/>
      <c r="E780" s="162"/>
      <c r="F780" s="162"/>
      <c r="G780" s="162"/>
      <c r="H780" s="162"/>
      <c r="I780" s="162"/>
      <c r="J780" s="162"/>
      <c r="K780" s="162"/>
      <c r="L780" s="162"/>
    </row>
    <row r="781" spans="2:12">
      <c r="B781" s="162"/>
      <c r="C781" s="162"/>
      <c r="D781" s="162"/>
      <c r="E781" s="162"/>
      <c r="F781" s="162"/>
      <c r="G781" s="162"/>
      <c r="H781" s="162"/>
      <c r="I781" s="162"/>
      <c r="J781" s="162"/>
      <c r="K781" s="162"/>
      <c r="L781" s="162"/>
    </row>
    <row r="782" spans="2:12">
      <c r="B782" s="162"/>
      <c r="C782" s="162"/>
      <c r="D782" s="162"/>
      <c r="E782" s="162"/>
      <c r="F782" s="162"/>
      <c r="G782" s="162"/>
      <c r="H782" s="162"/>
      <c r="I782" s="162"/>
      <c r="J782" s="162"/>
      <c r="K782" s="162"/>
      <c r="L782" s="162"/>
    </row>
    <row r="783" spans="2:12">
      <c r="B783" s="162"/>
      <c r="C783" s="162"/>
      <c r="D783" s="162"/>
      <c r="E783" s="162"/>
      <c r="F783" s="162"/>
      <c r="G783" s="162"/>
      <c r="H783" s="162"/>
      <c r="I783" s="162"/>
      <c r="J783" s="162"/>
      <c r="K783" s="162"/>
      <c r="L783" s="162"/>
    </row>
    <row r="784" spans="2:12">
      <c r="B784" s="162"/>
      <c r="C784" s="162"/>
      <c r="D784" s="162"/>
      <c r="E784" s="162"/>
      <c r="F784" s="162"/>
      <c r="G784" s="162"/>
      <c r="H784" s="162"/>
      <c r="I784" s="162"/>
      <c r="J784" s="162"/>
      <c r="K784" s="162"/>
      <c r="L784" s="162"/>
    </row>
    <row r="785" spans="2:12">
      <c r="B785" s="162"/>
      <c r="C785" s="162"/>
      <c r="D785" s="162"/>
      <c r="E785" s="162"/>
      <c r="F785" s="162"/>
      <c r="G785" s="162"/>
      <c r="H785" s="162"/>
      <c r="I785" s="162"/>
      <c r="J785" s="162"/>
      <c r="K785" s="162"/>
      <c r="L785" s="162"/>
    </row>
    <row r="786" spans="2:12">
      <c r="B786" s="162"/>
      <c r="C786" s="162"/>
      <c r="D786" s="162"/>
      <c r="E786" s="162"/>
      <c r="F786" s="162"/>
      <c r="G786" s="162"/>
      <c r="H786" s="162"/>
      <c r="I786" s="162"/>
      <c r="J786" s="162"/>
      <c r="K786" s="162"/>
      <c r="L786" s="162"/>
    </row>
    <row r="787" spans="2:12">
      <c r="B787" s="162"/>
      <c r="C787" s="162"/>
      <c r="D787" s="162"/>
      <c r="E787" s="162"/>
      <c r="F787" s="162"/>
      <c r="G787" s="162"/>
      <c r="H787" s="162"/>
      <c r="I787" s="162"/>
      <c r="J787" s="162"/>
      <c r="K787" s="162"/>
      <c r="L787" s="162"/>
    </row>
    <row r="788" spans="2:12">
      <c r="B788" s="162"/>
      <c r="C788" s="162"/>
      <c r="D788" s="162"/>
      <c r="E788" s="162"/>
      <c r="F788" s="162"/>
      <c r="G788" s="162"/>
      <c r="H788" s="162"/>
      <c r="I788" s="162"/>
      <c r="J788" s="162"/>
      <c r="K788" s="162"/>
      <c r="L788" s="162"/>
    </row>
    <row r="789" spans="2:12">
      <c r="B789" s="162"/>
      <c r="C789" s="162"/>
      <c r="D789" s="162"/>
      <c r="E789" s="162"/>
      <c r="F789" s="162"/>
      <c r="G789" s="162"/>
      <c r="H789" s="162"/>
      <c r="I789" s="162"/>
      <c r="J789" s="162"/>
      <c r="K789" s="162"/>
      <c r="L789" s="162"/>
    </row>
    <row r="790" spans="2:12">
      <c r="B790" s="162"/>
      <c r="C790" s="162"/>
      <c r="D790" s="162"/>
      <c r="E790" s="162"/>
      <c r="F790" s="162"/>
      <c r="G790" s="162"/>
      <c r="H790" s="162"/>
      <c r="I790" s="162"/>
      <c r="J790" s="162"/>
      <c r="K790" s="162"/>
      <c r="L790" s="162"/>
    </row>
    <row r="791" spans="2:12">
      <c r="B791" s="162"/>
      <c r="C791" s="162"/>
      <c r="D791" s="162"/>
      <c r="E791" s="162"/>
      <c r="F791" s="162"/>
      <c r="G791" s="162"/>
      <c r="H791" s="162"/>
      <c r="I791" s="162"/>
      <c r="J791" s="162"/>
      <c r="K791" s="162"/>
      <c r="L791" s="162"/>
    </row>
    <row r="792" spans="2:12">
      <c r="B792" s="162"/>
      <c r="C792" s="162"/>
      <c r="D792" s="162"/>
      <c r="E792" s="162"/>
      <c r="F792" s="162"/>
      <c r="G792" s="162"/>
      <c r="H792" s="162"/>
      <c r="I792" s="162"/>
      <c r="J792" s="162"/>
      <c r="K792" s="162"/>
      <c r="L792" s="162"/>
    </row>
    <row r="793" spans="2:12">
      <c r="B793" s="162"/>
      <c r="C793" s="162"/>
      <c r="D793" s="162"/>
      <c r="E793" s="162"/>
      <c r="F793" s="162"/>
      <c r="G793" s="162"/>
      <c r="H793" s="162"/>
      <c r="I793" s="162"/>
      <c r="J793" s="162"/>
      <c r="K793" s="162"/>
      <c r="L793" s="162"/>
    </row>
    <row r="794" spans="2:12">
      <c r="B794" s="162"/>
      <c r="C794" s="162"/>
      <c r="D794" s="162"/>
      <c r="E794" s="162"/>
      <c r="F794" s="162"/>
      <c r="G794" s="162"/>
      <c r="H794" s="162"/>
      <c r="I794" s="162"/>
      <c r="J794" s="162"/>
      <c r="K794" s="162"/>
      <c r="L794" s="162"/>
    </row>
    <row r="795" spans="2:12">
      <c r="B795" s="162"/>
      <c r="C795" s="162"/>
      <c r="D795" s="162"/>
      <c r="E795" s="162"/>
      <c r="F795" s="162"/>
      <c r="G795" s="162"/>
      <c r="H795" s="162"/>
      <c r="I795" s="162"/>
      <c r="J795" s="162"/>
      <c r="K795" s="162"/>
      <c r="L795" s="162"/>
    </row>
    <row r="796" spans="2:12">
      <c r="B796" s="162"/>
      <c r="C796" s="162"/>
      <c r="D796" s="162"/>
      <c r="E796" s="162"/>
      <c r="F796" s="162"/>
      <c r="G796" s="162"/>
      <c r="H796" s="162"/>
      <c r="I796" s="162"/>
      <c r="J796" s="162"/>
      <c r="K796" s="162"/>
      <c r="L796" s="162"/>
    </row>
    <row r="797" spans="2:12">
      <c r="B797" s="162"/>
      <c r="C797" s="162"/>
      <c r="D797" s="162"/>
      <c r="E797" s="162"/>
      <c r="F797" s="162"/>
      <c r="G797" s="162"/>
      <c r="H797" s="162"/>
      <c r="I797" s="162"/>
      <c r="J797" s="162"/>
      <c r="K797" s="162"/>
      <c r="L797" s="162"/>
    </row>
    <row r="798" spans="2:12">
      <c r="B798" s="162"/>
      <c r="C798" s="162"/>
      <c r="D798" s="162"/>
      <c r="E798" s="162"/>
      <c r="F798" s="162"/>
      <c r="G798" s="162"/>
      <c r="H798" s="162"/>
      <c r="I798" s="162"/>
      <c r="J798" s="162"/>
      <c r="K798" s="162"/>
      <c r="L798" s="162"/>
    </row>
    <row r="799" spans="2:12">
      <c r="B799" s="162"/>
      <c r="C799" s="162"/>
      <c r="D799" s="162"/>
      <c r="E799" s="162"/>
      <c r="F799" s="162"/>
      <c r="G799" s="162"/>
      <c r="H799" s="162"/>
      <c r="I799" s="162"/>
      <c r="J799" s="162"/>
      <c r="K799" s="162"/>
      <c r="L799" s="162"/>
    </row>
    <row r="800" spans="2:12">
      <c r="B800" s="162"/>
      <c r="C800" s="162"/>
      <c r="D800" s="162"/>
      <c r="E800" s="162"/>
      <c r="F800" s="162"/>
      <c r="G800" s="162"/>
      <c r="H800" s="162"/>
      <c r="I800" s="162"/>
      <c r="J800" s="162"/>
      <c r="K800" s="162"/>
      <c r="L800" s="162"/>
    </row>
    <row r="801" spans="2:12">
      <c r="B801" s="162"/>
      <c r="C801" s="162"/>
      <c r="D801" s="162"/>
      <c r="E801" s="162"/>
      <c r="F801" s="162"/>
      <c r="G801" s="162"/>
      <c r="H801" s="162"/>
      <c r="I801" s="162"/>
      <c r="J801" s="162"/>
      <c r="K801" s="162"/>
      <c r="L801" s="162"/>
    </row>
    <row r="802" spans="2:12">
      <c r="B802" s="162"/>
      <c r="C802" s="162"/>
      <c r="D802" s="162"/>
      <c r="E802" s="162"/>
      <c r="F802" s="162"/>
      <c r="G802" s="162"/>
      <c r="H802" s="162"/>
      <c r="I802" s="162"/>
      <c r="J802" s="162"/>
      <c r="K802" s="162"/>
      <c r="L802" s="162"/>
    </row>
    <row r="803" spans="2:12">
      <c r="B803" s="162"/>
      <c r="C803" s="162"/>
      <c r="D803" s="162"/>
      <c r="E803" s="162"/>
      <c r="F803" s="162"/>
      <c r="G803" s="162"/>
      <c r="H803" s="162"/>
      <c r="I803" s="162"/>
      <c r="J803" s="162"/>
      <c r="K803" s="162"/>
      <c r="L803" s="162"/>
    </row>
    <row r="804" spans="2:12">
      <c r="B804" s="162"/>
      <c r="C804" s="162"/>
      <c r="D804" s="162"/>
      <c r="E804" s="162"/>
      <c r="F804" s="162"/>
      <c r="G804" s="162"/>
      <c r="H804" s="162"/>
      <c r="I804" s="162"/>
      <c r="J804" s="162"/>
      <c r="K804" s="162"/>
      <c r="L804" s="162"/>
    </row>
    <row r="805" spans="2:12">
      <c r="B805" s="162"/>
      <c r="C805" s="162"/>
      <c r="D805" s="162"/>
      <c r="E805" s="162"/>
      <c r="F805" s="162"/>
      <c r="G805" s="162"/>
      <c r="H805" s="162"/>
      <c r="I805" s="162"/>
      <c r="J805" s="162"/>
      <c r="K805" s="162"/>
      <c r="L805" s="162"/>
    </row>
    <row r="806" spans="2:12">
      <c r="B806" s="162"/>
      <c r="C806" s="162"/>
      <c r="D806" s="162"/>
      <c r="E806" s="162"/>
      <c r="F806" s="162"/>
      <c r="G806" s="162"/>
      <c r="H806" s="162"/>
      <c r="I806" s="162"/>
      <c r="J806" s="162"/>
      <c r="K806" s="162"/>
      <c r="L806" s="162"/>
    </row>
    <row r="807" spans="2:12">
      <c r="B807" s="162"/>
      <c r="C807" s="162"/>
      <c r="D807" s="162"/>
      <c r="E807" s="162"/>
      <c r="F807" s="162"/>
      <c r="G807" s="162"/>
      <c r="H807" s="162"/>
      <c r="I807" s="162"/>
      <c r="J807" s="162"/>
      <c r="K807" s="162"/>
      <c r="L807" s="162"/>
    </row>
    <row r="808" spans="2:12">
      <c r="B808" s="162"/>
      <c r="C808" s="162"/>
      <c r="D808" s="162"/>
      <c r="E808" s="162"/>
      <c r="F808" s="162"/>
      <c r="G808" s="162"/>
      <c r="H808" s="162"/>
      <c r="I808" s="162"/>
      <c r="J808" s="162"/>
      <c r="K808" s="162"/>
      <c r="L808" s="162"/>
    </row>
    <row r="809" spans="2:12">
      <c r="B809" s="162"/>
      <c r="C809" s="162"/>
      <c r="D809" s="162"/>
      <c r="E809" s="162"/>
      <c r="F809" s="162"/>
      <c r="G809" s="162"/>
      <c r="H809" s="162"/>
      <c r="I809" s="162"/>
      <c r="J809" s="162"/>
      <c r="K809" s="162"/>
      <c r="L809" s="162"/>
    </row>
    <row r="810" spans="2:12">
      <c r="B810" s="162"/>
      <c r="C810" s="162"/>
      <c r="D810" s="162"/>
      <c r="E810" s="162"/>
      <c r="F810" s="162"/>
      <c r="G810" s="162"/>
      <c r="H810" s="162"/>
      <c r="I810" s="162"/>
      <c r="J810" s="162"/>
      <c r="K810" s="162"/>
      <c r="L810" s="162"/>
    </row>
    <row r="811" spans="2:12">
      <c r="B811" s="162"/>
      <c r="C811" s="162"/>
      <c r="D811" s="162"/>
      <c r="E811" s="162"/>
      <c r="F811" s="162"/>
      <c r="G811" s="162"/>
      <c r="H811" s="162"/>
      <c r="I811" s="162"/>
      <c r="J811" s="162"/>
      <c r="K811" s="162"/>
      <c r="L811" s="162"/>
    </row>
    <row r="812" spans="2:12">
      <c r="B812" s="162"/>
      <c r="C812" s="162"/>
      <c r="D812" s="162"/>
      <c r="E812" s="162"/>
      <c r="F812" s="162"/>
      <c r="G812" s="162"/>
      <c r="H812" s="162"/>
      <c r="I812" s="162"/>
      <c r="J812" s="162"/>
      <c r="K812" s="162"/>
      <c r="L812" s="162"/>
    </row>
    <row r="813" spans="2:12">
      <c r="B813" s="162"/>
      <c r="C813" s="162"/>
      <c r="D813" s="162"/>
      <c r="E813" s="162"/>
      <c r="F813" s="162"/>
      <c r="G813" s="162"/>
      <c r="H813" s="162"/>
      <c r="I813" s="162"/>
      <c r="J813" s="162"/>
      <c r="K813" s="162"/>
      <c r="L813" s="162"/>
    </row>
    <row r="814" spans="2:12">
      <c r="B814" s="162"/>
      <c r="C814" s="162"/>
      <c r="D814" s="162"/>
      <c r="E814" s="162"/>
      <c r="F814" s="162"/>
      <c r="G814" s="162"/>
      <c r="H814" s="162"/>
      <c r="I814" s="162"/>
      <c r="J814" s="162"/>
      <c r="K814" s="162"/>
      <c r="L814" s="162"/>
    </row>
    <row r="815" spans="2:12">
      <c r="B815" s="162"/>
      <c r="C815" s="162"/>
      <c r="D815" s="162"/>
      <c r="E815" s="162"/>
      <c r="F815" s="162"/>
      <c r="G815" s="162"/>
      <c r="H815" s="162"/>
      <c r="I815" s="162"/>
      <c r="J815" s="162"/>
      <c r="K815" s="162"/>
      <c r="L815" s="162"/>
    </row>
    <row r="816" spans="2:12">
      <c r="B816" s="162"/>
      <c r="C816" s="162"/>
      <c r="D816" s="162"/>
      <c r="E816" s="162"/>
      <c r="F816" s="162"/>
      <c r="G816" s="162"/>
      <c r="H816" s="162"/>
      <c r="I816" s="162"/>
      <c r="J816" s="162"/>
      <c r="K816" s="162"/>
      <c r="L816" s="162"/>
    </row>
    <row r="817" spans="2:12">
      <c r="B817" s="162"/>
      <c r="C817" s="162"/>
      <c r="D817" s="162"/>
      <c r="E817" s="162"/>
      <c r="F817" s="162"/>
      <c r="G817" s="162"/>
      <c r="H817" s="162"/>
      <c r="I817" s="162"/>
      <c r="J817" s="162"/>
      <c r="K817" s="162"/>
      <c r="L817" s="162"/>
    </row>
    <row r="818" spans="2:12">
      <c r="B818" s="162"/>
      <c r="C818" s="162"/>
      <c r="D818" s="162"/>
      <c r="E818" s="162"/>
      <c r="F818" s="162"/>
      <c r="G818" s="162"/>
      <c r="H818" s="162"/>
      <c r="I818" s="162"/>
      <c r="J818" s="162"/>
      <c r="K818" s="162"/>
      <c r="L818" s="162"/>
    </row>
    <row r="819" spans="2:12">
      <c r="B819" s="162"/>
      <c r="C819" s="162"/>
      <c r="D819" s="162"/>
      <c r="E819" s="162"/>
      <c r="F819" s="162"/>
      <c r="G819" s="162"/>
      <c r="H819" s="162"/>
      <c r="I819" s="162"/>
      <c r="J819" s="162"/>
      <c r="K819" s="162"/>
      <c r="L819" s="162"/>
    </row>
    <row r="820" spans="2:12">
      <c r="B820" s="162"/>
      <c r="C820" s="162"/>
      <c r="D820" s="162"/>
      <c r="E820" s="162"/>
      <c r="F820" s="162"/>
      <c r="G820" s="162"/>
      <c r="H820" s="162"/>
      <c r="I820" s="162"/>
      <c r="J820" s="162"/>
      <c r="K820" s="162"/>
      <c r="L820" s="162"/>
    </row>
    <row r="821" spans="2:12">
      <c r="B821" s="162"/>
      <c r="C821" s="162"/>
      <c r="D821" s="162"/>
      <c r="E821" s="162"/>
      <c r="F821" s="162"/>
      <c r="G821" s="162"/>
      <c r="H821" s="162"/>
      <c r="I821" s="162"/>
      <c r="J821" s="162"/>
      <c r="K821" s="162"/>
      <c r="L821" s="162"/>
    </row>
    <row r="822" spans="2:12">
      <c r="B822" s="162"/>
      <c r="C822" s="162"/>
      <c r="D822" s="162"/>
      <c r="E822" s="162"/>
      <c r="F822" s="162"/>
      <c r="G822" s="162"/>
      <c r="H822" s="162"/>
      <c r="I822" s="162"/>
      <c r="J822" s="162"/>
      <c r="K822" s="162"/>
      <c r="L822" s="162"/>
    </row>
    <row r="823" spans="2:12">
      <c r="B823" s="162"/>
      <c r="C823" s="162"/>
      <c r="D823" s="162"/>
      <c r="E823" s="162"/>
      <c r="F823" s="162"/>
      <c r="G823" s="162"/>
      <c r="H823" s="162"/>
      <c r="I823" s="162"/>
      <c r="J823" s="162"/>
      <c r="K823" s="162"/>
      <c r="L823" s="162"/>
    </row>
    <row r="824" spans="2:12">
      <c r="B824" s="162"/>
      <c r="C824" s="162"/>
      <c r="D824" s="162"/>
      <c r="E824" s="162"/>
      <c r="F824" s="162"/>
      <c r="G824" s="162"/>
      <c r="H824" s="162"/>
      <c r="I824" s="162"/>
      <c r="J824" s="162"/>
      <c r="K824" s="162"/>
      <c r="L824" s="162"/>
    </row>
    <row r="825" spans="2:12">
      <c r="B825" s="162"/>
      <c r="C825" s="162"/>
      <c r="D825" s="162"/>
      <c r="E825" s="162"/>
      <c r="F825" s="162"/>
      <c r="G825" s="162"/>
      <c r="H825" s="162"/>
      <c r="I825" s="162"/>
      <c r="J825" s="162"/>
      <c r="K825" s="162"/>
      <c r="L825" s="162"/>
    </row>
    <row r="826" spans="2:12">
      <c r="B826" s="162"/>
      <c r="C826" s="162"/>
      <c r="D826" s="162"/>
      <c r="E826" s="162"/>
      <c r="F826" s="162"/>
      <c r="G826" s="162"/>
      <c r="H826" s="162"/>
      <c r="I826" s="162"/>
      <c r="J826" s="162"/>
      <c r="K826" s="162"/>
      <c r="L826" s="162"/>
    </row>
    <row r="827" spans="2:12">
      <c r="B827" s="162"/>
      <c r="C827" s="162"/>
      <c r="D827" s="162"/>
      <c r="E827" s="162"/>
      <c r="F827" s="162"/>
      <c r="G827" s="162"/>
      <c r="H827" s="162"/>
      <c r="I827" s="162"/>
      <c r="J827" s="162"/>
      <c r="K827" s="162"/>
      <c r="L827" s="162"/>
    </row>
    <row r="828" spans="2:12">
      <c r="B828" s="162"/>
      <c r="C828" s="162"/>
      <c r="D828" s="162"/>
      <c r="E828" s="162"/>
      <c r="F828" s="162"/>
      <c r="G828" s="162"/>
      <c r="H828" s="162"/>
      <c r="I828" s="162"/>
      <c r="J828" s="162"/>
      <c r="K828" s="162"/>
      <c r="L828" s="162"/>
    </row>
    <row r="829" spans="2:12">
      <c r="B829" s="162"/>
      <c r="C829" s="162"/>
      <c r="D829" s="162"/>
      <c r="E829" s="162"/>
      <c r="F829" s="162"/>
      <c r="G829" s="162"/>
      <c r="H829" s="162"/>
      <c r="I829" s="162"/>
      <c r="J829" s="162"/>
      <c r="K829" s="162"/>
      <c r="L829" s="162"/>
    </row>
    <row r="830" spans="2:12">
      <c r="B830" s="162"/>
      <c r="C830" s="162"/>
      <c r="D830" s="162"/>
      <c r="E830" s="162"/>
      <c r="F830" s="162"/>
      <c r="G830" s="162"/>
      <c r="H830" s="162"/>
      <c r="I830" s="162"/>
      <c r="J830" s="162"/>
      <c r="K830" s="162"/>
      <c r="L830" s="162"/>
    </row>
    <row r="831" spans="2:12">
      <c r="B831" s="162"/>
      <c r="C831" s="162"/>
      <c r="D831" s="162"/>
      <c r="E831" s="162"/>
      <c r="F831" s="162"/>
      <c r="G831" s="162"/>
      <c r="H831" s="162"/>
      <c r="I831" s="162"/>
      <c r="J831" s="162"/>
      <c r="K831" s="162"/>
      <c r="L831" s="162"/>
    </row>
    <row r="832" spans="2:12">
      <c r="B832" s="162"/>
      <c r="C832" s="162"/>
      <c r="D832" s="162"/>
      <c r="E832" s="162"/>
      <c r="F832" s="162"/>
      <c r="G832" s="162"/>
      <c r="H832" s="162"/>
      <c r="I832" s="162"/>
      <c r="J832" s="162"/>
      <c r="K832" s="162"/>
      <c r="L832" s="162"/>
    </row>
    <row r="833" spans="2:12">
      <c r="B833" s="162"/>
      <c r="C833" s="162"/>
      <c r="D833" s="162"/>
      <c r="E833" s="162"/>
      <c r="F833" s="162"/>
      <c r="G833" s="162"/>
      <c r="H833" s="162"/>
      <c r="I833" s="162"/>
      <c r="J833" s="162"/>
      <c r="K833" s="162"/>
      <c r="L833" s="162"/>
    </row>
    <row r="834" spans="2:12">
      <c r="B834" s="162"/>
      <c r="C834" s="162"/>
      <c r="D834" s="162"/>
      <c r="E834" s="162"/>
      <c r="F834" s="162"/>
      <c r="G834" s="162"/>
      <c r="H834" s="162"/>
      <c r="I834" s="162"/>
      <c r="J834" s="162"/>
      <c r="K834" s="162"/>
      <c r="L834" s="162"/>
    </row>
    <row r="835" spans="2:12">
      <c r="B835" s="162"/>
      <c r="C835" s="162"/>
      <c r="D835" s="162"/>
      <c r="E835" s="162"/>
      <c r="F835" s="162"/>
      <c r="G835" s="162"/>
      <c r="H835" s="162"/>
      <c r="I835" s="162"/>
      <c r="J835" s="162"/>
      <c r="K835" s="162"/>
      <c r="L835" s="162"/>
    </row>
    <row r="836" spans="2:12">
      <c r="B836" s="162"/>
      <c r="C836" s="162"/>
      <c r="D836" s="162"/>
      <c r="E836" s="162"/>
      <c r="F836" s="162"/>
      <c r="G836" s="162"/>
      <c r="H836" s="162"/>
      <c r="I836" s="162"/>
      <c r="J836" s="162"/>
      <c r="K836" s="162"/>
      <c r="L836" s="162"/>
    </row>
    <row r="837" spans="2:12">
      <c r="B837" s="162"/>
      <c r="C837" s="162"/>
      <c r="D837" s="162"/>
      <c r="E837" s="162"/>
      <c r="F837" s="162"/>
      <c r="G837" s="162"/>
      <c r="H837" s="162"/>
      <c r="I837" s="162"/>
      <c r="J837" s="162"/>
      <c r="K837" s="162"/>
      <c r="L837" s="162"/>
    </row>
    <row r="838" spans="2:12">
      <c r="B838" s="162"/>
      <c r="C838" s="162"/>
      <c r="D838" s="162"/>
      <c r="E838" s="162"/>
      <c r="F838" s="162"/>
      <c r="G838" s="162"/>
      <c r="H838" s="162"/>
      <c r="I838" s="162"/>
      <c r="J838" s="162"/>
      <c r="K838" s="162"/>
      <c r="L838" s="162"/>
    </row>
    <row r="839" spans="2:12">
      <c r="B839" s="162"/>
      <c r="C839" s="162"/>
      <c r="D839" s="162"/>
      <c r="E839" s="162"/>
      <c r="F839" s="162"/>
      <c r="G839" s="162"/>
      <c r="H839" s="162"/>
      <c r="I839" s="162"/>
      <c r="J839" s="162"/>
      <c r="K839" s="162"/>
      <c r="L839" s="162"/>
    </row>
    <row r="840" spans="2:12">
      <c r="B840" s="162"/>
      <c r="C840" s="162"/>
      <c r="D840" s="162"/>
      <c r="E840" s="162"/>
      <c r="F840" s="162"/>
      <c r="G840" s="162"/>
      <c r="H840" s="162"/>
      <c r="I840" s="162"/>
      <c r="J840" s="162"/>
      <c r="K840" s="162"/>
      <c r="L840" s="162"/>
    </row>
    <row r="841" spans="2:12">
      <c r="B841" s="162"/>
      <c r="C841" s="162"/>
      <c r="D841" s="162"/>
      <c r="E841" s="162"/>
      <c r="F841" s="162"/>
      <c r="G841" s="162"/>
      <c r="H841" s="162"/>
      <c r="I841" s="162"/>
      <c r="J841" s="162"/>
      <c r="K841" s="162"/>
      <c r="L841" s="162"/>
    </row>
    <row r="842" spans="2:12">
      <c r="B842" s="162"/>
      <c r="C842" s="162"/>
      <c r="D842" s="162"/>
      <c r="E842" s="162"/>
      <c r="F842" s="162"/>
      <c r="G842" s="162"/>
      <c r="H842" s="162"/>
      <c r="I842" s="162"/>
      <c r="J842" s="162"/>
      <c r="K842" s="162"/>
      <c r="L842" s="162"/>
    </row>
    <row r="843" spans="2:12">
      <c r="B843" s="162"/>
      <c r="C843" s="162"/>
      <c r="D843" s="162"/>
      <c r="E843" s="162"/>
      <c r="F843" s="162"/>
      <c r="G843" s="162"/>
      <c r="H843" s="162"/>
      <c r="I843" s="162"/>
      <c r="J843" s="162"/>
      <c r="K843" s="162"/>
      <c r="L843" s="162"/>
    </row>
    <row r="844" spans="2:12">
      <c r="B844" s="162"/>
      <c r="C844" s="162"/>
      <c r="D844" s="162"/>
      <c r="E844" s="162"/>
      <c r="F844" s="162"/>
      <c r="G844" s="162"/>
      <c r="H844" s="162"/>
      <c r="I844" s="162"/>
      <c r="J844" s="162"/>
      <c r="K844" s="162"/>
      <c r="L844" s="162"/>
    </row>
    <row r="845" spans="2:12">
      <c r="B845" s="162"/>
      <c r="C845" s="162"/>
      <c r="D845" s="162"/>
      <c r="E845" s="162"/>
      <c r="F845" s="162"/>
      <c r="G845" s="162"/>
      <c r="H845" s="162"/>
      <c r="I845" s="162"/>
      <c r="J845" s="162"/>
      <c r="K845" s="162"/>
      <c r="L845" s="162"/>
    </row>
    <row r="846" spans="2:12">
      <c r="B846" s="162"/>
      <c r="C846" s="162"/>
      <c r="D846" s="162"/>
      <c r="E846" s="162"/>
      <c r="F846" s="162"/>
      <c r="G846" s="162"/>
      <c r="H846" s="162"/>
      <c r="I846" s="162"/>
      <c r="J846" s="162"/>
      <c r="K846" s="162"/>
      <c r="L846" s="162"/>
    </row>
    <row r="847" spans="2:12">
      <c r="B847" s="162"/>
      <c r="C847" s="162"/>
      <c r="D847" s="162"/>
      <c r="E847" s="162"/>
      <c r="F847" s="162"/>
      <c r="G847" s="162"/>
      <c r="H847" s="162"/>
      <c r="I847" s="162"/>
      <c r="J847" s="162"/>
      <c r="K847" s="162"/>
      <c r="L847" s="162"/>
    </row>
    <row r="848" spans="2:12">
      <c r="B848" s="162"/>
      <c r="C848" s="162"/>
      <c r="D848" s="162"/>
      <c r="E848" s="162"/>
      <c r="F848" s="162"/>
      <c r="G848" s="162"/>
      <c r="H848" s="162"/>
      <c r="I848" s="162"/>
      <c r="J848" s="162"/>
      <c r="K848" s="162"/>
      <c r="L848" s="162"/>
    </row>
    <row r="849" spans="2:12">
      <c r="B849" s="162"/>
      <c r="C849" s="162"/>
      <c r="D849" s="162"/>
      <c r="E849" s="162"/>
      <c r="F849" s="162"/>
      <c r="G849" s="162"/>
      <c r="H849" s="162"/>
      <c r="I849" s="162"/>
      <c r="J849" s="162"/>
      <c r="K849" s="162"/>
      <c r="L849" s="162"/>
    </row>
    <row r="850" spans="2:12">
      <c r="B850" s="162"/>
      <c r="C850" s="162"/>
      <c r="D850" s="162"/>
      <c r="E850" s="162"/>
      <c r="F850" s="162"/>
      <c r="G850" s="162"/>
      <c r="H850" s="162"/>
      <c r="I850" s="162"/>
      <c r="J850" s="162"/>
      <c r="K850" s="162"/>
      <c r="L850" s="162"/>
    </row>
    <row r="851" spans="2:12">
      <c r="B851" s="162"/>
      <c r="C851" s="162"/>
      <c r="D851" s="162"/>
      <c r="E851" s="162"/>
      <c r="F851" s="162"/>
      <c r="G851" s="162"/>
      <c r="H851" s="162"/>
      <c r="I851" s="162"/>
      <c r="J851" s="162"/>
      <c r="K851" s="162"/>
      <c r="L851" s="162"/>
    </row>
    <row r="852" spans="2:12">
      <c r="B852" s="162"/>
      <c r="C852" s="162"/>
      <c r="D852" s="162"/>
      <c r="E852" s="162"/>
      <c r="F852" s="162"/>
      <c r="G852" s="162"/>
      <c r="H852" s="162"/>
      <c r="I852" s="162"/>
      <c r="J852" s="162"/>
      <c r="K852" s="162"/>
      <c r="L852" s="162"/>
    </row>
    <row r="853" spans="2:12">
      <c r="B853" s="162"/>
      <c r="C853" s="162"/>
      <c r="D853" s="162"/>
      <c r="E853" s="162"/>
      <c r="F853" s="162"/>
      <c r="G853" s="162"/>
      <c r="H853" s="162"/>
      <c r="I853" s="162"/>
      <c r="J853" s="162"/>
      <c r="K853" s="162"/>
      <c r="L853" s="162"/>
    </row>
    <row r="854" spans="2:12">
      <c r="B854" s="162"/>
      <c r="C854" s="162"/>
      <c r="D854" s="162"/>
      <c r="E854" s="162"/>
      <c r="F854" s="162"/>
      <c r="G854" s="162"/>
      <c r="H854" s="162"/>
      <c r="I854" s="162"/>
      <c r="J854" s="162"/>
      <c r="K854" s="162"/>
      <c r="L854" s="162"/>
    </row>
    <row r="855" spans="2:12">
      <c r="B855" s="162"/>
      <c r="C855" s="162"/>
      <c r="D855" s="162"/>
      <c r="E855" s="162"/>
      <c r="F855" s="162"/>
      <c r="G855" s="162"/>
      <c r="H855" s="162"/>
      <c r="I855" s="162"/>
      <c r="J855" s="162"/>
      <c r="K855" s="162"/>
      <c r="L855" s="162"/>
    </row>
    <row r="856" spans="2:12">
      <c r="B856" s="162"/>
      <c r="C856" s="162"/>
      <c r="D856" s="162"/>
      <c r="E856" s="162"/>
      <c r="F856" s="162"/>
      <c r="G856" s="162"/>
      <c r="H856" s="162"/>
      <c r="I856" s="162"/>
      <c r="J856" s="162"/>
      <c r="K856" s="162"/>
      <c r="L856" s="162"/>
    </row>
    <row r="857" spans="2:12">
      <c r="B857" s="162"/>
      <c r="C857" s="162"/>
      <c r="D857" s="162"/>
      <c r="E857" s="162"/>
      <c r="F857" s="162"/>
      <c r="G857" s="162"/>
      <c r="H857" s="162"/>
      <c r="I857" s="162"/>
      <c r="J857" s="162"/>
      <c r="K857" s="162"/>
      <c r="L857" s="162"/>
    </row>
    <row r="858" spans="2:12">
      <c r="B858" s="162"/>
      <c r="C858" s="162"/>
      <c r="D858" s="162"/>
      <c r="E858" s="162"/>
      <c r="F858" s="162"/>
      <c r="G858" s="162"/>
      <c r="H858" s="162"/>
      <c r="I858" s="162"/>
      <c r="J858" s="162"/>
      <c r="K858" s="162"/>
      <c r="L858" s="162"/>
    </row>
    <row r="859" spans="2:12">
      <c r="B859" s="162"/>
      <c r="C859" s="162"/>
      <c r="D859" s="162"/>
      <c r="E859" s="162"/>
      <c r="F859" s="162"/>
      <c r="G859" s="162"/>
      <c r="H859" s="162"/>
      <c r="I859" s="162"/>
      <c r="J859" s="162"/>
      <c r="K859" s="162"/>
      <c r="L859" s="162"/>
    </row>
    <row r="860" spans="2:12">
      <c r="B860" s="162"/>
      <c r="C860" s="162"/>
      <c r="D860" s="162"/>
      <c r="E860" s="162"/>
      <c r="F860" s="162"/>
      <c r="G860" s="162"/>
      <c r="H860" s="162"/>
      <c r="I860" s="162"/>
      <c r="J860" s="162"/>
      <c r="K860" s="162"/>
      <c r="L860" s="162"/>
    </row>
    <row r="861" spans="2:12">
      <c r="B861" s="162"/>
      <c r="C861" s="162"/>
      <c r="D861" s="162"/>
      <c r="E861" s="162"/>
      <c r="F861" s="162"/>
      <c r="G861" s="162"/>
      <c r="H861" s="162"/>
      <c r="I861" s="162"/>
      <c r="J861" s="162"/>
      <c r="K861" s="162"/>
      <c r="L861" s="162"/>
    </row>
    <row r="862" spans="2:12">
      <c r="B862" s="162"/>
      <c r="C862" s="162"/>
      <c r="D862" s="162"/>
      <c r="E862" s="162"/>
      <c r="F862" s="162"/>
      <c r="G862" s="162"/>
      <c r="H862" s="162"/>
      <c r="I862" s="162"/>
      <c r="J862" s="162"/>
      <c r="K862" s="162"/>
      <c r="L862" s="162"/>
    </row>
    <row r="863" spans="2:12">
      <c r="B863" s="162"/>
      <c r="C863" s="162"/>
      <c r="D863" s="162"/>
      <c r="E863" s="162"/>
      <c r="F863" s="162"/>
      <c r="G863" s="162"/>
      <c r="H863" s="162"/>
      <c r="I863" s="162"/>
      <c r="J863" s="162"/>
      <c r="K863" s="162"/>
      <c r="L863" s="162"/>
    </row>
    <row r="864" spans="2:12">
      <c r="B864" s="162"/>
      <c r="C864" s="162"/>
      <c r="D864" s="162"/>
      <c r="E864" s="162"/>
      <c r="F864" s="162"/>
      <c r="G864" s="162"/>
      <c r="H864" s="162"/>
      <c r="I864" s="162"/>
      <c r="J864" s="162"/>
      <c r="K864" s="162"/>
      <c r="L864" s="162"/>
    </row>
    <row r="865" spans="2:12">
      <c r="B865" s="162"/>
      <c r="C865" s="162"/>
      <c r="D865" s="162"/>
      <c r="E865" s="162"/>
      <c r="F865" s="162"/>
      <c r="G865" s="162"/>
      <c r="H865" s="162"/>
      <c r="I865" s="162"/>
      <c r="J865" s="162"/>
      <c r="K865" s="162"/>
      <c r="L865" s="162"/>
    </row>
    <row r="866" spans="2:12">
      <c r="B866" s="162"/>
      <c r="C866" s="162"/>
      <c r="D866" s="162"/>
      <c r="E866" s="162"/>
      <c r="F866" s="162"/>
      <c r="G866" s="162"/>
      <c r="H866" s="162"/>
      <c r="I866" s="162"/>
      <c r="J866" s="162"/>
      <c r="K866" s="162"/>
      <c r="L866" s="162"/>
    </row>
    <row r="867" spans="2:12">
      <c r="B867" s="162"/>
      <c r="C867" s="162"/>
      <c r="D867" s="162"/>
      <c r="E867" s="162"/>
      <c r="F867" s="162"/>
      <c r="G867" s="162"/>
      <c r="H867" s="162"/>
      <c r="I867" s="162"/>
      <c r="J867" s="162"/>
      <c r="K867" s="162"/>
      <c r="L867" s="162"/>
    </row>
    <row r="868" spans="2:12">
      <c r="B868" s="162"/>
      <c r="C868" s="162"/>
      <c r="D868" s="162"/>
      <c r="E868" s="162"/>
      <c r="F868" s="162"/>
      <c r="G868" s="162"/>
      <c r="H868" s="162"/>
      <c r="I868" s="162"/>
      <c r="J868" s="162"/>
      <c r="K868" s="162"/>
      <c r="L868" s="162"/>
    </row>
    <row r="869" spans="2:12">
      <c r="B869" s="162"/>
      <c r="C869" s="162"/>
      <c r="D869" s="162"/>
      <c r="E869" s="162"/>
      <c r="F869" s="162"/>
      <c r="G869" s="162"/>
      <c r="H869" s="162"/>
      <c r="I869" s="162"/>
      <c r="J869" s="162"/>
      <c r="K869" s="162"/>
      <c r="L869" s="162"/>
    </row>
    <row r="870" spans="2:12">
      <c r="B870" s="162"/>
      <c r="C870" s="162"/>
      <c r="D870" s="162"/>
      <c r="E870" s="162"/>
      <c r="F870" s="162"/>
      <c r="G870" s="162"/>
      <c r="H870" s="162"/>
      <c r="I870" s="162"/>
      <c r="J870" s="162"/>
      <c r="K870" s="162"/>
      <c r="L870" s="162"/>
    </row>
    <row r="871" spans="2:12">
      <c r="B871" s="162"/>
      <c r="C871" s="162"/>
      <c r="D871" s="162"/>
      <c r="E871" s="162"/>
      <c r="F871" s="162"/>
      <c r="G871" s="162"/>
      <c r="H871" s="162"/>
      <c r="I871" s="162"/>
      <c r="J871" s="162"/>
      <c r="K871" s="162"/>
      <c r="L871" s="162"/>
    </row>
    <row r="872" spans="2:12">
      <c r="B872" s="162"/>
      <c r="C872" s="162"/>
      <c r="D872" s="162"/>
      <c r="E872" s="162"/>
      <c r="F872" s="162"/>
      <c r="G872" s="162"/>
      <c r="H872" s="162"/>
      <c r="I872" s="162"/>
      <c r="J872" s="162"/>
      <c r="K872" s="162"/>
      <c r="L872" s="162"/>
    </row>
    <row r="873" spans="2:12">
      <c r="B873" s="162"/>
      <c r="C873" s="162"/>
      <c r="D873" s="162"/>
      <c r="E873" s="162"/>
      <c r="F873" s="162"/>
      <c r="G873" s="162"/>
      <c r="H873" s="162"/>
      <c r="I873" s="162"/>
      <c r="J873" s="162"/>
      <c r="K873" s="162"/>
      <c r="L873" s="162"/>
    </row>
    <row r="874" spans="2:12">
      <c r="B874" s="162"/>
      <c r="C874" s="162"/>
      <c r="D874" s="162"/>
      <c r="E874" s="162"/>
      <c r="F874" s="162"/>
      <c r="G874" s="162"/>
      <c r="H874" s="162"/>
      <c r="I874" s="162"/>
      <c r="J874" s="162"/>
      <c r="K874" s="162"/>
      <c r="L874" s="162"/>
    </row>
    <row r="875" spans="2:12">
      <c r="B875" s="162"/>
      <c r="C875" s="162"/>
      <c r="D875" s="162"/>
      <c r="E875" s="162"/>
      <c r="F875" s="162"/>
      <c r="G875" s="162"/>
      <c r="H875" s="162"/>
      <c r="I875" s="162"/>
      <c r="J875" s="162"/>
      <c r="K875" s="162"/>
      <c r="L875" s="162"/>
    </row>
    <row r="876" spans="2:12">
      <c r="B876" s="162"/>
      <c r="C876" s="162"/>
      <c r="D876" s="162"/>
      <c r="E876" s="162"/>
      <c r="F876" s="162"/>
      <c r="G876" s="162"/>
      <c r="H876" s="162"/>
      <c r="I876" s="162"/>
      <c r="J876" s="162"/>
      <c r="K876" s="162"/>
      <c r="L876" s="162"/>
    </row>
    <row r="877" spans="2:12">
      <c r="B877" s="162"/>
      <c r="C877" s="162"/>
      <c r="D877" s="162"/>
      <c r="E877" s="162"/>
      <c r="F877" s="162"/>
      <c r="G877" s="162"/>
      <c r="H877" s="162"/>
      <c r="I877" s="162"/>
      <c r="J877" s="162"/>
      <c r="K877" s="162"/>
      <c r="L877" s="162"/>
    </row>
    <row r="878" spans="2:12">
      <c r="B878" s="162"/>
      <c r="C878" s="162"/>
      <c r="D878" s="162"/>
      <c r="E878" s="162"/>
      <c r="F878" s="162"/>
      <c r="G878" s="162"/>
      <c r="H878" s="162"/>
      <c r="I878" s="162"/>
      <c r="J878" s="162"/>
      <c r="K878" s="162"/>
      <c r="L878" s="162"/>
    </row>
    <row r="879" spans="2:12">
      <c r="B879" s="162"/>
      <c r="C879" s="162"/>
      <c r="D879" s="162"/>
      <c r="E879" s="162"/>
      <c r="F879" s="162"/>
      <c r="G879" s="162"/>
      <c r="H879" s="162"/>
      <c r="I879" s="162"/>
      <c r="J879" s="162"/>
      <c r="K879" s="162"/>
      <c r="L879" s="162"/>
    </row>
    <row r="880" spans="2:12">
      <c r="B880" s="162"/>
      <c r="C880" s="162"/>
      <c r="D880" s="162"/>
      <c r="E880" s="162"/>
      <c r="F880" s="162"/>
      <c r="G880" s="162"/>
      <c r="H880" s="162"/>
      <c r="I880" s="162"/>
      <c r="J880" s="162"/>
      <c r="K880" s="162"/>
      <c r="L880" s="162"/>
    </row>
    <row r="881" spans="2:12">
      <c r="B881" s="162"/>
      <c r="C881" s="162"/>
      <c r="D881" s="162"/>
      <c r="E881" s="162"/>
      <c r="F881" s="162"/>
      <c r="G881" s="162"/>
      <c r="H881" s="162"/>
      <c r="I881" s="162"/>
      <c r="J881" s="162"/>
      <c r="K881" s="162"/>
      <c r="L881" s="162"/>
    </row>
    <row r="882" spans="2:12">
      <c r="B882" s="162"/>
      <c r="C882" s="162"/>
      <c r="D882" s="162"/>
      <c r="E882" s="162"/>
      <c r="F882" s="162"/>
      <c r="G882" s="162"/>
      <c r="H882" s="162"/>
      <c r="I882" s="162"/>
      <c r="J882" s="162"/>
      <c r="K882" s="162"/>
      <c r="L882" s="162"/>
    </row>
    <row r="883" spans="2:12">
      <c r="B883" s="162"/>
      <c r="C883" s="162"/>
      <c r="D883" s="162"/>
      <c r="E883" s="162"/>
      <c r="F883" s="162"/>
      <c r="G883" s="162"/>
      <c r="H883" s="162"/>
      <c r="I883" s="162"/>
      <c r="J883" s="162"/>
      <c r="K883" s="162"/>
      <c r="L883" s="162"/>
    </row>
    <row r="884" spans="2:12">
      <c r="B884" s="162"/>
      <c r="C884" s="162"/>
      <c r="D884" s="162"/>
      <c r="E884" s="162"/>
      <c r="F884" s="162"/>
      <c r="G884" s="162"/>
      <c r="H884" s="162"/>
      <c r="I884" s="162"/>
      <c r="J884" s="162"/>
      <c r="K884" s="162"/>
      <c r="L884" s="162"/>
    </row>
    <row r="885" spans="2:12">
      <c r="B885" s="162"/>
      <c r="C885" s="162"/>
      <c r="D885" s="162"/>
      <c r="E885" s="162"/>
      <c r="F885" s="162"/>
      <c r="G885" s="162"/>
      <c r="H885" s="162"/>
      <c r="I885" s="162"/>
      <c r="J885" s="162"/>
      <c r="K885" s="162"/>
      <c r="L885" s="162"/>
    </row>
    <row r="886" spans="2:12">
      <c r="B886" s="162"/>
      <c r="C886" s="162"/>
      <c r="D886" s="162"/>
      <c r="E886" s="162"/>
      <c r="F886" s="162"/>
      <c r="G886" s="162"/>
      <c r="H886" s="162"/>
      <c r="I886" s="162"/>
      <c r="J886" s="162"/>
      <c r="K886" s="162"/>
      <c r="L886" s="162"/>
    </row>
    <row r="887" spans="2:12">
      <c r="B887" s="162"/>
      <c r="C887" s="162"/>
      <c r="D887" s="162"/>
      <c r="E887" s="162"/>
      <c r="F887" s="162"/>
      <c r="G887" s="162"/>
      <c r="H887" s="162"/>
      <c r="I887" s="162"/>
      <c r="J887" s="162"/>
      <c r="K887" s="162"/>
      <c r="L887" s="162"/>
    </row>
    <row r="888" spans="2:12">
      <c r="B888" s="162"/>
      <c r="C888" s="162"/>
      <c r="D888" s="162"/>
      <c r="E888" s="162"/>
      <c r="F888" s="162"/>
      <c r="G888" s="162"/>
      <c r="H888" s="162"/>
      <c r="I888" s="162"/>
      <c r="J888" s="162"/>
      <c r="K888" s="162"/>
      <c r="L888" s="162"/>
    </row>
    <row r="889" spans="2:12">
      <c r="B889" s="162"/>
      <c r="C889" s="162"/>
      <c r="D889" s="162"/>
      <c r="E889" s="162"/>
      <c r="F889" s="162"/>
      <c r="G889" s="162"/>
      <c r="H889" s="162"/>
      <c r="I889" s="162"/>
      <c r="J889" s="162"/>
      <c r="K889" s="162"/>
      <c r="L889" s="162"/>
    </row>
    <row r="890" spans="2:12">
      <c r="B890" s="162"/>
      <c r="C890" s="162"/>
      <c r="D890" s="162"/>
      <c r="E890" s="162"/>
      <c r="F890" s="162"/>
      <c r="G890" s="162"/>
      <c r="H890" s="162"/>
      <c r="I890" s="162"/>
      <c r="J890" s="162"/>
      <c r="K890" s="162"/>
      <c r="L890" s="162"/>
    </row>
    <row r="891" spans="2:12">
      <c r="B891" s="162"/>
      <c r="C891" s="162"/>
      <c r="D891" s="162"/>
      <c r="E891" s="162"/>
      <c r="F891" s="162"/>
      <c r="G891" s="162"/>
      <c r="H891" s="162"/>
      <c r="I891" s="162"/>
      <c r="J891" s="162"/>
      <c r="K891" s="162"/>
      <c r="L891" s="162"/>
    </row>
    <row r="892" spans="2:12">
      <c r="B892" s="162"/>
      <c r="C892" s="162"/>
      <c r="D892" s="162"/>
      <c r="E892" s="162"/>
      <c r="F892" s="162"/>
      <c r="G892" s="162"/>
      <c r="H892" s="162"/>
      <c r="I892" s="162"/>
      <c r="J892" s="162"/>
      <c r="K892" s="162"/>
      <c r="L892" s="162"/>
    </row>
    <row r="893" spans="2:12">
      <c r="B893" s="162"/>
      <c r="C893" s="162"/>
      <c r="D893" s="162"/>
      <c r="E893" s="162"/>
      <c r="F893" s="162"/>
      <c r="G893" s="162"/>
      <c r="H893" s="162"/>
      <c r="I893" s="162"/>
      <c r="J893" s="162"/>
      <c r="K893" s="162"/>
      <c r="L893" s="162"/>
    </row>
    <row r="894" spans="2:12">
      <c r="B894" s="162"/>
      <c r="C894" s="162"/>
      <c r="D894" s="162"/>
      <c r="E894" s="162"/>
      <c r="F894" s="162"/>
      <c r="G894" s="162"/>
      <c r="H894" s="162"/>
      <c r="I894" s="162"/>
      <c r="J894" s="162"/>
      <c r="K894" s="162"/>
      <c r="L894" s="162"/>
    </row>
    <row r="895" spans="2:12">
      <c r="B895" s="162"/>
      <c r="C895" s="162"/>
      <c r="D895" s="162"/>
      <c r="E895" s="162"/>
      <c r="F895" s="162"/>
      <c r="G895" s="162"/>
      <c r="H895" s="162"/>
      <c r="I895" s="162"/>
      <c r="J895" s="162"/>
      <c r="K895" s="162"/>
      <c r="L895" s="162"/>
    </row>
    <row r="896" spans="2:12">
      <c r="B896" s="162"/>
      <c r="C896" s="162"/>
      <c r="D896" s="162"/>
      <c r="E896" s="162"/>
      <c r="F896" s="162"/>
      <c r="G896" s="162"/>
      <c r="H896" s="162"/>
      <c r="I896" s="162"/>
      <c r="J896" s="162"/>
      <c r="K896" s="162"/>
      <c r="L896" s="162"/>
    </row>
    <row r="897" spans="2:12">
      <c r="B897" s="162"/>
      <c r="C897" s="162"/>
      <c r="D897" s="162"/>
      <c r="E897" s="162"/>
      <c r="F897" s="162"/>
      <c r="G897" s="162"/>
      <c r="H897" s="162"/>
      <c r="I897" s="162"/>
      <c r="J897" s="162"/>
      <c r="K897" s="162"/>
      <c r="L897" s="162"/>
    </row>
    <row r="898" spans="2:12">
      <c r="B898" s="162"/>
      <c r="C898" s="162"/>
      <c r="D898" s="162"/>
      <c r="E898" s="162"/>
      <c r="F898" s="162"/>
      <c r="G898" s="162"/>
      <c r="H898" s="162"/>
      <c r="I898" s="162"/>
      <c r="J898" s="162"/>
      <c r="K898" s="162"/>
      <c r="L898" s="162"/>
    </row>
    <row r="899" spans="2:12">
      <c r="B899" s="162"/>
      <c r="C899" s="162"/>
      <c r="D899" s="162"/>
      <c r="E899" s="162"/>
      <c r="F899" s="162"/>
      <c r="G899" s="162"/>
      <c r="H899" s="162"/>
      <c r="I899" s="162"/>
      <c r="J899" s="162"/>
      <c r="K899" s="162"/>
      <c r="L899" s="162"/>
    </row>
    <row r="900" spans="2:12">
      <c r="B900" s="162"/>
      <c r="C900" s="162"/>
      <c r="D900" s="162"/>
      <c r="E900" s="162"/>
      <c r="F900" s="162"/>
      <c r="G900" s="162"/>
      <c r="H900" s="162"/>
      <c r="I900" s="162"/>
      <c r="J900" s="162"/>
      <c r="K900" s="162"/>
      <c r="L900" s="162"/>
    </row>
    <row r="901" spans="2:12">
      <c r="B901" s="162"/>
      <c r="C901" s="162"/>
      <c r="D901" s="162"/>
      <c r="E901" s="162"/>
      <c r="F901" s="162"/>
      <c r="G901" s="162"/>
      <c r="H901" s="162"/>
      <c r="I901" s="162"/>
      <c r="J901" s="162"/>
      <c r="K901" s="162"/>
      <c r="L901" s="162"/>
    </row>
    <row r="902" spans="2:12">
      <c r="B902" s="162"/>
      <c r="C902" s="162"/>
      <c r="D902" s="162"/>
      <c r="E902" s="162"/>
      <c r="F902" s="162"/>
      <c r="G902" s="162"/>
      <c r="H902" s="162"/>
      <c r="I902" s="162"/>
      <c r="J902" s="162"/>
      <c r="K902" s="162"/>
      <c r="L902" s="162"/>
    </row>
    <row r="903" spans="2:12">
      <c r="B903" s="162"/>
      <c r="C903" s="162"/>
      <c r="D903" s="162"/>
      <c r="E903" s="162"/>
      <c r="F903" s="162"/>
      <c r="G903" s="162"/>
      <c r="H903" s="162"/>
      <c r="I903" s="162"/>
      <c r="J903" s="162"/>
      <c r="K903" s="162"/>
      <c r="L903" s="162"/>
    </row>
    <row r="904" spans="2:12">
      <c r="B904" s="162"/>
      <c r="C904" s="162"/>
      <c r="D904" s="162"/>
      <c r="E904" s="162"/>
      <c r="F904" s="162"/>
      <c r="G904" s="162"/>
      <c r="H904" s="162"/>
      <c r="I904" s="162"/>
      <c r="J904" s="162"/>
      <c r="K904" s="162"/>
      <c r="L904" s="162"/>
    </row>
    <row r="905" spans="2:12">
      <c r="B905" s="162"/>
      <c r="C905" s="162"/>
      <c r="D905" s="162"/>
      <c r="E905" s="162"/>
      <c r="F905" s="162"/>
      <c r="G905" s="162"/>
      <c r="H905" s="162"/>
      <c r="I905" s="162"/>
      <c r="J905" s="162"/>
      <c r="K905" s="162"/>
      <c r="L905" s="162"/>
    </row>
    <row r="906" spans="2:12">
      <c r="B906" s="162"/>
      <c r="C906" s="162"/>
      <c r="D906" s="162"/>
      <c r="E906" s="162"/>
      <c r="F906" s="162"/>
      <c r="G906" s="162"/>
      <c r="H906" s="162"/>
      <c r="I906" s="162"/>
      <c r="J906" s="162"/>
      <c r="K906" s="162"/>
      <c r="L906" s="162"/>
    </row>
    <row r="907" spans="2:12">
      <c r="B907" s="162"/>
      <c r="C907" s="162"/>
      <c r="D907" s="162"/>
      <c r="E907" s="162"/>
      <c r="F907" s="162"/>
      <c r="G907" s="162"/>
      <c r="H907" s="162"/>
      <c r="I907" s="162"/>
      <c r="J907" s="162"/>
      <c r="K907" s="162"/>
      <c r="L907" s="162"/>
    </row>
    <row r="908" spans="2:12">
      <c r="B908" s="162"/>
      <c r="C908" s="162"/>
      <c r="D908" s="162"/>
      <c r="E908" s="162"/>
      <c r="F908" s="162"/>
      <c r="G908" s="162"/>
      <c r="H908" s="162"/>
      <c r="I908" s="162"/>
      <c r="J908" s="162"/>
      <c r="K908" s="162"/>
      <c r="L908" s="162"/>
    </row>
    <row r="909" spans="2:12">
      <c r="B909" s="162"/>
      <c r="C909" s="162"/>
      <c r="D909" s="162"/>
      <c r="E909" s="162"/>
      <c r="F909" s="162"/>
      <c r="G909" s="162"/>
      <c r="H909" s="162"/>
      <c r="I909" s="162"/>
      <c r="J909" s="162"/>
      <c r="K909" s="162"/>
      <c r="L909" s="162"/>
    </row>
    <row r="910" spans="2:12">
      <c r="B910" s="162"/>
      <c r="C910" s="162"/>
      <c r="D910" s="162"/>
      <c r="E910" s="162"/>
      <c r="F910" s="162"/>
      <c r="G910" s="162"/>
      <c r="H910" s="162"/>
      <c r="I910" s="162"/>
      <c r="J910" s="162"/>
      <c r="K910" s="162"/>
      <c r="L910" s="162"/>
    </row>
    <row r="911" spans="2:12">
      <c r="B911" s="162"/>
      <c r="C911" s="162"/>
      <c r="D911" s="162"/>
      <c r="E911" s="162"/>
      <c r="F911" s="162"/>
      <c r="G911" s="162"/>
      <c r="H911" s="162"/>
      <c r="I911" s="162"/>
      <c r="J911" s="162"/>
      <c r="K911" s="162"/>
      <c r="L911" s="162"/>
    </row>
    <row r="912" spans="2:12">
      <c r="B912" s="162"/>
      <c r="C912" s="162"/>
      <c r="D912" s="162"/>
      <c r="E912" s="162"/>
      <c r="F912" s="162"/>
      <c r="G912" s="162"/>
      <c r="H912" s="162"/>
      <c r="I912" s="162"/>
      <c r="J912" s="162"/>
      <c r="K912" s="162"/>
      <c r="L912" s="162"/>
    </row>
    <row r="913" spans="2:12">
      <c r="B913" s="162"/>
      <c r="C913" s="162"/>
      <c r="D913" s="162"/>
      <c r="E913" s="162"/>
      <c r="F913" s="162"/>
      <c r="G913" s="162"/>
      <c r="H913" s="162"/>
      <c r="I913" s="162"/>
      <c r="J913" s="162"/>
      <c r="K913" s="162"/>
      <c r="L913" s="162"/>
    </row>
    <row r="914" spans="2:12">
      <c r="B914" s="162"/>
      <c r="C914" s="162"/>
      <c r="D914" s="162"/>
      <c r="E914" s="162"/>
      <c r="F914" s="162"/>
      <c r="G914" s="162"/>
      <c r="H914" s="162"/>
      <c r="I914" s="162"/>
      <c r="J914" s="162"/>
      <c r="K914" s="162"/>
      <c r="L914" s="162"/>
    </row>
    <row r="915" spans="2:12">
      <c r="B915" s="162"/>
      <c r="C915" s="162"/>
      <c r="D915" s="162"/>
      <c r="E915" s="162"/>
      <c r="F915" s="162"/>
      <c r="G915" s="162"/>
      <c r="H915" s="162"/>
      <c r="I915" s="162"/>
      <c r="J915" s="162"/>
      <c r="K915" s="162"/>
      <c r="L915" s="162"/>
    </row>
    <row r="916" spans="2:12">
      <c r="B916" s="162"/>
      <c r="C916" s="162"/>
      <c r="D916" s="162"/>
      <c r="E916" s="162"/>
      <c r="F916" s="162"/>
      <c r="G916" s="162"/>
      <c r="H916" s="162"/>
      <c r="I916" s="162"/>
      <c r="J916" s="162"/>
      <c r="K916" s="162"/>
      <c r="L916" s="162"/>
    </row>
    <row r="917" spans="2:12">
      <c r="B917" s="162"/>
      <c r="C917" s="162"/>
      <c r="D917" s="162"/>
      <c r="E917" s="162"/>
      <c r="F917" s="162"/>
      <c r="G917" s="162"/>
      <c r="H917" s="162"/>
      <c r="I917" s="162"/>
      <c r="J917" s="162"/>
      <c r="K917" s="162"/>
      <c r="L917" s="162"/>
    </row>
    <row r="918" spans="2:12">
      <c r="B918" s="162"/>
      <c r="C918" s="162"/>
      <c r="D918" s="162"/>
      <c r="E918" s="162"/>
      <c r="F918" s="162"/>
      <c r="G918" s="162"/>
      <c r="H918" s="162"/>
      <c r="I918" s="162"/>
      <c r="J918" s="162"/>
      <c r="K918" s="162"/>
      <c r="L918" s="162"/>
    </row>
    <row r="919" spans="2:12">
      <c r="B919" s="162"/>
      <c r="C919" s="162"/>
      <c r="D919" s="162"/>
      <c r="E919" s="162"/>
      <c r="F919" s="162"/>
      <c r="G919" s="162"/>
      <c r="H919" s="162"/>
      <c r="I919" s="162"/>
      <c r="J919" s="162"/>
      <c r="K919" s="162"/>
      <c r="L919" s="162"/>
    </row>
    <row r="920" spans="2:12">
      <c r="B920" s="162"/>
      <c r="C920" s="162"/>
      <c r="D920" s="162"/>
      <c r="E920" s="162"/>
      <c r="F920" s="162"/>
      <c r="G920" s="162"/>
      <c r="H920" s="162"/>
      <c r="I920" s="162"/>
      <c r="J920" s="162"/>
      <c r="K920" s="162"/>
      <c r="L920" s="162"/>
    </row>
    <row r="921" spans="2:12">
      <c r="B921" s="162"/>
      <c r="C921" s="162"/>
      <c r="D921" s="162"/>
      <c r="E921" s="162"/>
      <c r="F921" s="162"/>
      <c r="G921" s="162"/>
      <c r="H921" s="162"/>
      <c r="I921" s="162"/>
      <c r="J921" s="162"/>
      <c r="K921" s="162"/>
      <c r="L921" s="162"/>
    </row>
    <row r="922" spans="2:12">
      <c r="B922" s="162"/>
      <c r="C922" s="162"/>
      <c r="D922" s="162"/>
      <c r="E922" s="162"/>
      <c r="F922" s="162"/>
      <c r="G922" s="162"/>
      <c r="H922" s="162"/>
      <c r="I922" s="162"/>
      <c r="J922" s="162"/>
      <c r="K922" s="162"/>
      <c r="L922" s="162"/>
    </row>
    <row r="923" spans="2:12">
      <c r="B923" s="162"/>
      <c r="C923" s="162"/>
      <c r="D923" s="162"/>
      <c r="E923" s="162"/>
      <c r="F923" s="162"/>
      <c r="G923" s="162"/>
      <c r="H923" s="162"/>
      <c r="I923" s="162"/>
      <c r="J923" s="162"/>
      <c r="K923" s="162"/>
      <c r="L923" s="162"/>
    </row>
    <row r="924" spans="2:12">
      <c r="B924" s="162"/>
      <c r="C924" s="162"/>
      <c r="D924" s="162"/>
      <c r="E924" s="162"/>
      <c r="F924" s="162"/>
      <c r="G924" s="162"/>
      <c r="H924" s="162"/>
      <c r="I924" s="162"/>
      <c r="J924" s="162"/>
      <c r="K924" s="162"/>
      <c r="L924" s="162"/>
    </row>
    <row r="925" spans="2:12">
      <c r="B925" s="162"/>
      <c r="C925" s="162"/>
      <c r="D925" s="162"/>
      <c r="E925" s="162"/>
      <c r="F925" s="162"/>
      <c r="G925" s="162"/>
      <c r="H925" s="162"/>
      <c r="I925" s="162"/>
      <c r="J925" s="162"/>
      <c r="K925" s="162"/>
      <c r="L925" s="162"/>
    </row>
    <row r="926" spans="2:12">
      <c r="B926" s="162"/>
      <c r="C926" s="162"/>
      <c r="D926" s="162"/>
      <c r="E926" s="162"/>
      <c r="F926" s="162"/>
      <c r="G926" s="162"/>
      <c r="H926" s="162"/>
      <c r="I926" s="162"/>
      <c r="J926" s="162"/>
      <c r="K926" s="162"/>
      <c r="L926" s="162"/>
    </row>
  </sheetData>
  <sheetProtection password="E1A4" sheet="1" objects="1" scenarios="1" selectLockedCells="1"/>
  <mergeCells count="3">
    <mergeCell ref="F70:H70"/>
    <mergeCell ref="O3:P3"/>
    <mergeCell ref="A1:Q1"/>
  </mergeCells>
  <phoneticPr fontId="5" type="noConversion"/>
  <conditionalFormatting sqref="E10">
    <cfRule type="cellIs" dxfId="17" priority="13" stopIfTrue="1" operator="greaterThan">
      <formula>$E$9+400</formula>
    </cfRule>
    <cfRule type="cellIs" dxfId="16" priority="15" stopIfTrue="1" operator="notBetween">
      <formula>1200</formula>
      <formula>200</formula>
    </cfRule>
    <cfRule type="cellIs" dxfId="15" priority="16" stopIfTrue="1" operator="lessThan">
      <formula>$E$9</formula>
    </cfRule>
  </conditionalFormatting>
  <conditionalFormatting sqref="E6">
    <cfRule type="cellIs" dxfId="14" priority="17" stopIfTrue="1" operator="notBetween">
      <formula>20</formula>
      <formula>3</formula>
    </cfRule>
  </conditionalFormatting>
  <conditionalFormatting sqref="E9">
    <cfRule type="cellIs" dxfId="13" priority="18" stopIfTrue="1" operator="notBetween">
      <formula>1200</formula>
      <formula>200</formula>
    </cfRule>
    <cfRule type="cellIs" dxfId="12" priority="19" stopIfTrue="1" operator="greaterThan">
      <formula>$E$10</formula>
    </cfRule>
  </conditionalFormatting>
  <conditionalFormatting sqref="E7">
    <cfRule type="cellIs" dxfId="11" priority="14" stopIfTrue="1" operator="notBetween">
      <formula>0.6</formula>
      <formula>$E$6*0.95</formula>
    </cfRule>
  </conditionalFormatting>
  <conditionalFormatting sqref="E28">
    <cfRule type="cellIs" dxfId="10" priority="12" stopIfTrue="1" operator="lessThanOrEqual">
      <formula>0</formula>
    </cfRule>
  </conditionalFormatting>
  <conditionalFormatting sqref="E30">
    <cfRule type="cellIs" dxfId="9" priority="11" stopIfTrue="1" operator="lessThan">
      <formula>$E$29</formula>
    </cfRule>
  </conditionalFormatting>
  <conditionalFormatting sqref="E32">
    <cfRule type="cellIs" dxfId="8" priority="10" stopIfTrue="1" operator="greaterThan">
      <formula>$E$31</formula>
    </cfRule>
  </conditionalFormatting>
  <conditionalFormatting sqref="E48">
    <cfRule type="cellIs" dxfId="7" priority="9" stopIfTrue="1" operator="greaterThan">
      <formula>150</formula>
    </cfRule>
  </conditionalFormatting>
  <conditionalFormatting sqref="E37">
    <cfRule type="cellIs" dxfId="6" priority="8" stopIfTrue="1" operator="equal">
      <formula>0</formula>
    </cfRule>
  </conditionalFormatting>
  <conditionalFormatting sqref="E39">
    <cfRule type="cellIs" dxfId="5" priority="7" stopIfTrue="1" operator="lessThan">
      <formula>$E$38</formula>
    </cfRule>
  </conditionalFormatting>
  <conditionalFormatting sqref="E41">
    <cfRule type="cellIs" dxfId="4" priority="5" stopIfTrue="1" operator="greaterThan">
      <formula>$E$40</formula>
    </cfRule>
    <cfRule type="cellIs" dxfId="3" priority="6" stopIfTrue="1" operator="equal">
      <formula>0</formula>
    </cfRule>
  </conditionalFormatting>
  <conditionalFormatting sqref="E50">
    <cfRule type="cellIs" dxfId="2" priority="3" operator="notBetween">
      <formula>19</formula>
      <formula>2.7</formula>
    </cfRule>
  </conditionalFormatting>
  <conditionalFormatting sqref="E51">
    <cfRule type="cellIs" dxfId="1" priority="2" operator="notBetween">
      <formula>18</formula>
      <formula>2.4</formula>
    </cfRule>
  </conditionalFormatting>
  <conditionalFormatting sqref="E46">
    <cfRule type="cellIs" dxfId="0" priority="1" operator="lessThanOrEqual">
      <formula>1.28</formula>
    </cfRule>
  </conditionalFormatting>
  <hyperlinks>
    <hyperlink ref="O2" r:id="rId1" xr:uid="{00000000-0004-0000-0000-000000000000}"/>
    <hyperlink ref="C3" r:id="rId2" xr:uid="{00000000-0004-0000-0000-000001000000}"/>
  </hyperlinks>
  <printOptions horizontalCentered="1" verticalCentered="1"/>
  <pageMargins left="0.1" right="0.17" top="0.25" bottom="0.25" header="0.25" footer="0.25"/>
  <pageSetup scale="48" orientation="portrait" r:id="rId3"/>
  <headerFooter alignWithMargins="0"/>
  <rowBreaks count="1" manualBreakCount="1">
    <brk id="105" max="16" man="1"/>
  </rowBreaks>
  <ignoredErrors>
    <ignoredError sqref="E69 D71:D75" unlockedFormula="1"/>
  </ignoredErrors>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672829" r:id="rId7" name="Spinner 61">
              <controlPr defaultSize="0" autoPict="0">
                <anchor moveWithCells="1" sizeWithCells="1">
                  <from>
                    <xdr:col>5</xdr:col>
                    <xdr:colOff>0</xdr:colOff>
                    <xdr:row>58</xdr:row>
                    <xdr:rowOff>0</xdr:rowOff>
                  </from>
                  <to>
                    <xdr:col>5</xdr:col>
                    <xdr:colOff>177800</xdr:colOff>
                    <xdr:row>59</xdr:row>
                    <xdr:rowOff>12700</xdr:rowOff>
                  </to>
                </anchor>
              </controlPr>
            </control>
          </mc:Choice>
        </mc:AlternateContent>
        <mc:AlternateContent xmlns:mc="http://schemas.openxmlformats.org/markup-compatibility/2006">
          <mc:Choice Requires="x14">
            <control shapeId="672830" r:id="rId8" name="Spinner 62">
              <controlPr defaultSize="0" autoPict="0">
                <anchor moveWithCells="1" sizeWithCells="1">
                  <from>
                    <xdr:col>5</xdr:col>
                    <xdr:colOff>0</xdr:colOff>
                    <xdr:row>63</xdr:row>
                    <xdr:rowOff>12700</xdr:rowOff>
                  </from>
                  <to>
                    <xdr:col>5</xdr:col>
                    <xdr:colOff>177800</xdr:colOff>
                    <xdr:row>64</xdr:row>
                    <xdr:rowOff>0</xdr:rowOff>
                  </to>
                </anchor>
              </controlPr>
            </control>
          </mc:Choice>
        </mc:AlternateContent>
        <mc:AlternateContent xmlns:mc="http://schemas.openxmlformats.org/markup-compatibility/2006">
          <mc:Choice Requires="x14">
            <control shapeId="672831" r:id="rId9" name="Spinner 63">
              <controlPr defaultSize="0" autoPict="0">
                <anchor moveWithCells="1" sizeWithCells="1">
                  <from>
                    <xdr:col>5</xdr:col>
                    <xdr:colOff>0</xdr:colOff>
                    <xdr:row>64</xdr:row>
                    <xdr:rowOff>12700</xdr:rowOff>
                  </from>
                  <to>
                    <xdr:col>5</xdr:col>
                    <xdr:colOff>177800</xdr:colOff>
                    <xdr:row>64</xdr:row>
                    <xdr:rowOff>177800</xdr:rowOff>
                  </to>
                </anchor>
              </controlPr>
            </control>
          </mc:Choice>
        </mc:AlternateContent>
        <mc:AlternateContent xmlns:mc="http://schemas.openxmlformats.org/markup-compatibility/2006">
          <mc:Choice Requires="x14">
            <control shapeId="672832" r:id="rId10" name="Spinner 64">
              <controlPr defaultSize="0" autoPict="0">
                <anchor moveWithCells="1" sizeWithCells="1">
                  <from>
                    <xdr:col>5</xdr:col>
                    <xdr:colOff>0</xdr:colOff>
                    <xdr:row>64</xdr:row>
                    <xdr:rowOff>190500</xdr:rowOff>
                  </from>
                  <to>
                    <xdr:col>5</xdr:col>
                    <xdr:colOff>177800</xdr:colOff>
                    <xdr:row>65</xdr:row>
                    <xdr:rowOff>177800</xdr:rowOff>
                  </to>
                </anchor>
              </controlPr>
            </control>
          </mc:Choice>
        </mc:AlternateContent>
        <mc:AlternateContent xmlns:mc="http://schemas.openxmlformats.org/markup-compatibility/2006">
          <mc:Choice Requires="x14">
            <control shapeId="672833" r:id="rId11" name="Spinner 65">
              <controlPr defaultSize="0" autoPict="0">
                <anchor moveWithCells="1" sizeWithCells="1">
                  <from>
                    <xdr:col>5</xdr:col>
                    <xdr:colOff>0</xdr:colOff>
                    <xdr:row>66</xdr:row>
                    <xdr:rowOff>0</xdr:rowOff>
                  </from>
                  <to>
                    <xdr:col>5</xdr:col>
                    <xdr:colOff>177800</xdr:colOff>
                    <xdr:row>66</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M75"/>
  <sheetViews>
    <sheetView zoomScaleNormal="100" workbookViewId="0">
      <selection activeCell="C45" sqref="C45"/>
    </sheetView>
  </sheetViews>
  <sheetFormatPr baseColWidth="10" defaultColWidth="8.83203125" defaultRowHeight="13"/>
  <cols>
    <col min="1" max="1" width="8.6640625" style="386" bestFit="1" customWidth="1"/>
    <col min="2" max="2" width="14.83203125" style="386" customWidth="1"/>
    <col min="3" max="3" width="16.1640625" style="386" bestFit="1" customWidth="1"/>
    <col min="4" max="4" width="20.1640625" style="386" customWidth="1"/>
    <col min="5" max="5" width="17.33203125" style="386" customWidth="1"/>
    <col min="6" max="6" width="20.5" style="386" bestFit="1" customWidth="1"/>
    <col min="7" max="7" width="9.6640625" style="386" customWidth="1"/>
    <col min="8" max="8" width="16.1640625" style="386" customWidth="1"/>
    <col min="9" max="9" width="14.6640625" style="386" customWidth="1"/>
    <col min="10" max="10" width="17.33203125" style="386" customWidth="1"/>
    <col min="11" max="11" width="26.5" style="386" customWidth="1"/>
    <col min="12" max="12" width="9.1640625" style="386"/>
    <col min="13" max="13" width="9.1640625" style="387"/>
    <col min="14" max="256" width="9.1640625" style="386"/>
    <col min="257" max="257" width="8.6640625" style="386" bestFit="1" customWidth="1"/>
    <col min="258" max="258" width="13.33203125" style="386" customWidth="1"/>
    <col min="259" max="259" width="16.1640625" style="386" bestFit="1" customWidth="1"/>
    <col min="260" max="260" width="23.5" style="386" customWidth="1"/>
    <col min="261" max="261" width="17.33203125" style="386" customWidth="1"/>
    <col min="262" max="262" width="20.5" style="386" bestFit="1" customWidth="1"/>
    <col min="263" max="263" width="17.1640625" style="386" customWidth="1"/>
    <col min="264" max="264" width="21.83203125" style="386" bestFit="1" customWidth="1"/>
    <col min="265" max="265" width="17.1640625" style="386" bestFit="1" customWidth="1"/>
    <col min="266" max="266" width="18.1640625" style="386" bestFit="1" customWidth="1"/>
    <col min="267" max="267" width="26.5" style="386" customWidth="1"/>
    <col min="268" max="512" width="9.1640625" style="386"/>
    <col min="513" max="513" width="8.6640625" style="386" bestFit="1" customWidth="1"/>
    <col min="514" max="514" width="13.33203125" style="386" customWidth="1"/>
    <col min="515" max="515" width="16.1640625" style="386" bestFit="1" customWidth="1"/>
    <col min="516" max="516" width="23.5" style="386" customWidth="1"/>
    <col min="517" max="517" width="17.33203125" style="386" customWidth="1"/>
    <col min="518" max="518" width="20.5" style="386" bestFit="1" customWidth="1"/>
    <col min="519" max="519" width="17.1640625" style="386" customWidth="1"/>
    <col min="520" max="520" width="21.83203125" style="386" bestFit="1" customWidth="1"/>
    <col min="521" max="521" width="17.1640625" style="386" bestFit="1" customWidth="1"/>
    <col min="522" max="522" width="18.1640625" style="386" bestFit="1" customWidth="1"/>
    <col min="523" max="523" width="26.5" style="386" customWidth="1"/>
    <col min="524" max="768" width="9.1640625" style="386"/>
    <col min="769" max="769" width="8.6640625" style="386" bestFit="1" customWidth="1"/>
    <col min="770" max="770" width="13.33203125" style="386" customWidth="1"/>
    <col min="771" max="771" width="16.1640625" style="386" bestFit="1" customWidth="1"/>
    <col min="772" max="772" width="23.5" style="386" customWidth="1"/>
    <col min="773" max="773" width="17.33203125" style="386" customWidth="1"/>
    <col min="774" max="774" width="20.5" style="386" bestFit="1" customWidth="1"/>
    <col min="775" max="775" width="17.1640625" style="386" customWidth="1"/>
    <col min="776" max="776" width="21.83203125" style="386" bestFit="1" customWidth="1"/>
    <col min="777" max="777" width="17.1640625" style="386" bestFit="1" customWidth="1"/>
    <col min="778" max="778" width="18.1640625" style="386" bestFit="1" customWidth="1"/>
    <col min="779" max="779" width="26.5" style="386" customWidth="1"/>
    <col min="780" max="1024" width="9.1640625" style="386"/>
    <col min="1025" max="1025" width="8.6640625" style="386" bestFit="1" customWidth="1"/>
    <col min="1026" max="1026" width="13.33203125" style="386" customWidth="1"/>
    <col min="1027" max="1027" width="16.1640625" style="386" bestFit="1" customWidth="1"/>
    <col min="1028" max="1028" width="23.5" style="386" customWidth="1"/>
    <col min="1029" max="1029" width="17.33203125" style="386" customWidth="1"/>
    <col min="1030" max="1030" width="20.5" style="386" bestFit="1" customWidth="1"/>
    <col min="1031" max="1031" width="17.1640625" style="386" customWidth="1"/>
    <col min="1032" max="1032" width="21.83203125" style="386" bestFit="1" customWidth="1"/>
    <col min="1033" max="1033" width="17.1640625" style="386" bestFit="1" customWidth="1"/>
    <col min="1034" max="1034" width="18.1640625" style="386" bestFit="1" customWidth="1"/>
    <col min="1035" max="1035" width="26.5" style="386" customWidth="1"/>
    <col min="1036" max="1280" width="9.1640625" style="386"/>
    <col min="1281" max="1281" width="8.6640625" style="386" bestFit="1" customWidth="1"/>
    <col min="1282" max="1282" width="13.33203125" style="386" customWidth="1"/>
    <col min="1283" max="1283" width="16.1640625" style="386" bestFit="1" customWidth="1"/>
    <col min="1284" max="1284" width="23.5" style="386" customWidth="1"/>
    <col min="1285" max="1285" width="17.33203125" style="386" customWidth="1"/>
    <col min="1286" max="1286" width="20.5" style="386" bestFit="1" customWidth="1"/>
    <col min="1287" max="1287" width="17.1640625" style="386" customWidth="1"/>
    <col min="1288" max="1288" width="21.83203125" style="386" bestFit="1" customWidth="1"/>
    <col min="1289" max="1289" width="17.1640625" style="386" bestFit="1" customWidth="1"/>
    <col min="1290" max="1290" width="18.1640625" style="386" bestFit="1" customWidth="1"/>
    <col min="1291" max="1291" width="26.5" style="386" customWidth="1"/>
    <col min="1292" max="1536" width="9.1640625" style="386"/>
    <col min="1537" max="1537" width="8.6640625" style="386" bestFit="1" customWidth="1"/>
    <col min="1538" max="1538" width="13.33203125" style="386" customWidth="1"/>
    <col min="1539" max="1539" width="16.1640625" style="386" bestFit="1" customWidth="1"/>
    <col min="1540" max="1540" width="23.5" style="386" customWidth="1"/>
    <col min="1541" max="1541" width="17.33203125" style="386" customWidth="1"/>
    <col min="1542" max="1542" width="20.5" style="386" bestFit="1" customWidth="1"/>
    <col min="1543" max="1543" width="17.1640625" style="386" customWidth="1"/>
    <col min="1544" max="1544" width="21.83203125" style="386" bestFit="1" customWidth="1"/>
    <col min="1545" max="1545" width="17.1640625" style="386" bestFit="1" customWidth="1"/>
    <col min="1546" max="1546" width="18.1640625" style="386" bestFit="1" customWidth="1"/>
    <col min="1547" max="1547" width="26.5" style="386" customWidth="1"/>
    <col min="1548" max="1792" width="9.1640625" style="386"/>
    <col min="1793" max="1793" width="8.6640625" style="386" bestFit="1" customWidth="1"/>
    <col min="1794" max="1794" width="13.33203125" style="386" customWidth="1"/>
    <col min="1795" max="1795" width="16.1640625" style="386" bestFit="1" customWidth="1"/>
    <col min="1796" max="1796" width="23.5" style="386" customWidth="1"/>
    <col min="1797" max="1797" width="17.33203125" style="386" customWidth="1"/>
    <col min="1798" max="1798" width="20.5" style="386" bestFit="1" customWidth="1"/>
    <col min="1799" max="1799" width="17.1640625" style="386" customWidth="1"/>
    <col min="1800" max="1800" width="21.83203125" style="386" bestFit="1" customWidth="1"/>
    <col min="1801" max="1801" width="17.1640625" style="386" bestFit="1" customWidth="1"/>
    <col min="1802" max="1802" width="18.1640625" style="386" bestFit="1" customWidth="1"/>
    <col min="1803" max="1803" width="26.5" style="386" customWidth="1"/>
    <col min="1804" max="2048" width="9.1640625" style="386"/>
    <col min="2049" max="2049" width="8.6640625" style="386" bestFit="1" customWidth="1"/>
    <col min="2050" max="2050" width="13.33203125" style="386" customWidth="1"/>
    <col min="2051" max="2051" width="16.1640625" style="386" bestFit="1" customWidth="1"/>
    <col min="2052" max="2052" width="23.5" style="386" customWidth="1"/>
    <col min="2053" max="2053" width="17.33203125" style="386" customWidth="1"/>
    <col min="2054" max="2054" width="20.5" style="386" bestFit="1" customWidth="1"/>
    <col min="2055" max="2055" width="17.1640625" style="386" customWidth="1"/>
    <col min="2056" max="2056" width="21.83203125" style="386" bestFit="1" customWidth="1"/>
    <col min="2057" max="2057" width="17.1640625" style="386" bestFit="1" customWidth="1"/>
    <col min="2058" max="2058" width="18.1640625" style="386" bestFit="1" customWidth="1"/>
    <col min="2059" max="2059" width="26.5" style="386" customWidth="1"/>
    <col min="2060" max="2304" width="9.1640625" style="386"/>
    <col min="2305" max="2305" width="8.6640625" style="386" bestFit="1" customWidth="1"/>
    <col min="2306" max="2306" width="13.33203125" style="386" customWidth="1"/>
    <col min="2307" max="2307" width="16.1640625" style="386" bestFit="1" customWidth="1"/>
    <col min="2308" max="2308" width="23.5" style="386" customWidth="1"/>
    <col min="2309" max="2309" width="17.33203125" style="386" customWidth="1"/>
    <col min="2310" max="2310" width="20.5" style="386" bestFit="1" customWidth="1"/>
    <col min="2311" max="2311" width="17.1640625" style="386" customWidth="1"/>
    <col min="2312" max="2312" width="21.83203125" style="386" bestFit="1" customWidth="1"/>
    <col min="2313" max="2313" width="17.1640625" style="386" bestFit="1" customWidth="1"/>
    <col min="2314" max="2314" width="18.1640625" style="386" bestFit="1" customWidth="1"/>
    <col min="2315" max="2315" width="26.5" style="386" customWidth="1"/>
    <col min="2316" max="2560" width="9.1640625" style="386"/>
    <col min="2561" max="2561" width="8.6640625" style="386" bestFit="1" customWidth="1"/>
    <col min="2562" max="2562" width="13.33203125" style="386" customWidth="1"/>
    <col min="2563" max="2563" width="16.1640625" style="386" bestFit="1" customWidth="1"/>
    <col min="2564" max="2564" width="23.5" style="386" customWidth="1"/>
    <col min="2565" max="2565" width="17.33203125" style="386" customWidth="1"/>
    <col min="2566" max="2566" width="20.5" style="386" bestFit="1" customWidth="1"/>
    <col min="2567" max="2567" width="17.1640625" style="386" customWidth="1"/>
    <col min="2568" max="2568" width="21.83203125" style="386" bestFit="1" customWidth="1"/>
    <col min="2569" max="2569" width="17.1640625" style="386" bestFit="1" customWidth="1"/>
    <col min="2570" max="2570" width="18.1640625" style="386" bestFit="1" customWidth="1"/>
    <col min="2571" max="2571" width="26.5" style="386" customWidth="1"/>
    <col min="2572" max="2816" width="9.1640625" style="386"/>
    <col min="2817" max="2817" width="8.6640625" style="386" bestFit="1" customWidth="1"/>
    <col min="2818" max="2818" width="13.33203125" style="386" customWidth="1"/>
    <col min="2819" max="2819" width="16.1640625" style="386" bestFit="1" customWidth="1"/>
    <col min="2820" max="2820" width="23.5" style="386" customWidth="1"/>
    <col min="2821" max="2821" width="17.33203125" style="386" customWidth="1"/>
    <col min="2822" max="2822" width="20.5" style="386" bestFit="1" customWidth="1"/>
    <col min="2823" max="2823" width="17.1640625" style="386" customWidth="1"/>
    <col min="2824" max="2824" width="21.83203125" style="386" bestFit="1" customWidth="1"/>
    <col min="2825" max="2825" width="17.1640625" style="386" bestFit="1" customWidth="1"/>
    <col min="2826" max="2826" width="18.1640625" style="386" bestFit="1" customWidth="1"/>
    <col min="2827" max="2827" width="26.5" style="386" customWidth="1"/>
    <col min="2828" max="3072" width="9.1640625" style="386"/>
    <col min="3073" max="3073" width="8.6640625" style="386" bestFit="1" customWidth="1"/>
    <col min="3074" max="3074" width="13.33203125" style="386" customWidth="1"/>
    <col min="3075" max="3075" width="16.1640625" style="386" bestFit="1" customWidth="1"/>
    <col min="3076" max="3076" width="23.5" style="386" customWidth="1"/>
    <col min="3077" max="3077" width="17.33203125" style="386" customWidth="1"/>
    <col min="3078" max="3078" width="20.5" style="386" bestFit="1" customWidth="1"/>
    <col min="3079" max="3079" width="17.1640625" style="386" customWidth="1"/>
    <col min="3080" max="3080" width="21.83203125" style="386" bestFit="1" customWidth="1"/>
    <col min="3081" max="3081" width="17.1640625" style="386" bestFit="1" customWidth="1"/>
    <col min="3082" max="3082" width="18.1640625" style="386" bestFit="1" customWidth="1"/>
    <col min="3083" max="3083" width="26.5" style="386" customWidth="1"/>
    <col min="3084" max="3328" width="9.1640625" style="386"/>
    <col min="3329" max="3329" width="8.6640625" style="386" bestFit="1" customWidth="1"/>
    <col min="3330" max="3330" width="13.33203125" style="386" customWidth="1"/>
    <col min="3331" max="3331" width="16.1640625" style="386" bestFit="1" customWidth="1"/>
    <col min="3332" max="3332" width="23.5" style="386" customWidth="1"/>
    <col min="3333" max="3333" width="17.33203125" style="386" customWidth="1"/>
    <col min="3334" max="3334" width="20.5" style="386" bestFit="1" customWidth="1"/>
    <col min="3335" max="3335" width="17.1640625" style="386" customWidth="1"/>
    <col min="3336" max="3336" width="21.83203125" style="386" bestFit="1" customWidth="1"/>
    <col min="3337" max="3337" width="17.1640625" style="386" bestFit="1" customWidth="1"/>
    <col min="3338" max="3338" width="18.1640625" style="386" bestFit="1" customWidth="1"/>
    <col min="3339" max="3339" width="26.5" style="386" customWidth="1"/>
    <col min="3340" max="3584" width="9.1640625" style="386"/>
    <col min="3585" max="3585" width="8.6640625" style="386" bestFit="1" customWidth="1"/>
    <col min="3586" max="3586" width="13.33203125" style="386" customWidth="1"/>
    <col min="3587" max="3587" width="16.1640625" style="386" bestFit="1" customWidth="1"/>
    <col min="3588" max="3588" width="23.5" style="386" customWidth="1"/>
    <col min="3589" max="3589" width="17.33203125" style="386" customWidth="1"/>
    <col min="3590" max="3590" width="20.5" style="386" bestFit="1" customWidth="1"/>
    <col min="3591" max="3591" width="17.1640625" style="386" customWidth="1"/>
    <col min="3592" max="3592" width="21.83203125" style="386" bestFit="1" customWidth="1"/>
    <col min="3593" max="3593" width="17.1640625" style="386" bestFit="1" customWidth="1"/>
    <col min="3594" max="3594" width="18.1640625" style="386" bestFit="1" customWidth="1"/>
    <col min="3595" max="3595" width="26.5" style="386" customWidth="1"/>
    <col min="3596" max="3840" width="9.1640625" style="386"/>
    <col min="3841" max="3841" width="8.6640625" style="386" bestFit="1" customWidth="1"/>
    <col min="3842" max="3842" width="13.33203125" style="386" customWidth="1"/>
    <col min="3843" max="3843" width="16.1640625" style="386" bestFit="1" customWidth="1"/>
    <col min="3844" max="3844" width="23.5" style="386" customWidth="1"/>
    <col min="3845" max="3845" width="17.33203125" style="386" customWidth="1"/>
    <col min="3846" max="3846" width="20.5" style="386" bestFit="1" customWidth="1"/>
    <col min="3847" max="3847" width="17.1640625" style="386" customWidth="1"/>
    <col min="3848" max="3848" width="21.83203125" style="386" bestFit="1" customWidth="1"/>
    <col min="3849" max="3849" width="17.1640625" style="386" bestFit="1" customWidth="1"/>
    <col min="3850" max="3850" width="18.1640625" style="386" bestFit="1" customWidth="1"/>
    <col min="3851" max="3851" width="26.5" style="386" customWidth="1"/>
    <col min="3852" max="4096" width="9.1640625" style="386"/>
    <col min="4097" max="4097" width="8.6640625" style="386" bestFit="1" customWidth="1"/>
    <col min="4098" max="4098" width="13.33203125" style="386" customWidth="1"/>
    <col min="4099" max="4099" width="16.1640625" style="386" bestFit="1" customWidth="1"/>
    <col min="4100" max="4100" width="23.5" style="386" customWidth="1"/>
    <col min="4101" max="4101" width="17.33203125" style="386" customWidth="1"/>
    <col min="4102" max="4102" width="20.5" style="386" bestFit="1" customWidth="1"/>
    <col min="4103" max="4103" width="17.1640625" style="386" customWidth="1"/>
    <col min="4104" max="4104" width="21.83203125" style="386" bestFit="1" customWidth="1"/>
    <col min="4105" max="4105" width="17.1640625" style="386" bestFit="1" customWidth="1"/>
    <col min="4106" max="4106" width="18.1640625" style="386" bestFit="1" customWidth="1"/>
    <col min="4107" max="4107" width="26.5" style="386" customWidth="1"/>
    <col min="4108" max="4352" width="9.1640625" style="386"/>
    <col min="4353" max="4353" width="8.6640625" style="386" bestFit="1" customWidth="1"/>
    <col min="4354" max="4354" width="13.33203125" style="386" customWidth="1"/>
    <col min="4355" max="4355" width="16.1640625" style="386" bestFit="1" customWidth="1"/>
    <col min="4356" max="4356" width="23.5" style="386" customWidth="1"/>
    <col min="4357" max="4357" width="17.33203125" style="386" customWidth="1"/>
    <col min="4358" max="4358" width="20.5" style="386" bestFit="1" customWidth="1"/>
    <col min="4359" max="4359" width="17.1640625" style="386" customWidth="1"/>
    <col min="4360" max="4360" width="21.83203125" style="386" bestFit="1" customWidth="1"/>
    <col min="4361" max="4361" width="17.1640625" style="386" bestFit="1" customWidth="1"/>
    <col min="4362" max="4362" width="18.1640625" style="386" bestFit="1" customWidth="1"/>
    <col min="4363" max="4363" width="26.5" style="386" customWidth="1"/>
    <col min="4364" max="4608" width="9.1640625" style="386"/>
    <col min="4609" max="4609" width="8.6640625" style="386" bestFit="1" customWidth="1"/>
    <col min="4610" max="4610" width="13.33203125" style="386" customWidth="1"/>
    <col min="4611" max="4611" width="16.1640625" style="386" bestFit="1" customWidth="1"/>
    <col min="4612" max="4612" width="23.5" style="386" customWidth="1"/>
    <col min="4613" max="4613" width="17.33203125" style="386" customWidth="1"/>
    <col min="4614" max="4614" width="20.5" style="386" bestFit="1" customWidth="1"/>
    <col min="4615" max="4615" width="17.1640625" style="386" customWidth="1"/>
    <col min="4616" max="4616" width="21.83203125" style="386" bestFit="1" customWidth="1"/>
    <col min="4617" max="4617" width="17.1640625" style="386" bestFit="1" customWidth="1"/>
    <col min="4618" max="4618" width="18.1640625" style="386" bestFit="1" customWidth="1"/>
    <col min="4619" max="4619" width="26.5" style="386" customWidth="1"/>
    <col min="4620" max="4864" width="9.1640625" style="386"/>
    <col min="4865" max="4865" width="8.6640625" style="386" bestFit="1" customWidth="1"/>
    <col min="4866" max="4866" width="13.33203125" style="386" customWidth="1"/>
    <col min="4867" max="4867" width="16.1640625" style="386" bestFit="1" customWidth="1"/>
    <col min="4868" max="4868" width="23.5" style="386" customWidth="1"/>
    <col min="4869" max="4869" width="17.33203125" style="386" customWidth="1"/>
    <col min="4870" max="4870" width="20.5" style="386" bestFit="1" customWidth="1"/>
    <col min="4871" max="4871" width="17.1640625" style="386" customWidth="1"/>
    <col min="4872" max="4872" width="21.83203125" style="386" bestFit="1" customWidth="1"/>
    <col min="4873" max="4873" width="17.1640625" style="386" bestFit="1" customWidth="1"/>
    <col min="4874" max="4874" width="18.1640625" style="386" bestFit="1" customWidth="1"/>
    <col min="4875" max="4875" width="26.5" style="386" customWidth="1"/>
    <col min="4876" max="5120" width="9.1640625" style="386"/>
    <col min="5121" max="5121" width="8.6640625" style="386" bestFit="1" customWidth="1"/>
    <col min="5122" max="5122" width="13.33203125" style="386" customWidth="1"/>
    <col min="5123" max="5123" width="16.1640625" style="386" bestFit="1" customWidth="1"/>
    <col min="5124" max="5124" width="23.5" style="386" customWidth="1"/>
    <col min="5125" max="5125" width="17.33203125" style="386" customWidth="1"/>
    <col min="5126" max="5126" width="20.5" style="386" bestFit="1" customWidth="1"/>
    <col min="5127" max="5127" width="17.1640625" style="386" customWidth="1"/>
    <col min="5128" max="5128" width="21.83203125" style="386" bestFit="1" customWidth="1"/>
    <col min="5129" max="5129" width="17.1640625" style="386" bestFit="1" customWidth="1"/>
    <col min="5130" max="5130" width="18.1640625" style="386" bestFit="1" customWidth="1"/>
    <col min="5131" max="5131" width="26.5" style="386" customWidth="1"/>
    <col min="5132" max="5376" width="9.1640625" style="386"/>
    <col min="5377" max="5377" width="8.6640625" style="386" bestFit="1" customWidth="1"/>
    <col min="5378" max="5378" width="13.33203125" style="386" customWidth="1"/>
    <col min="5379" max="5379" width="16.1640625" style="386" bestFit="1" customWidth="1"/>
    <col min="5380" max="5380" width="23.5" style="386" customWidth="1"/>
    <col min="5381" max="5381" width="17.33203125" style="386" customWidth="1"/>
    <col min="5382" max="5382" width="20.5" style="386" bestFit="1" customWidth="1"/>
    <col min="5383" max="5383" width="17.1640625" style="386" customWidth="1"/>
    <col min="5384" max="5384" width="21.83203125" style="386" bestFit="1" customWidth="1"/>
    <col min="5385" max="5385" width="17.1640625" style="386" bestFit="1" customWidth="1"/>
    <col min="5386" max="5386" width="18.1640625" style="386" bestFit="1" customWidth="1"/>
    <col min="5387" max="5387" width="26.5" style="386" customWidth="1"/>
    <col min="5388" max="5632" width="9.1640625" style="386"/>
    <col min="5633" max="5633" width="8.6640625" style="386" bestFit="1" customWidth="1"/>
    <col min="5634" max="5634" width="13.33203125" style="386" customWidth="1"/>
    <col min="5635" max="5635" width="16.1640625" style="386" bestFit="1" customWidth="1"/>
    <col min="5636" max="5636" width="23.5" style="386" customWidth="1"/>
    <col min="5637" max="5637" width="17.33203125" style="386" customWidth="1"/>
    <col min="5638" max="5638" width="20.5" style="386" bestFit="1" customWidth="1"/>
    <col min="5639" max="5639" width="17.1640625" style="386" customWidth="1"/>
    <col min="5640" max="5640" width="21.83203125" style="386" bestFit="1" customWidth="1"/>
    <col min="5641" max="5641" width="17.1640625" style="386" bestFit="1" customWidth="1"/>
    <col min="5642" max="5642" width="18.1640625" style="386" bestFit="1" customWidth="1"/>
    <col min="5643" max="5643" width="26.5" style="386" customWidth="1"/>
    <col min="5644" max="5888" width="9.1640625" style="386"/>
    <col min="5889" max="5889" width="8.6640625" style="386" bestFit="1" customWidth="1"/>
    <col min="5890" max="5890" width="13.33203125" style="386" customWidth="1"/>
    <col min="5891" max="5891" width="16.1640625" style="386" bestFit="1" customWidth="1"/>
    <col min="5892" max="5892" width="23.5" style="386" customWidth="1"/>
    <col min="5893" max="5893" width="17.33203125" style="386" customWidth="1"/>
    <col min="5894" max="5894" width="20.5" style="386" bestFit="1" customWidth="1"/>
    <col min="5895" max="5895" width="17.1640625" style="386" customWidth="1"/>
    <col min="5896" max="5896" width="21.83203125" style="386" bestFit="1" customWidth="1"/>
    <col min="5897" max="5897" width="17.1640625" style="386" bestFit="1" customWidth="1"/>
    <col min="5898" max="5898" width="18.1640625" style="386" bestFit="1" customWidth="1"/>
    <col min="5899" max="5899" width="26.5" style="386" customWidth="1"/>
    <col min="5900" max="6144" width="9.1640625" style="386"/>
    <col min="6145" max="6145" width="8.6640625" style="386" bestFit="1" customWidth="1"/>
    <col min="6146" max="6146" width="13.33203125" style="386" customWidth="1"/>
    <col min="6147" max="6147" width="16.1640625" style="386" bestFit="1" customWidth="1"/>
    <col min="6148" max="6148" width="23.5" style="386" customWidth="1"/>
    <col min="6149" max="6149" width="17.33203125" style="386" customWidth="1"/>
    <col min="6150" max="6150" width="20.5" style="386" bestFit="1" customWidth="1"/>
    <col min="6151" max="6151" width="17.1640625" style="386" customWidth="1"/>
    <col min="6152" max="6152" width="21.83203125" style="386" bestFit="1" customWidth="1"/>
    <col min="6153" max="6153" width="17.1640625" style="386" bestFit="1" customWidth="1"/>
    <col min="6154" max="6154" width="18.1640625" style="386" bestFit="1" customWidth="1"/>
    <col min="6155" max="6155" width="26.5" style="386" customWidth="1"/>
    <col min="6156" max="6400" width="9.1640625" style="386"/>
    <col min="6401" max="6401" width="8.6640625" style="386" bestFit="1" customWidth="1"/>
    <col min="6402" max="6402" width="13.33203125" style="386" customWidth="1"/>
    <col min="6403" max="6403" width="16.1640625" style="386" bestFit="1" customWidth="1"/>
    <col min="6404" max="6404" width="23.5" style="386" customWidth="1"/>
    <col min="6405" max="6405" width="17.33203125" style="386" customWidth="1"/>
    <col min="6406" max="6406" width="20.5" style="386" bestFit="1" customWidth="1"/>
    <col min="6407" max="6407" width="17.1640625" style="386" customWidth="1"/>
    <col min="6408" max="6408" width="21.83203125" style="386" bestFit="1" customWidth="1"/>
    <col min="6409" max="6409" width="17.1640625" style="386" bestFit="1" customWidth="1"/>
    <col min="6410" max="6410" width="18.1640625" style="386" bestFit="1" customWidth="1"/>
    <col min="6411" max="6411" width="26.5" style="386" customWidth="1"/>
    <col min="6412" max="6656" width="9.1640625" style="386"/>
    <col min="6657" max="6657" width="8.6640625" style="386" bestFit="1" customWidth="1"/>
    <col min="6658" max="6658" width="13.33203125" style="386" customWidth="1"/>
    <col min="6659" max="6659" width="16.1640625" style="386" bestFit="1" customWidth="1"/>
    <col min="6660" max="6660" width="23.5" style="386" customWidth="1"/>
    <col min="6661" max="6661" width="17.33203125" style="386" customWidth="1"/>
    <col min="6662" max="6662" width="20.5" style="386" bestFit="1" customWidth="1"/>
    <col min="6663" max="6663" width="17.1640625" style="386" customWidth="1"/>
    <col min="6664" max="6664" width="21.83203125" style="386" bestFit="1" customWidth="1"/>
    <col min="6665" max="6665" width="17.1640625" style="386" bestFit="1" customWidth="1"/>
    <col min="6666" max="6666" width="18.1640625" style="386" bestFit="1" customWidth="1"/>
    <col min="6667" max="6667" width="26.5" style="386" customWidth="1"/>
    <col min="6668" max="6912" width="9.1640625" style="386"/>
    <col min="6913" max="6913" width="8.6640625" style="386" bestFit="1" customWidth="1"/>
    <col min="6914" max="6914" width="13.33203125" style="386" customWidth="1"/>
    <col min="6915" max="6915" width="16.1640625" style="386" bestFit="1" customWidth="1"/>
    <col min="6916" max="6916" width="23.5" style="386" customWidth="1"/>
    <col min="6917" max="6917" width="17.33203125" style="386" customWidth="1"/>
    <col min="6918" max="6918" width="20.5" style="386" bestFit="1" customWidth="1"/>
    <col min="6919" max="6919" width="17.1640625" style="386" customWidth="1"/>
    <col min="6920" max="6920" width="21.83203125" style="386" bestFit="1" customWidth="1"/>
    <col min="6921" max="6921" width="17.1640625" style="386" bestFit="1" customWidth="1"/>
    <col min="6922" max="6922" width="18.1640625" style="386" bestFit="1" customWidth="1"/>
    <col min="6923" max="6923" width="26.5" style="386" customWidth="1"/>
    <col min="6924" max="7168" width="9.1640625" style="386"/>
    <col min="7169" max="7169" width="8.6640625" style="386" bestFit="1" customWidth="1"/>
    <col min="7170" max="7170" width="13.33203125" style="386" customWidth="1"/>
    <col min="7171" max="7171" width="16.1640625" style="386" bestFit="1" customWidth="1"/>
    <col min="7172" max="7172" width="23.5" style="386" customWidth="1"/>
    <col min="7173" max="7173" width="17.33203125" style="386" customWidth="1"/>
    <col min="7174" max="7174" width="20.5" style="386" bestFit="1" customWidth="1"/>
    <col min="7175" max="7175" width="17.1640625" style="386" customWidth="1"/>
    <col min="7176" max="7176" width="21.83203125" style="386" bestFit="1" customWidth="1"/>
    <col min="7177" max="7177" width="17.1640625" style="386" bestFit="1" customWidth="1"/>
    <col min="7178" max="7178" width="18.1640625" style="386" bestFit="1" customWidth="1"/>
    <col min="7179" max="7179" width="26.5" style="386" customWidth="1"/>
    <col min="7180" max="7424" width="9.1640625" style="386"/>
    <col min="7425" max="7425" width="8.6640625" style="386" bestFit="1" customWidth="1"/>
    <col min="7426" max="7426" width="13.33203125" style="386" customWidth="1"/>
    <col min="7427" max="7427" width="16.1640625" style="386" bestFit="1" customWidth="1"/>
    <col min="7428" max="7428" width="23.5" style="386" customWidth="1"/>
    <col min="7429" max="7429" width="17.33203125" style="386" customWidth="1"/>
    <col min="7430" max="7430" width="20.5" style="386" bestFit="1" customWidth="1"/>
    <col min="7431" max="7431" width="17.1640625" style="386" customWidth="1"/>
    <col min="7432" max="7432" width="21.83203125" style="386" bestFit="1" customWidth="1"/>
    <col min="7433" max="7433" width="17.1640625" style="386" bestFit="1" customWidth="1"/>
    <col min="7434" max="7434" width="18.1640625" style="386" bestFit="1" customWidth="1"/>
    <col min="7435" max="7435" width="26.5" style="386" customWidth="1"/>
    <col min="7436" max="7680" width="9.1640625" style="386"/>
    <col min="7681" max="7681" width="8.6640625" style="386" bestFit="1" customWidth="1"/>
    <col min="7682" max="7682" width="13.33203125" style="386" customWidth="1"/>
    <col min="7683" max="7683" width="16.1640625" style="386" bestFit="1" customWidth="1"/>
    <col min="7684" max="7684" width="23.5" style="386" customWidth="1"/>
    <col min="7685" max="7685" width="17.33203125" style="386" customWidth="1"/>
    <col min="7686" max="7686" width="20.5" style="386" bestFit="1" customWidth="1"/>
    <col min="7687" max="7687" width="17.1640625" style="386" customWidth="1"/>
    <col min="7688" max="7688" width="21.83203125" style="386" bestFit="1" customWidth="1"/>
    <col min="7689" max="7689" width="17.1640625" style="386" bestFit="1" customWidth="1"/>
    <col min="7690" max="7690" width="18.1640625" style="386" bestFit="1" customWidth="1"/>
    <col min="7691" max="7691" width="26.5" style="386" customWidth="1"/>
    <col min="7692" max="7936" width="9.1640625" style="386"/>
    <col min="7937" max="7937" width="8.6640625" style="386" bestFit="1" customWidth="1"/>
    <col min="7938" max="7938" width="13.33203125" style="386" customWidth="1"/>
    <col min="7939" max="7939" width="16.1640625" style="386" bestFit="1" customWidth="1"/>
    <col min="7940" max="7940" width="23.5" style="386" customWidth="1"/>
    <col min="7941" max="7941" width="17.33203125" style="386" customWidth="1"/>
    <col min="7942" max="7942" width="20.5" style="386" bestFit="1" customWidth="1"/>
    <col min="7943" max="7943" width="17.1640625" style="386" customWidth="1"/>
    <col min="7944" max="7944" width="21.83203125" style="386" bestFit="1" customWidth="1"/>
    <col min="7945" max="7945" width="17.1640625" style="386" bestFit="1" customWidth="1"/>
    <col min="7946" max="7946" width="18.1640625" style="386" bestFit="1" customWidth="1"/>
    <col min="7947" max="7947" width="26.5" style="386" customWidth="1"/>
    <col min="7948" max="8192" width="9.1640625" style="386"/>
    <col min="8193" max="8193" width="8.6640625" style="386" bestFit="1" customWidth="1"/>
    <col min="8194" max="8194" width="13.33203125" style="386" customWidth="1"/>
    <col min="8195" max="8195" width="16.1640625" style="386" bestFit="1" customWidth="1"/>
    <col min="8196" max="8196" width="23.5" style="386" customWidth="1"/>
    <col min="8197" max="8197" width="17.33203125" style="386" customWidth="1"/>
    <col min="8198" max="8198" width="20.5" style="386" bestFit="1" customWidth="1"/>
    <col min="8199" max="8199" width="17.1640625" style="386" customWidth="1"/>
    <col min="8200" max="8200" width="21.83203125" style="386" bestFit="1" customWidth="1"/>
    <col min="8201" max="8201" width="17.1640625" style="386" bestFit="1" customWidth="1"/>
    <col min="8202" max="8202" width="18.1640625" style="386" bestFit="1" customWidth="1"/>
    <col min="8203" max="8203" width="26.5" style="386" customWidth="1"/>
    <col min="8204" max="8448" width="9.1640625" style="386"/>
    <col min="8449" max="8449" width="8.6640625" style="386" bestFit="1" customWidth="1"/>
    <col min="8450" max="8450" width="13.33203125" style="386" customWidth="1"/>
    <col min="8451" max="8451" width="16.1640625" style="386" bestFit="1" customWidth="1"/>
    <col min="8452" max="8452" width="23.5" style="386" customWidth="1"/>
    <col min="8453" max="8453" width="17.33203125" style="386" customWidth="1"/>
    <col min="8454" max="8454" width="20.5" style="386" bestFit="1" customWidth="1"/>
    <col min="8455" max="8455" width="17.1640625" style="386" customWidth="1"/>
    <col min="8456" max="8456" width="21.83203125" style="386" bestFit="1" customWidth="1"/>
    <col min="8457" max="8457" width="17.1640625" style="386" bestFit="1" customWidth="1"/>
    <col min="8458" max="8458" width="18.1640625" style="386" bestFit="1" customWidth="1"/>
    <col min="8459" max="8459" width="26.5" style="386" customWidth="1"/>
    <col min="8460" max="8704" width="9.1640625" style="386"/>
    <col min="8705" max="8705" width="8.6640625" style="386" bestFit="1" customWidth="1"/>
    <col min="8706" max="8706" width="13.33203125" style="386" customWidth="1"/>
    <col min="8707" max="8707" width="16.1640625" style="386" bestFit="1" customWidth="1"/>
    <col min="8708" max="8708" width="23.5" style="386" customWidth="1"/>
    <col min="8709" max="8709" width="17.33203125" style="386" customWidth="1"/>
    <col min="8710" max="8710" width="20.5" style="386" bestFit="1" customWidth="1"/>
    <col min="8711" max="8711" width="17.1640625" style="386" customWidth="1"/>
    <col min="8712" max="8712" width="21.83203125" style="386" bestFit="1" customWidth="1"/>
    <col min="8713" max="8713" width="17.1640625" style="386" bestFit="1" customWidth="1"/>
    <col min="8714" max="8714" width="18.1640625" style="386" bestFit="1" customWidth="1"/>
    <col min="8715" max="8715" width="26.5" style="386" customWidth="1"/>
    <col min="8716" max="8960" width="9.1640625" style="386"/>
    <col min="8961" max="8961" width="8.6640625" style="386" bestFit="1" customWidth="1"/>
    <col min="8962" max="8962" width="13.33203125" style="386" customWidth="1"/>
    <col min="8963" max="8963" width="16.1640625" style="386" bestFit="1" customWidth="1"/>
    <col min="8964" max="8964" width="23.5" style="386" customWidth="1"/>
    <col min="8965" max="8965" width="17.33203125" style="386" customWidth="1"/>
    <col min="8966" max="8966" width="20.5" style="386" bestFit="1" customWidth="1"/>
    <col min="8967" max="8967" width="17.1640625" style="386" customWidth="1"/>
    <col min="8968" max="8968" width="21.83203125" style="386" bestFit="1" customWidth="1"/>
    <col min="8969" max="8969" width="17.1640625" style="386" bestFit="1" customWidth="1"/>
    <col min="8970" max="8970" width="18.1640625" style="386" bestFit="1" customWidth="1"/>
    <col min="8971" max="8971" width="26.5" style="386" customWidth="1"/>
    <col min="8972" max="9216" width="9.1640625" style="386"/>
    <col min="9217" max="9217" width="8.6640625" style="386" bestFit="1" customWidth="1"/>
    <col min="9218" max="9218" width="13.33203125" style="386" customWidth="1"/>
    <col min="9219" max="9219" width="16.1640625" style="386" bestFit="1" customWidth="1"/>
    <col min="9220" max="9220" width="23.5" style="386" customWidth="1"/>
    <col min="9221" max="9221" width="17.33203125" style="386" customWidth="1"/>
    <col min="9222" max="9222" width="20.5" style="386" bestFit="1" customWidth="1"/>
    <col min="9223" max="9223" width="17.1640625" style="386" customWidth="1"/>
    <col min="9224" max="9224" width="21.83203125" style="386" bestFit="1" customWidth="1"/>
    <col min="9225" max="9225" width="17.1640625" style="386" bestFit="1" customWidth="1"/>
    <col min="9226" max="9226" width="18.1640625" style="386" bestFit="1" customWidth="1"/>
    <col min="9227" max="9227" width="26.5" style="386" customWidth="1"/>
    <col min="9228" max="9472" width="9.1640625" style="386"/>
    <col min="9473" max="9473" width="8.6640625" style="386" bestFit="1" customWidth="1"/>
    <col min="9474" max="9474" width="13.33203125" style="386" customWidth="1"/>
    <col min="9475" max="9475" width="16.1640625" style="386" bestFit="1" customWidth="1"/>
    <col min="9476" max="9476" width="23.5" style="386" customWidth="1"/>
    <col min="9477" max="9477" width="17.33203125" style="386" customWidth="1"/>
    <col min="9478" max="9478" width="20.5" style="386" bestFit="1" customWidth="1"/>
    <col min="9479" max="9479" width="17.1640625" style="386" customWidth="1"/>
    <col min="9480" max="9480" width="21.83203125" style="386" bestFit="1" customWidth="1"/>
    <col min="9481" max="9481" width="17.1640625" style="386" bestFit="1" customWidth="1"/>
    <col min="9482" max="9482" width="18.1640625" style="386" bestFit="1" customWidth="1"/>
    <col min="9483" max="9483" width="26.5" style="386" customWidth="1"/>
    <col min="9484" max="9728" width="9.1640625" style="386"/>
    <col min="9729" max="9729" width="8.6640625" style="386" bestFit="1" customWidth="1"/>
    <col min="9730" max="9730" width="13.33203125" style="386" customWidth="1"/>
    <col min="9731" max="9731" width="16.1640625" style="386" bestFit="1" customWidth="1"/>
    <col min="9732" max="9732" width="23.5" style="386" customWidth="1"/>
    <col min="9733" max="9733" width="17.33203125" style="386" customWidth="1"/>
    <col min="9734" max="9734" width="20.5" style="386" bestFit="1" customWidth="1"/>
    <col min="9735" max="9735" width="17.1640625" style="386" customWidth="1"/>
    <col min="9736" max="9736" width="21.83203125" style="386" bestFit="1" customWidth="1"/>
    <col min="9737" max="9737" width="17.1640625" style="386" bestFit="1" customWidth="1"/>
    <col min="9738" max="9738" width="18.1640625" style="386" bestFit="1" customWidth="1"/>
    <col min="9739" max="9739" width="26.5" style="386" customWidth="1"/>
    <col min="9740" max="9984" width="9.1640625" style="386"/>
    <col min="9985" max="9985" width="8.6640625" style="386" bestFit="1" customWidth="1"/>
    <col min="9986" max="9986" width="13.33203125" style="386" customWidth="1"/>
    <col min="9987" max="9987" width="16.1640625" style="386" bestFit="1" customWidth="1"/>
    <col min="9988" max="9988" width="23.5" style="386" customWidth="1"/>
    <col min="9989" max="9989" width="17.33203125" style="386" customWidth="1"/>
    <col min="9990" max="9990" width="20.5" style="386" bestFit="1" customWidth="1"/>
    <col min="9991" max="9991" width="17.1640625" style="386" customWidth="1"/>
    <col min="9992" max="9992" width="21.83203125" style="386" bestFit="1" customWidth="1"/>
    <col min="9993" max="9993" width="17.1640625" style="386" bestFit="1" customWidth="1"/>
    <col min="9994" max="9994" width="18.1640625" style="386" bestFit="1" customWidth="1"/>
    <col min="9995" max="9995" width="26.5" style="386" customWidth="1"/>
    <col min="9996" max="10240" width="9.1640625" style="386"/>
    <col min="10241" max="10241" width="8.6640625" style="386" bestFit="1" customWidth="1"/>
    <col min="10242" max="10242" width="13.33203125" style="386" customWidth="1"/>
    <col min="10243" max="10243" width="16.1640625" style="386" bestFit="1" customWidth="1"/>
    <col min="10244" max="10244" width="23.5" style="386" customWidth="1"/>
    <col min="10245" max="10245" width="17.33203125" style="386" customWidth="1"/>
    <col min="10246" max="10246" width="20.5" style="386" bestFit="1" customWidth="1"/>
    <col min="10247" max="10247" width="17.1640625" style="386" customWidth="1"/>
    <col min="10248" max="10248" width="21.83203125" style="386" bestFit="1" customWidth="1"/>
    <col min="10249" max="10249" width="17.1640625" style="386" bestFit="1" customWidth="1"/>
    <col min="10250" max="10250" width="18.1640625" style="386" bestFit="1" customWidth="1"/>
    <col min="10251" max="10251" width="26.5" style="386" customWidth="1"/>
    <col min="10252" max="10496" width="9.1640625" style="386"/>
    <col min="10497" max="10497" width="8.6640625" style="386" bestFit="1" customWidth="1"/>
    <col min="10498" max="10498" width="13.33203125" style="386" customWidth="1"/>
    <col min="10499" max="10499" width="16.1640625" style="386" bestFit="1" customWidth="1"/>
    <col min="10500" max="10500" width="23.5" style="386" customWidth="1"/>
    <col min="10501" max="10501" width="17.33203125" style="386" customWidth="1"/>
    <col min="10502" max="10502" width="20.5" style="386" bestFit="1" customWidth="1"/>
    <col min="10503" max="10503" width="17.1640625" style="386" customWidth="1"/>
    <col min="10504" max="10504" width="21.83203125" style="386" bestFit="1" customWidth="1"/>
    <col min="10505" max="10505" width="17.1640625" style="386" bestFit="1" customWidth="1"/>
    <col min="10506" max="10506" width="18.1640625" style="386" bestFit="1" customWidth="1"/>
    <col min="10507" max="10507" width="26.5" style="386" customWidth="1"/>
    <col min="10508" max="10752" width="9.1640625" style="386"/>
    <col min="10753" max="10753" width="8.6640625" style="386" bestFit="1" customWidth="1"/>
    <col min="10754" max="10754" width="13.33203125" style="386" customWidth="1"/>
    <col min="10755" max="10755" width="16.1640625" style="386" bestFit="1" customWidth="1"/>
    <col min="10756" max="10756" width="23.5" style="386" customWidth="1"/>
    <col min="10757" max="10757" width="17.33203125" style="386" customWidth="1"/>
    <col min="10758" max="10758" width="20.5" style="386" bestFit="1" customWidth="1"/>
    <col min="10759" max="10759" width="17.1640625" style="386" customWidth="1"/>
    <col min="10760" max="10760" width="21.83203125" style="386" bestFit="1" customWidth="1"/>
    <col min="10761" max="10761" width="17.1640625" style="386" bestFit="1" customWidth="1"/>
    <col min="10762" max="10762" width="18.1640625" style="386" bestFit="1" customWidth="1"/>
    <col min="10763" max="10763" width="26.5" style="386" customWidth="1"/>
    <col min="10764" max="11008" width="9.1640625" style="386"/>
    <col min="11009" max="11009" width="8.6640625" style="386" bestFit="1" customWidth="1"/>
    <col min="11010" max="11010" width="13.33203125" style="386" customWidth="1"/>
    <col min="11011" max="11011" width="16.1640625" style="386" bestFit="1" customWidth="1"/>
    <col min="11012" max="11012" width="23.5" style="386" customWidth="1"/>
    <col min="11013" max="11013" width="17.33203125" style="386" customWidth="1"/>
    <col min="11014" max="11014" width="20.5" style="386" bestFit="1" customWidth="1"/>
    <col min="11015" max="11015" width="17.1640625" style="386" customWidth="1"/>
    <col min="11016" max="11016" width="21.83203125" style="386" bestFit="1" customWidth="1"/>
    <col min="11017" max="11017" width="17.1640625" style="386" bestFit="1" customWidth="1"/>
    <col min="11018" max="11018" width="18.1640625" style="386" bestFit="1" customWidth="1"/>
    <col min="11019" max="11019" width="26.5" style="386" customWidth="1"/>
    <col min="11020" max="11264" width="9.1640625" style="386"/>
    <col min="11265" max="11265" width="8.6640625" style="386" bestFit="1" customWidth="1"/>
    <col min="11266" max="11266" width="13.33203125" style="386" customWidth="1"/>
    <col min="11267" max="11267" width="16.1640625" style="386" bestFit="1" customWidth="1"/>
    <col min="11268" max="11268" width="23.5" style="386" customWidth="1"/>
    <col min="11269" max="11269" width="17.33203125" style="386" customWidth="1"/>
    <col min="11270" max="11270" width="20.5" style="386" bestFit="1" customWidth="1"/>
    <col min="11271" max="11271" width="17.1640625" style="386" customWidth="1"/>
    <col min="11272" max="11272" width="21.83203125" style="386" bestFit="1" customWidth="1"/>
    <col min="11273" max="11273" width="17.1640625" style="386" bestFit="1" customWidth="1"/>
    <col min="11274" max="11274" width="18.1640625" style="386" bestFit="1" customWidth="1"/>
    <col min="11275" max="11275" width="26.5" style="386" customWidth="1"/>
    <col min="11276" max="11520" width="9.1640625" style="386"/>
    <col min="11521" max="11521" width="8.6640625" style="386" bestFit="1" customWidth="1"/>
    <col min="11522" max="11522" width="13.33203125" style="386" customWidth="1"/>
    <col min="11523" max="11523" width="16.1640625" style="386" bestFit="1" customWidth="1"/>
    <col min="11524" max="11524" width="23.5" style="386" customWidth="1"/>
    <col min="11525" max="11525" width="17.33203125" style="386" customWidth="1"/>
    <col min="11526" max="11526" width="20.5" style="386" bestFit="1" customWidth="1"/>
    <col min="11527" max="11527" width="17.1640625" style="386" customWidth="1"/>
    <col min="11528" max="11528" width="21.83203125" style="386" bestFit="1" customWidth="1"/>
    <col min="11529" max="11529" width="17.1640625" style="386" bestFit="1" customWidth="1"/>
    <col min="11530" max="11530" width="18.1640625" style="386" bestFit="1" customWidth="1"/>
    <col min="11531" max="11531" width="26.5" style="386" customWidth="1"/>
    <col min="11532" max="11776" width="9.1640625" style="386"/>
    <col min="11777" max="11777" width="8.6640625" style="386" bestFit="1" customWidth="1"/>
    <col min="11778" max="11778" width="13.33203125" style="386" customWidth="1"/>
    <col min="11779" max="11779" width="16.1640625" style="386" bestFit="1" customWidth="1"/>
    <col min="11780" max="11780" width="23.5" style="386" customWidth="1"/>
    <col min="11781" max="11781" width="17.33203125" style="386" customWidth="1"/>
    <col min="11782" max="11782" width="20.5" style="386" bestFit="1" customWidth="1"/>
    <col min="11783" max="11783" width="17.1640625" style="386" customWidth="1"/>
    <col min="11784" max="11784" width="21.83203125" style="386" bestFit="1" customWidth="1"/>
    <col min="11785" max="11785" width="17.1640625" style="386" bestFit="1" customWidth="1"/>
    <col min="11786" max="11786" width="18.1640625" style="386" bestFit="1" customWidth="1"/>
    <col min="11787" max="11787" width="26.5" style="386" customWidth="1"/>
    <col min="11788" max="12032" width="9.1640625" style="386"/>
    <col min="12033" max="12033" width="8.6640625" style="386" bestFit="1" customWidth="1"/>
    <col min="12034" max="12034" width="13.33203125" style="386" customWidth="1"/>
    <col min="12035" max="12035" width="16.1640625" style="386" bestFit="1" customWidth="1"/>
    <col min="12036" max="12036" width="23.5" style="386" customWidth="1"/>
    <col min="12037" max="12037" width="17.33203125" style="386" customWidth="1"/>
    <col min="12038" max="12038" width="20.5" style="386" bestFit="1" customWidth="1"/>
    <col min="12039" max="12039" width="17.1640625" style="386" customWidth="1"/>
    <col min="12040" max="12040" width="21.83203125" style="386" bestFit="1" customWidth="1"/>
    <col min="12041" max="12041" width="17.1640625" style="386" bestFit="1" customWidth="1"/>
    <col min="12042" max="12042" width="18.1640625" style="386" bestFit="1" customWidth="1"/>
    <col min="12043" max="12043" width="26.5" style="386" customWidth="1"/>
    <col min="12044" max="12288" width="9.1640625" style="386"/>
    <col min="12289" max="12289" width="8.6640625" style="386" bestFit="1" customWidth="1"/>
    <col min="12290" max="12290" width="13.33203125" style="386" customWidth="1"/>
    <col min="12291" max="12291" width="16.1640625" style="386" bestFit="1" customWidth="1"/>
    <col min="12292" max="12292" width="23.5" style="386" customWidth="1"/>
    <col min="12293" max="12293" width="17.33203125" style="386" customWidth="1"/>
    <col min="12294" max="12294" width="20.5" style="386" bestFit="1" customWidth="1"/>
    <col min="12295" max="12295" width="17.1640625" style="386" customWidth="1"/>
    <col min="12296" max="12296" width="21.83203125" style="386" bestFit="1" customWidth="1"/>
    <col min="12297" max="12297" width="17.1640625" style="386" bestFit="1" customWidth="1"/>
    <col min="12298" max="12298" width="18.1640625" style="386" bestFit="1" customWidth="1"/>
    <col min="12299" max="12299" width="26.5" style="386" customWidth="1"/>
    <col min="12300" max="12544" width="9.1640625" style="386"/>
    <col min="12545" max="12545" width="8.6640625" style="386" bestFit="1" customWidth="1"/>
    <col min="12546" max="12546" width="13.33203125" style="386" customWidth="1"/>
    <col min="12547" max="12547" width="16.1640625" style="386" bestFit="1" customWidth="1"/>
    <col min="12548" max="12548" width="23.5" style="386" customWidth="1"/>
    <col min="12549" max="12549" width="17.33203125" style="386" customWidth="1"/>
    <col min="12550" max="12550" width="20.5" style="386" bestFit="1" customWidth="1"/>
    <col min="12551" max="12551" width="17.1640625" style="386" customWidth="1"/>
    <col min="12552" max="12552" width="21.83203125" style="386" bestFit="1" customWidth="1"/>
    <col min="12553" max="12553" width="17.1640625" style="386" bestFit="1" customWidth="1"/>
    <col min="12554" max="12554" width="18.1640625" style="386" bestFit="1" customWidth="1"/>
    <col min="12555" max="12555" width="26.5" style="386" customWidth="1"/>
    <col min="12556" max="12800" width="9.1640625" style="386"/>
    <col min="12801" max="12801" width="8.6640625" style="386" bestFit="1" customWidth="1"/>
    <col min="12802" max="12802" width="13.33203125" style="386" customWidth="1"/>
    <col min="12803" max="12803" width="16.1640625" style="386" bestFit="1" customWidth="1"/>
    <col min="12804" max="12804" width="23.5" style="386" customWidth="1"/>
    <col min="12805" max="12805" width="17.33203125" style="386" customWidth="1"/>
    <col min="12806" max="12806" width="20.5" style="386" bestFit="1" customWidth="1"/>
    <col min="12807" max="12807" width="17.1640625" style="386" customWidth="1"/>
    <col min="12808" max="12808" width="21.83203125" style="386" bestFit="1" customWidth="1"/>
    <col min="12809" max="12809" width="17.1640625" style="386" bestFit="1" customWidth="1"/>
    <col min="12810" max="12810" width="18.1640625" style="386" bestFit="1" customWidth="1"/>
    <col min="12811" max="12811" width="26.5" style="386" customWidth="1"/>
    <col min="12812" max="13056" width="9.1640625" style="386"/>
    <col min="13057" max="13057" width="8.6640625" style="386" bestFit="1" customWidth="1"/>
    <col min="13058" max="13058" width="13.33203125" style="386" customWidth="1"/>
    <col min="13059" max="13059" width="16.1640625" style="386" bestFit="1" customWidth="1"/>
    <col min="13060" max="13060" width="23.5" style="386" customWidth="1"/>
    <col min="13061" max="13061" width="17.33203125" style="386" customWidth="1"/>
    <col min="13062" max="13062" width="20.5" style="386" bestFit="1" customWidth="1"/>
    <col min="13063" max="13063" width="17.1640625" style="386" customWidth="1"/>
    <col min="13064" max="13064" width="21.83203125" style="386" bestFit="1" customWidth="1"/>
    <col min="13065" max="13065" width="17.1640625" style="386" bestFit="1" customWidth="1"/>
    <col min="13066" max="13066" width="18.1640625" style="386" bestFit="1" customWidth="1"/>
    <col min="13067" max="13067" width="26.5" style="386" customWidth="1"/>
    <col min="13068" max="13312" width="9.1640625" style="386"/>
    <col min="13313" max="13313" width="8.6640625" style="386" bestFit="1" customWidth="1"/>
    <col min="13314" max="13314" width="13.33203125" style="386" customWidth="1"/>
    <col min="13315" max="13315" width="16.1640625" style="386" bestFit="1" customWidth="1"/>
    <col min="13316" max="13316" width="23.5" style="386" customWidth="1"/>
    <col min="13317" max="13317" width="17.33203125" style="386" customWidth="1"/>
    <col min="13318" max="13318" width="20.5" style="386" bestFit="1" customWidth="1"/>
    <col min="13319" max="13319" width="17.1640625" style="386" customWidth="1"/>
    <col min="13320" max="13320" width="21.83203125" style="386" bestFit="1" customWidth="1"/>
    <col min="13321" max="13321" width="17.1640625" style="386" bestFit="1" customWidth="1"/>
    <col min="13322" max="13322" width="18.1640625" style="386" bestFit="1" customWidth="1"/>
    <col min="13323" max="13323" width="26.5" style="386" customWidth="1"/>
    <col min="13324" max="13568" width="9.1640625" style="386"/>
    <col min="13569" max="13569" width="8.6640625" style="386" bestFit="1" customWidth="1"/>
    <col min="13570" max="13570" width="13.33203125" style="386" customWidth="1"/>
    <col min="13571" max="13571" width="16.1640625" style="386" bestFit="1" customWidth="1"/>
    <col min="13572" max="13572" width="23.5" style="386" customWidth="1"/>
    <col min="13573" max="13573" width="17.33203125" style="386" customWidth="1"/>
    <col min="13574" max="13574" width="20.5" style="386" bestFit="1" customWidth="1"/>
    <col min="13575" max="13575" width="17.1640625" style="386" customWidth="1"/>
    <col min="13576" max="13576" width="21.83203125" style="386" bestFit="1" customWidth="1"/>
    <col min="13577" max="13577" width="17.1640625" style="386" bestFit="1" customWidth="1"/>
    <col min="13578" max="13578" width="18.1640625" style="386" bestFit="1" customWidth="1"/>
    <col min="13579" max="13579" width="26.5" style="386" customWidth="1"/>
    <col min="13580" max="13824" width="9.1640625" style="386"/>
    <col min="13825" max="13825" width="8.6640625" style="386" bestFit="1" customWidth="1"/>
    <col min="13826" max="13826" width="13.33203125" style="386" customWidth="1"/>
    <col min="13827" max="13827" width="16.1640625" style="386" bestFit="1" customWidth="1"/>
    <col min="13828" max="13828" width="23.5" style="386" customWidth="1"/>
    <col min="13829" max="13829" width="17.33203125" style="386" customWidth="1"/>
    <col min="13830" max="13830" width="20.5" style="386" bestFit="1" customWidth="1"/>
    <col min="13831" max="13831" width="17.1640625" style="386" customWidth="1"/>
    <col min="13832" max="13832" width="21.83203125" style="386" bestFit="1" customWidth="1"/>
    <col min="13833" max="13833" width="17.1640625" style="386" bestFit="1" customWidth="1"/>
    <col min="13834" max="13834" width="18.1640625" style="386" bestFit="1" customWidth="1"/>
    <col min="13835" max="13835" width="26.5" style="386" customWidth="1"/>
    <col min="13836" max="14080" width="9.1640625" style="386"/>
    <col min="14081" max="14081" width="8.6640625" style="386" bestFit="1" customWidth="1"/>
    <col min="14082" max="14082" width="13.33203125" style="386" customWidth="1"/>
    <col min="14083" max="14083" width="16.1640625" style="386" bestFit="1" customWidth="1"/>
    <col min="14084" max="14084" width="23.5" style="386" customWidth="1"/>
    <col min="14085" max="14085" width="17.33203125" style="386" customWidth="1"/>
    <col min="14086" max="14086" width="20.5" style="386" bestFit="1" customWidth="1"/>
    <col min="14087" max="14087" width="17.1640625" style="386" customWidth="1"/>
    <col min="14088" max="14088" width="21.83203125" style="386" bestFit="1" customWidth="1"/>
    <col min="14089" max="14089" width="17.1640625" style="386" bestFit="1" customWidth="1"/>
    <col min="14090" max="14090" width="18.1640625" style="386" bestFit="1" customWidth="1"/>
    <col min="14091" max="14091" width="26.5" style="386" customWidth="1"/>
    <col min="14092" max="14336" width="9.1640625" style="386"/>
    <col min="14337" max="14337" width="8.6640625" style="386" bestFit="1" customWidth="1"/>
    <col min="14338" max="14338" width="13.33203125" style="386" customWidth="1"/>
    <col min="14339" max="14339" width="16.1640625" style="386" bestFit="1" customWidth="1"/>
    <col min="14340" max="14340" width="23.5" style="386" customWidth="1"/>
    <col min="14341" max="14341" width="17.33203125" style="386" customWidth="1"/>
    <col min="14342" max="14342" width="20.5" style="386" bestFit="1" customWidth="1"/>
    <col min="14343" max="14343" width="17.1640625" style="386" customWidth="1"/>
    <col min="14344" max="14344" width="21.83203125" style="386" bestFit="1" customWidth="1"/>
    <col min="14345" max="14345" width="17.1640625" style="386" bestFit="1" customWidth="1"/>
    <col min="14346" max="14346" width="18.1640625" style="386" bestFit="1" customWidth="1"/>
    <col min="14347" max="14347" width="26.5" style="386" customWidth="1"/>
    <col min="14348" max="14592" width="9.1640625" style="386"/>
    <col min="14593" max="14593" width="8.6640625" style="386" bestFit="1" customWidth="1"/>
    <col min="14594" max="14594" width="13.33203125" style="386" customWidth="1"/>
    <col min="14595" max="14595" width="16.1640625" style="386" bestFit="1" customWidth="1"/>
    <col min="14596" max="14596" width="23.5" style="386" customWidth="1"/>
    <col min="14597" max="14597" width="17.33203125" style="386" customWidth="1"/>
    <col min="14598" max="14598" width="20.5" style="386" bestFit="1" customWidth="1"/>
    <col min="14599" max="14599" width="17.1640625" style="386" customWidth="1"/>
    <col min="14600" max="14600" width="21.83203125" style="386" bestFit="1" customWidth="1"/>
    <col min="14601" max="14601" width="17.1640625" style="386" bestFit="1" customWidth="1"/>
    <col min="14602" max="14602" width="18.1640625" style="386" bestFit="1" customWidth="1"/>
    <col min="14603" max="14603" width="26.5" style="386" customWidth="1"/>
    <col min="14604" max="14848" width="9.1640625" style="386"/>
    <col min="14849" max="14849" width="8.6640625" style="386" bestFit="1" customWidth="1"/>
    <col min="14850" max="14850" width="13.33203125" style="386" customWidth="1"/>
    <col min="14851" max="14851" width="16.1640625" style="386" bestFit="1" customWidth="1"/>
    <col min="14852" max="14852" width="23.5" style="386" customWidth="1"/>
    <col min="14853" max="14853" width="17.33203125" style="386" customWidth="1"/>
    <col min="14854" max="14854" width="20.5" style="386" bestFit="1" customWidth="1"/>
    <col min="14855" max="14855" width="17.1640625" style="386" customWidth="1"/>
    <col min="14856" max="14856" width="21.83203125" style="386" bestFit="1" customWidth="1"/>
    <col min="14857" max="14857" width="17.1640625" style="386" bestFit="1" customWidth="1"/>
    <col min="14858" max="14858" width="18.1640625" style="386" bestFit="1" customWidth="1"/>
    <col min="14859" max="14859" width="26.5" style="386" customWidth="1"/>
    <col min="14860" max="15104" width="9.1640625" style="386"/>
    <col min="15105" max="15105" width="8.6640625" style="386" bestFit="1" customWidth="1"/>
    <col min="15106" max="15106" width="13.33203125" style="386" customWidth="1"/>
    <col min="15107" max="15107" width="16.1640625" style="386" bestFit="1" customWidth="1"/>
    <col min="15108" max="15108" width="23.5" style="386" customWidth="1"/>
    <col min="15109" max="15109" width="17.33203125" style="386" customWidth="1"/>
    <col min="15110" max="15110" width="20.5" style="386" bestFit="1" customWidth="1"/>
    <col min="15111" max="15111" width="17.1640625" style="386" customWidth="1"/>
    <col min="15112" max="15112" width="21.83203125" style="386" bestFit="1" customWidth="1"/>
    <col min="15113" max="15113" width="17.1640625" style="386" bestFit="1" customWidth="1"/>
    <col min="15114" max="15114" width="18.1640625" style="386" bestFit="1" customWidth="1"/>
    <col min="15115" max="15115" width="26.5" style="386" customWidth="1"/>
    <col min="15116" max="15360" width="9.1640625" style="386"/>
    <col min="15361" max="15361" width="8.6640625" style="386" bestFit="1" customWidth="1"/>
    <col min="15362" max="15362" width="13.33203125" style="386" customWidth="1"/>
    <col min="15363" max="15363" width="16.1640625" style="386" bestFit="1" customWidth="1"/>
    <col min="15364" max="15364" width="23.5" style="386" customWidth="1"/>
    <col min="15365" max="15365" width="17.33203125" style="386" customWidth="1"/>
    <col min="15366" max="15366" width="20.5" style="386" bestFit="1" customWidth="1"/>
    <col min="15367" max="15367" width="17.1640625" style="386" customWidth="1"/>
    <col min="15368" max="15368" width="21.83203125" style="386" bestFit="1" customWidth="1"/>
    <col min="15369" max="15369" width="17.1640625" style="386" bestFit="1" customWidth="1"/>
    <col min="15370" max="15370" width="18.1640625" style="386" bestFit="1" customWidth="1"/>
    <col min="15371" max="15371" width="26.5" style="386" customWidth="1"/>
    <col min="15372" max="15616" width="9.1640625" style="386"/>
    <col min="15617" max="15617" width="8.6640625" style="386" bestFit="1" customWidth="1"/>
    <col min="15618" max="15618" width="13.33203125" style="386" customWidth="1"/>
    <col min="15619" max="15619" width="16.1640625" style="386" bestFit="1" customWidth="1"/>
    <col min="15620" max="15620" width="23.5" style="386" customWidth="1"/>
    <col min="15621" max="15621" width="17.33203125" style="386" customWidth="1"/>
    <col min="15622" max="15622" width="20.5" style="386" bestFit="1" customWidth="1"/>
    <col min="15623" max="15623" width="17.1640625" style="386" customWidth="1"/>
    <col min="15624" max="15624" width="21.83203125" style="386" bestFit="1" customWidth="1"/>
    <col min="15625" max="15625" width="17.1640625" style="386" bestFit="1" customWidth="1"/>
    <col min="15626" max="15626" width="18.1640625" style="386" bestFit="1" customWidth="1"/>
    <col min="15627" max="15627" width="26.5" style="386" customWidth="1"/>
    <col min="15628" max="15872" width="9.1640625" style="386"/>
    <col min="15873" max="15873" width="8.6640625" style="386" bestFit="1" customWidth="1"/>
    <col min="15874" max="15874" width="13.33203125" style="386" customWidth="1"/>
    <col min="15875" max="15875" width="16.1640625" style="386" bestFit="1" customWidth="1"/>
    <col min="15876" max="15876" width="23.5" style="386" customWidth="1"/>
    <col min="15877" max="15877" width="17.33203125" style="386" customWidth="1"/>
    <col min="15878" max="15878" width="20.5" style="386" bestFit="1" customWidth="1"/>
    <col min="15879" max="15879" width="17.1640625" style="386" customWidth="1"/>
    <col min="15880" max="15880" width="21.83203125" style="386" bestFit="1" customWidth="1"/>
    <col min="15881" max="15881" width="17.1640625" style="386" bestFit="1" customWidth="1"/>
    <col min="15882" max="15882" width="18.1640625" style="386" bestFit="1" customWidth="1"/>
    <col min="15883" max="15883" width="26.5" style="386" customWidth="1"/>
    <col min="15884" max="16128" width="9.1640625" style="386"/>
    <col min="16129" max="16129" width="8.6640625" style="386" bestFit="1" customWidth="1"/>
    <col min="16130" max="16130" width="13.33203125" style="386" customWidth="1"/>
    <col min="16131" max="16131" width="16.1640625" style="386" bestFit="1" customWidth="1"/>
    <col min="16132" max="16132" width="23.5" style="386" customWidth="1"/>
    <col min="16133" max="16133" width="17.33203125" style="386" customWidth="1"/>
    <col min="16134" max="16134" width="20.5" style="386" bestFit="1" customWidth="1"/>
    <col min="16135" max="16135" width="17.1640625" style="386" customWidth="1"/>
    <col min="16136" max="16136" width="21.83203125" style="386" bestFit="1" customWidth="1"/>
    <col min="16137" max="16137" width="17.1640625" style="386" bestFit="1" customWidth="1"/>
    <col min="16138" max="16138" width="18.1640625" style="386" bestFit="1" customWidth="1"/>
    <col min="16139" max="16139" width="26.5" style="386" customWidth="1"/>
    <col min="16140" max="16384" width="9.1640625" style="386"/>
  </cols>
  <sheetData>
    <row r="1" spans="13:13" s="433" customFormat="1">
      <c r="M1" s="434"/>
    </row>
    <row r="2" spans="13:13" s="433" customFormat="1">
      <c r="M2" s="434"/>
    </row>
    <row r="3" spans="13:13" s="433" customFormat="1">
      <c r="M3" s="434"/>
    </row>
    <row r="4" spans="13:13" s="433" customFormat="1">
      <c r="M4" s="434"/>
    </row>
    <row r="5" spans="13:13" s="433" customFormat="1">
      <c r="M5" s="434"/>
    </row>
    <row r="6" spans="13:13" s="433" customFormat="1">
      <c r="M6" s="434"/>
    </row>
    <row r="7" spans="13:13" s="433" customFormat="1">
      <c r="M7" s="434"/>
    </row>
    <row r="8" spans="13:13" s="433" customFormat="1">
      <c r="M8" s="434"/>
    </row>
    <row r="9" spans="13:13" s="433" customFormat="1">
      <c r="M9" s="434"/>
    </row>
    <row r="10" spans="13:13" s="433" customFormat="1">
      <c r="M10" s="434"/>
    </row>
    <row r="11" spans="13:13" s="433" customFormat="1">
      <c r="M11" s="434"/>
    </row>
    <row r="12" spans="13:13" s="433" customFormat="1">
      <c r="M12" s="434"/>
    </row>
    <row r="13" spans="13:13" s="433" customFormat="1">
      <c r="M13" s="434"/>
    </row>
    <row r="14" spans="13:13" s="433" customFormat="1">
      <c r="M14" s="434"/>
    </row>
    <row r="15" spans="13:13" s="433" customFormat="1">
      <c r="M15" s="434"/>
    </row>
    <row r="16" spans="13:13" s="433" customFormat="1">
      <c r="M16" s="434"/>
    </row>
    <row r="17" spans="13:13" s="433" customFormat="1">
      <c r="M17" s="434"/>
    </row>
    <row r="18" spans="13:13" s="433" customFormat="1">
      <c r="M18" s="434"/>
    </row>
    <row r="19" spans="13:13" s="433" customFormat="1">
      <c r="M19" s="434"/>
    </row>
    <row r="20" spans="13:13" s="433" customFormat="1">
      <c r="M20" s="434"/>
    </row>
    <row r="21" spans="13:13" s="433" customFormat="1">
      <c r="M21" s="434"/>
    </row>
    <row r="22" spans="13:13" s="433" customFormat="1">
      <c r="M22" s="434"/>
    </row>
    <row r="23" spans="13:13" s="433" customFormat="1">
      <c r="M23" s="434"/>
    </row>
    <row r="24" spans="13:13" s="433" customFormat="1">
      <c r="M24" s="434"/>
    </row>
    <row r="25" spans="13:13" s="433" customFormat="1">
      <c r="M25" s="434"/>
    </row>
    <row r="26" spans="13:13" s="433" customFormat="1">
      <c r="M26" s="434"/>
    </row>
    <row r="27" spans="13:13" s="433" customFormat="1">
      <c r="M27" s="434"/>
    </row>
    <row r="28" spans="13:13" s="433" customFormat="1">
      <c r="M28" s="434"/>
    </row>
    <row r="29" spans="13:13" s="433" customFormat="1">
      <c r="M29" s="434"/>
    </row>
    <row r="30" spans="13:13" s="433" customFormat="1">
      <c r="M30" s="434"/>
    </row>
    <row r="31" spans="13:13" s="433" customFormat="1">
      <c r="M31" s="434"/>
    </row>
    <row r="32" spans="13:13" s="433" customFormat="1">
      <c r="M32" s="434"/>
    </row>
    <row r="33" spans="1:13" s="433" customFormat="1">
      <c r="M33" s="434"/>
    </row>
    <row r="34" spans="1:13" s="433" customFormat="1">
      <c r="M34" s="434"/>
    </row>
    <row r="35" spans="1:13" s="433" customFormat="1" ht="15.75" customHeight="1"/>
    <row r="36" spans="1:13" s="433" customFormat="1" ht="15.75" customHeight="1">
      <c r="B36" s="440" t="s">
        <v>618</v>
      </c>
    </row>
    <row r="37" spans="1:13" s="433" customFormat="1" ht="24.75" customHeight="1">
      <c r="A37" s="439" t="str">
        <f>"VIN = "&amp;Vin&amp;" V, VOUT = "&amp; Vout &amp;" V, IOUT = " &amp;Iout &amp; " A,  Fsw = " &amp; Fsw/1000 &amp;" kHz, Current Limit = "&amp;ROUNDUP(Ilimit2,0)&amp;" A"</f>
        <v>VIN = 12 V, VOUT = 6.75 V, IOUT = 30 A,  Fsw = 650 kHz, Current Limit = 40 A</v>
      </c>
    </row>
    <row r="38" spans="1:13" ht="24.75" customHeight="1" thickBot="1">
      <c r="A38" s="391" t="s">
        <v>634</v>
      </c>
    </row>
    <row r="39" spans="1:13" ht="18" customHeight="1">
      <c r="A39" s="388" t="s">
        <v>559</v>
      </c>
      <c r="B39" s="389" t="s">
        <v>558</v>
      </c>
      <c r="C39" s="389" t="s">
        <v>8</v>
      </c>
      <c r="D39" s="512" t="s">
        <v>193</v>
      </c>
      <c r="E39" s="513"/>
      <c r="F39" s="513"/>
      <c r="G39" s="514"/>
      <c r="H39" s="390" t="s">
        <v>541</v>
      </c>
      <c r="I39" s="390" t="s">
        <v>312</v>
      </c>
      <c r="J39" s="390" t="s">
        <v>542</v>
      </c>
      <c r="L39" s="387"/>
      <c r="M39" s="386"/>
    </row>
    <row r="40" spans="1:13" s="396" customFormat="1" ht="15.75" customHeight="1">
      <c r="A40" s="393">
        <v>3</v>
      </c>
      <c r="B40" s="394" t="s">
        <v>556</v>
      </c>
      <c r="C40" s="409">
        <v>0.1</v>
      </c>
      <c r="D40" s="529">
        <f t="shared" ref="D40:D51" si="0">C40</f>
        <v>0.1</v>
      </c>
      <c r="E40" s="530"/>
      <c r="F40" s="530"/>
      <c r="G40" s="410"/>
      <c r="H40" s="411" t="s">
        <v>546</v>
      </c>
      <c r="I40" s="395" t="s">
        <v>543</v>
      </c>
      <c r="J40" s="395" t="s">
        <v>543</v>
      </c>
      <c r="L40" s="397"/>
    </row>
    <row r="41" spans="1:13" s="396" customFormat="1" ht="15">
      <c r="A41" s="392">
        <v>1</v>
      </c>
      <c r="B41" s="412" t="s">
        <v>547</v>
      </c>
      <c r="C41" s="413">
        <f>'Design Regulator'!D72</f>
        <v>680</v>
      </c>
      <c r="D41" s="531">
        <f t="shared" si="0"/>
        <v>680</v>
      </c>
      <c r="E41" s="532"/>
      <c r="F41" s="532"/>
      <c r="G41" s="414"/>
      <c r="H41" s="415" t="s">
        <v>546</v>
      </c>
      <c r="I41" s="416" t="s">
        <v>543</v>
      </c>
      <c r="J41" s="416" t="s">
        <v>543</v>
      </c>
      <c r="L41" s="397"/>
    </row>
    <row r="42" spans="1:13" s="396" customFormat="1" ht="15">
      <c r="A42" s="392">
        <v>1</v>
      </c>
      <c r="B42" s="412" t="s">
        <v>548</v>
      </c>
      <c r="C42" s="413">
        <f>'Design Regulator'!D73</f>
        <v>5.6</v>
      </c>
      <c r="D42" s="504">
        <f t="shared" si="0"/>
        <v>5.6</v>
      </c>
      <c r="E42" s="505"/>
      <c r="F42" s="505"/>
      <c r="G42" s="414"/>
      <c r="H42" s="415" t="s">
        <v>546</v>
      </c>
      <c r="I42" s="416" t="s">
        <v>543</v>
      </c>
      <c r="J42" s="416" t="s">
        <v>543</v>
      </c>
      <c r="L42" s="397"/>
    </row>
    <row r="43" spans="1:13" s="396" customFormat="1" ht="15">
      <c r="A43" s="392">
        <v>1</v>
      </c>
      <c r="B43" s="412" t="s">
        <v>549</v>
      </c>
      <c r="C43" s="413">
        <f>'Design Regulator'!D75</f>
        <v>150</v>
      </c>
      <c r="D43" s="504">
        <f t="shared" si="0"/>
        <v>150</v>
      </c>
      <c r="E43" s="505"/>
      <c r="F43" s="505"/>
      <c r="G43" s="414"/>
      <c r="H43" s="415" t="s">
        <v>546</v>
      </c>
      <c r="I43" s="416" t="s">
        <v>543</v>
      </c>
      <c r="J43" s="416" t="s">
        <v>543</v>
      </c>
      <c r="L43" s="397"/>
    </row>
    <row r="44" spans="1:13" s="396" customFormat="1" ht="15">
      <c r="A44" s="404">
        <v>1</v>
      </c>
      <c r="B44" s="405" t="s">
        <v>550</v>
      </c>
      <c r="C44" s="417">
        <v>470</v>
      </c>
      <c r="D44" s="506">
        <f t="shared" ref="D44:D49" si="1">C44</f>
        <v>470</v>
      </c>
      <c r="E44" s="507"/>
      <c r="F44" s="507"/>
      <c r="G44" s="418"/>
      <c r="H44" s="407" t="s">
        <v>546</v>
      </c>
      <c r="I44" s="408" t="s">
        <v>543</v>
      </c>
      <c r="J44" s="408" t="s">
        <v>543</v>
      </c>
      <c r="L44" s="397"/>
    </row>
    <row r="45" spans="1:13" s="396" customFormat="1" ht="15">
      <c r="A45" s="404">
        <v>1</v>
      </c>
      <c r="B45" s="405" t="s">
        <v>591</v>
      </c>
      <c r="C45" s="447">
        <v>1</v>
      </c>
      <c r="D45" s="518">
        <f t="shared" si="1"/>
        <v>1</v>
      </c>
      <c r="E45" s="519"/>
      <c r="F45" s="519"/>
      <c r="G45" s="418"/>
      <c r="H45" s="407" t="s">
        <v>546</v>
      </c>
      <c r="I45" s="408" t="s">
        <v>543</v>
      </c>
      <c r="J45" s="408" t="s">
        <v>543</v>
      </c>
      <c r="L45" s="397"/>
    </row>
    <row r="46" spans="1:13" s="396" customFormat="1" ht="15">
      <c r="A46" s="392">
        <f>ROUNDUP('Design Regulator'!E39/22,0)</f>
        <v>5</v>
      </c>
      <c r="B46" s="412" t="s">
        <v>552</v>
      </c>
      <c r="C46" s="420">
        <v>22</v>
      </c>
      <c r="D46" s="510">
        <f t="shared" si="1"/>
        <v>22</v>
      </c>
      <c r="E46" s="511"/>
      <c r="F46" s="511"/>
      <c r="G46" s="414"/>
      <c r="H46" s="415">
        <v>1210</v>
      </c>
      <c r="I46" s="416" t="s">
        <v>543</v>
      </c>
      <c r="J46" s="416" t="s">
        <v>543</v>
      </c>
      <c r="L46" s="397"/>
    </row>
    <row r="47" spans="1:13" s="396" customFormat="1" ht="15">
      <c r="A47" s="392">
        <f>ROUNDUP('Design Regulator'!E30/100,0)</f>
        <v>2</v>
      </c>
      <c r="B47" s="412" t="s">
        <v>553</v>
      </c>
      <c r="C47" s="420">
        <v>100</v>
      </c>
      <c r="D47" s="496">
        <f t="shared" si="1"/>
        <v>100</v>
      </c>
      <c r="E47" s="497"/>
      <c r="F47" s="497"/>
      <c r="G47" s="414"/>
      <c r="H47" s="415">
        <v>1210</v>
      </c>
      <c r="I47" s="416" t="s">
        <v>543</v>
      </c>
      <c r="J47" s="416" t="s">
        <v>543</v>
      </c>
      <c r="L47" s="397"/>
    </row>
    <row r="48" spans="1:13" s="396" customFormat="1" ht="15">
      <c r="A48" s="404">
        <v>1</v>
      </c>
      <c r="B48" s="405" t="s">
        <v>554</v>
      </c>
      <c r="C48" s="419">
        <v>0.22</v>
      </c>
      <c r="D48" s="498">
        <f t="shared" si="1"/>
        <v>0.22</v>
      </c>
      <c r="E48" s="499"/>
      <c r="F48" s="499"/>
      <c r="G48" s="418"/>
      <c r="H48" s="407" t="s">
        <v>546</v>
      </c>
      <c r="I48" s="408" t="s">
        <v>543</v>
      </c>
      <c r="J48" s="408" t="s">
        <v>543</v>
      </c>
      <c r="L48" s="397"/>
    </row>
    <row r="49" spans="1:12" s="396" customFormat="1" ht="15">
      <c r="A49" s="392">
        <v>1</v>
      </c>
      <c r="B49" s="412" t="s">
        <v>555</v>
      </c>
      <c r="C49" s="421">
        <f>'Design Regulator'!E47</f>
        <v>47</v>
      </c>
      <c r="D49" s="500">
        <f t="shared" si="1"/>
        <v>47</v>
      </c>
      <c r="E49" s="501"/>
      <c r="F49" s="501"/>
      <c r="G49" s="414"/>
      <c r="H49" s="415" t="s">
        <v>546</v>
      </c>
      <c r="I49" s="416" t="s">
        <v>543</v>
      </c>
      <c r="J49" s="416" t="s">
        <v>543</v>
      </c>
      <c r="L49" s="397"/>
    </row>
    <row r="50" spans="1:12" s="396" customFormat="1" ht="15">
      <c r="A50" s="404">
        <v>1</v>
      </c>
      <c r="B50" s="405" t="s">
        <v>551</v>
      </c>
      <c r="C50" s="419">
        <v>4.7</v>
      </c>
      <c r="D50" s="508">
        <f t="shared" si="0"/>
        <v>4.7</v>
      </c>
      <c r="E50" s="509"/>
      <c r="F50" s="509"/>
      <c r="G50" s="418"/>
      <c r="H50" s="407" t="s">
        <v>546</v>
      </c>
      <c r="I50" s="408" t="s">
        <v>543</v>
      </c>
      <c r="J50" s="408" t="s">
        <v>543</v>
      </c>
      <c r="L50" s="397"/>
    </row>
    <row r="51" spans="1:12" s="396" customFormat="1" ht="15">
      <c r="A51" s="404">
        <v>1</v>
      </c>
      <c r="B51" s="405" t="s">
        <v>557</v>
      </c>
      <c r="C51" s="419">
        <v>1</v>
      </c>
      <c r="D51" s="502">
        <f t="shared" si="0"/>
        <v>1</v>
      </c>
      <c r="E51" s="503"/>
      <c r="F51" s="503"/>
      <c r="G51" s="418"/>
      <c r="H51" s="407" t="s">
        <v>546</v>
      </c>
      <c r="I51" s="408" t="s">
        <v>543</v>
      </c>
      <c r="J51" s="408" t="s">
        <v>543</v>
      </c>
      <c r="L51" s="397"/>
    </row>
    <row r="52" spans="1:12" s="396" customFormat="1" ht="15.75" customHeight="1">
      <c r="A52" s="404">
        <v>1</v>
      </c>
      <c r="B52" s="405" t="s">
        <v>560</v>
      </c>
      <c r="C52" s="422" t="s">
        <v>544</v>
      </c>
      <c r="D52" s="482" t="s">
        <v>592</v>
      </c>
      <c r="E52" s="483"/>
      <c r="F52" s="483"/>
      <c r="G52" s="418"/>
      <c r="H52" s="423" t="s">
        <v>562</v>
      </c>
      <c r="I52" s="408" t="s">
        <v>561</v>
      </c>
      <c r="J52" s="408" t="s">
        <v>563</v>
      </c>
      <c r="L52" s="397"/>
    </row>
    <row r="53" spans="1:12" s="396" customFormat="1" ht="15">
      <c r="A53" s="392">
        <v>1</v>
      </c>
      <c r="B53" s="412" t="s">
        <v>596</v>
      </c>
      <c r="C53" s="424">
        <f>'Design Regulator'!E15</f>
        <v>0.47</v>
      </c>
      <c r="D53" s="493" t="str">
        <f>"Inductor, "&amp;Lout2*1000000&amp;"µH, "&amp;Rdcr*1000&amp;"mΩ, &gt;"&amp;ROUNDUP(Ilimit2*1.1,0)&amp;"A"</f>
        <v>Inductor, 0.47µH, 0.32mΩ, &gt;44A</v>
      </c>
      <c r="E53" s="494"/>
      <c r="F53" s="494"/>
      <c r="G53" s="495"/>
      <c r="H53" s="416" t="s">
        <v>565</v>
      </c>
      <c r="I53" s="416" t="s">
        <v>565</v>
      </c>
      <c r="J53" s="416" t="s">
        <v>564</v>
      </c>
      <c r="L53" s="397"/>
    </row>
    <row r="54" spans="1:12" s="396" customFormat="1" ht="15">
      <c r="A54" s="404">
        <v>1</v>
      </c>
      <c r="B54" s="405" t="s">
        <v>566</v>
      </c>
      <c r="C54" s="422" t="s">
        <v>544</v>
      </c>
      <c r="D54" s="523">
        <f>'Design Regulator'!E82</f>
        <v>3.9</v>
      </c>
      <c r="E54" s="524"/>
      <c r="F54" s="524"/>
      <c r="G54" s="525"/>
      <c r="H54" s="408" t="s">
        <v>588</v>
      </c>
      <c r="I54" s="408" t="str">
        <f>'Design Regulator'!E81</f>
        <v>CSD87350Q5D</v>
      </c>
      <c r="J54" s="408" t="s">
        <v>545</v>
      </c>
      <c r="L54" s="397"/>
    </row>
    <row r="55" spans="1:12" s="396" customFormat="1" ht="15">
      <c r="A55" s="404">
        <v>1</v>
      </c>
      <c r="B55" s="405" t="s">
        <v>571</v>
      </c>
      <c r="C55" s="422" t="s">
        <v>544</v>
      </c>
      <c r="D55" s="523">
        <f>'Design Regulator'!E93</f>
        <v>0.9</v>
      </c>
      <c r="E55" s="524"/>
      <c r="F55" s="524"/>
      <c r="G55" s="525"/>
      <c r="H55" s="408" t="s">
        <v>588</v>
      </c>
      <c r="I55" s="408" t="str">
        <f>'Design Regulator'!E92</f>
        <v>CSD87350Q5D</v>
      </c>
      <c r="J55" s="408" t="s">
        <v>545</v>
      </c>
      <c r="L55" s="397"/>
    </row>
    <row r="56" spans="1:12" s="396" customFormat="1" ht="15">
      <c r="A56" s="404">
        <v>1</v>
      </c>
      <c r="B56" s="425" t="s">
        <v>570</v>
      </c>
      <c r="C56" s="422" t="s">
        <v>590</v>
      </c>
      <c r="D56" s="484" t="s">
        <v>569</v>
      </c>
      <c r="E56" s="485"/>
      <c r="F56" s="485"/>
      <c r="G56" s="486"/>
      <c r="H56" s="426" t="s">
        <v>568</v>
      </c>
      <c r="I56" s="427" t="s">
        <v>567</v>
      </c>
      <c r="J56" s="426" t="s">
        <v>564</v>
      </c>
      <c r="L56" s="397"/>
    </row>
    <row r="57" spans="1:12" s="396" customFormat="1" ht="15">
      <c r="A57" s="398">
        <v>1</v>
      </c>
      <c r="B57" s="399" t="s">
        <v>572</v>
      </c>
      <c r="C57" s="400">
        <f>'Design Regulator'!D71</f>
        <v>30.1</v>
      </c>
      <c r="D57" s="487">
        <f t="shared" ref="D57:D68" si="2">C57</f>
        <v>30.1</v>
      </c>
      <c r="E57" s="488"/>
      <c r="F57" s="488"/>
      <c r="G57" s="489"/>
      <c r="H57" s="401" t="s">
        <v>546</v>
      </c>
      <c r="I57" s="402" t="s">
        <v>543</v>
      </c>
      <c r="J57" s="402" t="s">
        <v>543</v>
      </c>
      <c r="L57" s="397"/>
    </row>
    <row r="58" spans="1:12" s="396" customFormat="1" ht="15">
      <c r="A58" s="398">
        <v>1</v>
      </c>
      <c r="B58" s="399" t="s">
        <v>573</v>
      </c>
      <c r="C58" s="403">
        <f>'Design Regulator'!D74</f>
        <v>715</v>
      </c>
      <c r="D58" s="490">
        <f t="shared" si="2"/>
        <v>715</v>
      </c>
      <c r="E58" s="491"/>
      <c r="F58" s="491"/>
      <c r="G58" s="492"/>
      <c r="H58" s="401" t="s">
        <v>546</v>
      </c>
      <c r="I58" s="402" t="s">
        <v>543</v>
      </c>
      <c r="J58" s="402" t="s">
        <v>543</v>
      </c>
      <c r="L58" s="397"/>
    </row>
    <row r="59" spans="1:12" s="396" customFormat="1" ht="15">
      <c r="A59" s="398">
        <v>2</v>
      </c>
      <c r="B59" s="399" t="s">
        <v>597</v>
      </c>
      <c r="C59" s="400">
        <f>'Design Regulator'!E22</f>
        <v>1.43</v>
      </c>
      <c r="D59" s="487">
        <f t="shared" si="2"/>
        <v>1.43</v>
      </c>
      <c r="E59" s="488"/>
      <c r="F59" s="488"/>
      <c r="G59" s="489"/>
      <c r="H59" s="401" t="s">
        <v>546</v>
      </c>
      <c r="I59" s="402" t="s">
        <v>543</v>
      </c>
      <c r="J59" s="402" t="s">
        <v>543</v>
      </c>
      <c r="L59" s="397"/>
    </row>
    <row r="60" spans="1:12" s="396" customFormat="1" ht="15">
      <c r="A60" s="398">
        <v>1</v>
      </c>
      <c r="B60" s="399" t="s">
        <v>585</v>
      </c>
      <c r="C60" s="400">
        <f>'Design Regulator'!E11</f>
        <v>12.7</v>
      </c>
      <c r="D60" s="487">
        <f t="shared" si="2"/>
        <v>12.7</v>
      </c>
      <c r="E60" s="488"/>
      <c r="F60" s="488"/>
      <c r="G60" s="489"/>
      <c r="H60" s="401" t="s">
        <v>546</v>
      </c>
      <c r="I60" s="402" t="s">
        <v>543</v>
      </c>
      <c r="J60" s="402" t="s">
        <v>543</v>
      </c>
      <c r="L60" s="397"/>
    </row>
    <row r="61" spans="1:12" s="396" customFormat="1" ht="15">
      <c r="A61" s="398">
        <v>1</v>
      </c>
      <c r="B61" s="399" t="s">
        <v>584</v>
      </c>
      <c r="C61" s="400">
        <f>'Design Regulator'!E61</f>
        <v>55</v>
      </c>
      <c r="D61" s="487">
        <f t="shared" si="2"/>
        <v>55</v>
      </c>
      <c r="E61" s="488"/>
      <c r="F61" s="488"/>
      <c r="G61" s="489"/>
      <c r="H61" s="401" t="s">
        <v>546</v>
      </c>
      <c r="I61" s="402" t="s">
        <v>543</v>
      </c>
      <c r="J61" s="402" t="s">
        <v>543</v>
      </c>
      <c r="L61" s="397"/>
    </row>
    <row r="62" spans="1:12" s="396" customFormat="1" ht="15">
      <c r="A62" s="398">
        <v>1</v>
      </c>
      <c r="B62" s="399" t="s">
        <v>586</v>
      </c>
      <c r="C62" s="400">
        <f>'Design Regulator'!E62</f>
        <v>5.36</v>
      </c>
      <c r="D62" s="487">
        <f t="shared" si="2"/>
        <v>5.36</v>
      </c>
      <c r="E62" s="488"/>
      <c r="F62" s="488"/>
      <c r="G62" s="489"/>
      <c r="H62" s="401" t="s">
        <v>546</v>
      </c>
      <c r="I62" s="402" t="s">
        <v>543</v>
      </c>
      <c r="J62" s="402" t="s">
        <v>543</v>
      </c>
      <c r="L62" s="397"/>
    </row>
    <row r="63" spans="1:12" s="396" customFormat="1" ht="15">
      <c r="A63" s="404">
        <v>1</v>
      </c>
      <c r="B63" s="405" t="s">
        <v>583</v>
      </c>
      <c r="C63" s="406">
        <v>20</v>
      </c>
      <c r="D63" s="520">
        <f t="shared" si="2"/>
        <v>20</v>
      </c>
      <c r="E63" s="521"/>
      <c r="F63" s="521"/>
      <c r="G63" s="522"/>
      <c r="H63" s="407" t="s">
        <v>546</v>
      </c>
      <c r="I63" s="408" t="s">
        <v>543</v>
      </c>
      <c r="J63" s="408" t="s">
        <v>543</v>
      </c>
      <c r="L63" s="397"/>
    </row>
    <row r="64" spans="1:12" s="396" customFormat="1" ht="15">
      <c r="A64" s="398">
        <v>1</v>
      </c>
      <c r="B64" s="399" t="s">
        <v>579</v>
      </c>
      <c r="C64" s="400">
        <f>'Design Regulator'!E23</f>
        <v>7.32</v>
      </c>
      <c r="D64" s="487">
        <f t="shared" si="2"/>
        <v>7.32</v>
      </c>
      <c r="E64" s="488"/>
      <c r="F64" s="488"/>
      <c r="G64" s="489"/>
      <c r="H64" s="401" t="s">
        <v>546</v>
      </c>
      <c r="I64" s="402" t="s">
        <v>543</v>
      </c>
      <c r="J64" s="402" t="s">
        <v>543</v>
      </c>
      <c r="L64" s="397"/>
    </row>
    <row r="65" spans="1:12" s="396" customFormat="1" ht="15">
      <c r="A65" s="398">
        <v>1</v>
      </c>
      <c r="B65" s="399" t="s">
        <v>598</v>
      </c>
      <c r="C65" s="400">
        <f>'Variable Management'!C237</f>
        <v>84.5</v>
      </c>
      <c r="D65" s="487">
        <f t="shared" si="2"/>
        <v>84.5</v>
      </c>
      <c r="E65" s="488"/>
      <c r="F65" s="488"/>
      <c r="G65" s="489"/>
      <c r="H65" s="401" t="s">
        <v>546</v>
      </c>
      <c r="I65" s="402" t="s">
        <v>543</v>
      </c>
      <c r="J65" s="402" t="s">
        <v>543</v>
      </c>
      <c r="L65" s="397"/>
    </row>
    <row r="66" spans="1:12" s="396" customFormat="1" ht="15">
      <c r="A66" s="398">
        <v>1</v>
      </c>
      <c r="B66" s="399" t="s">
        <v>574</v>
      </c>
      <c r="C66" s="400">
        <f>'Design Regulator'!E52</f>
        <v>143</v>
      </c>
      <c r="D66" s="487">
        <f t="shared" si="2"/>
        <v>143</v>
      </c>
      <c r="E66" s="488"/>
      <c r="F66" s="488"/>
      <c r="G66" s="489"/>
      <c r="H66" s="401" t="s">
        <v>546</v>
      </c>
      <c r="I66" s="402" t="s">
        <v>543</v>
      </c>
      <c r="J66" s="402" t="s">
        <v>543</v>
      </c>
      <c r="L66" s="397"/>
    </row>
    <row r="67" spans="1:12" s="396" customFormat="1" ht="15">
      <c r="A67" s="398">
        <v>1</v>
      </c>
      <c r="B67" s="399" t="s">
        <v>575</v>
      </c>
      <c r="C67" s="400">
        <f>'Design Regulator'!E53</f>
        <v>14.700000000000001</v>
      </c>
      <c r="D67" s="487">
        <f t="shared" si="2"/>
        <v>14.700000000000001</v>
      </c>
      <c r="E67" s="488"/>
      <c r="F67" s="488"/>
      <c r="G67" s="489"/>
      <c r="H67" s="401" t="s">
        <v>546</v>
      </c>
      <c r="I67" s="402" t="s">
        <v>543</v>
      </c>
      <c r="J67" s="402" t="s">
        <v>543</v>
      </c>
      <c r="L67" s="397"/>
    </row>
    <row r="68" spans="1:12" s="396" customFormat="1" ht="15">
      <c r="A68" s="404">
        <v>1</v>
      </c>
      <c r="B68" s="405" t="s">
        <v>578</v>
      </c>
      <c r="C68" s="428">
        <v>2.2000000000000002</v>
      </c>
      <c r="D68" s="526">
        <f t="shared" si="2"/>
        <v>2.2000000000000002</v>
      </c>
      <c r="E68" s="527"/>
      <c r="F68" s="527"/>
      <c r="G68" s="528"/>
      <c r="H68" s="407" t="s">
        <v>546</v>
      </c>
      <c r="I68" s="408" t="s">
        <v>543</v>
      </c>
      <c r="J68" s="408" t="s">
        <v>543</v>
      </c>
      <c r="L68" s="397"/>
    </row>
    <row r="69" spans="1:12" s="396" customFormat="1" ht="15">
      <c r="A69" s="430">
        <v>1</v>
      </c>
      <c r="B69" s="431" t="s">
        <v>589</v>
      </c>
      <c r="C69" s="429" t="s">
        <v>580</v>
      </c>
      <c r="D69" s="515" t="s">
        <v>587</v>
      </c>
      <c r="E69" s="516"/>
      <c r="F69" s="516"/>
      <c r="G69" s="517"/>
      <c r="H69" s="432" t="s">
        <v>582</v>
      </c>
      <c r="I69" s="432" t="s">
        <v>581</v>
      </c>
      <c r="J69" s="432" t="s">
        <v>545</v>
      </c>
      <c r="L69" s="397"/>
    </row>
    <row r="72" spans="1:12">
      <c r="A72" s="442" t="s">
        <v>622</v>
      </c>
    </row>
    <row r="73" spans="1:12">
      <c r="A73" s="239" t="s">
        <v>620</v>
      </c>
    </row>
    <row r="74" spans="1:12">
      <c r="A74" s="386" t="s">
        <v>621</v>
      </c>
    </row>
    <row r="75" spans="1:12">
      <c r="A75" s="386" t="s">
        <v>623</v>
      </c>
    </row>
  </sheetData>
  <sheetProtection password="E1A4" sheet="1" objects="1" scenarios="1" selectLockedCells="1" selectUnlockedCells="1"/>
  <mergeCells count="31">
    <mergeCell ref="D39:G39"/>
    <mergeCell ref="D69:G69"/>
    <mergeCell ref="D45:F45"/>
    <mergeCell ref="D63:G63"/>
    <mergeCell ref="D61:G61"/>
    <mergeCell ref="D62:G62"/>
    <mergeCell ref="D54:G54"/>
    <mergeCell ref="D55:G55"/>
    <mergeCell ref="D60:G60"/>
    <mergeCell ref="D66:G66"/>
    <mergeCell ref="D67:G67"/>
    <mergeCell ref="D68:G68"/>
    <mergeCell ref="D64:G64"/>
    <mergeCell ref="D65:G65"/>
    <mergeCell ref="D40:F40"/>
    <mergeCell ref="D41:F41"/>
    <mergeCell ref="D47:F47"/>
    <mergeCell ref="D48:F48"/>
    <mergeCell ref="D49:F49"/>
    <mergeCell ref="D51:F51"/>
    <mergeCell ref="D42:F42"/>
    <mergeCell ref="D43:F43"/>
    <mergeCell ref="D44:F44"/>
    <mergeCell ref="D50:F50"/>
    <mergeCell ref="D46:F46"/>
    <mergeCell ref="D52:F52"/>
    <mergeCell ref="D56:G56"/>
    <mergeCell ref="D57:G57"/>
    <mergeCell ref="D58:G58"/>
    <mergeCell ref="D59:G59"/>
    <mergeCell ref="D53:G53"/>
  </mergeCells>
  <printOptions horizontalCentered="1"/>
  <pageMargins left="0.23" right="0.23" top="0.7" bottom="0.61" header="0.3" footer="0.5"/>
  <pageSetup scale="84" fitToHeight="2" orientation="landscape" r:id="rId1"/>
  <headerFooter alignWithMargins="0"/>
  <rowBreaks count="1" manualBreakCount="1">
    <brk id="36" max="9" man="1"/>
  </rowBreaks>
  <ignoredErrors>
    <ignoredError sqref="H40:H45 H66:H68 H61:H63 H57:H59 H50:H51 H48:H49 H52:H53 H60 H64:H65 H56"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pageSetUpPr fitToPage="1"/>
  </sheetPr>
  <dimension ref="A1:R6"/>
  <sheetViews>
    <sheetView zoomScaleNormal="100" workbookViewId="0">
      <selection activeCell="W36" sqref="W36"/>
    </sheetView>
  </sheetViews>
  <sheetFormatPr baseColWidth="10" defaultColWidth="9.1640625" defaultRowHeight="13"/>
  <cols>
    <col min="1" max="13" width="9.1640625" style="232"/>
    <col min="14" max="14" width="11.83203125" style="232" customWidth="1"/>
    <col min="15" max="16" width="9.1640625" style="232"/>
    <col min="17" max="17" width="15.6640625" style="232" customWidth="1"/>
    <col min="18" max="16384" width="9.1640625" style="232"/>
  </cols>
  <sheetData>
    <row r="1" spans="1:18" s="220" customFormat="1" ht="47.25" customHeight="1">
      <c r="A1" s="533" t="s">
        <v>606</v>
      </c>
      <c r="B1" s="534"/>
      <c r="C1" s="534"/>
      <c r="D1" s="534"/>
      <c r="E1" s="534"/>
      <c r="F1" s="534"/>
      <c r="G1" s="534"/>
      <c r="H1" s="534"/>
      <c r="I1" s="534"/>
      <c r="J1" s="534"/>
      <c r="K1" s="534"/>
      <c r="L1" s="534"/>
      <c r="M1" s="534"/>
      <c r="N1" s="534"/>
      <c r="O1" s="534"/>
      <c r="P1" s="534"/>
      <c r="Q1" s="534"/>
      <c r="R1" s="230"/>
    </row>
    <row r="6" spans="1:18" ht="20">
      <c r="B6" s="233" t="s">
        <v>656</v>
      </c>
      <c r="N6" s="233" t="s">
        <v>657</v>
      </c>
    </row>
  </sheetData>
  <sheetProtection password="E1A4" sheet="1" objects="1" scenarios="1"/>
  <mergeCells count="1">
    <mergeCell ref="A1:Q1"/>
  </mergeCells>
  <pageMargins left="0.19" right="0.2" top="0.75" bottom="0.75" header="0.3" footer="0.3"/>
  <pageSetup scale="5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311"/>
  <sheetViews>
    <sheetView workbookViewId="0">
      <pane ySplit="5" topLeftCell="A82" activePane="bottomLeft" state="frozenSplit"/>
      <selection pane="bottomLeft" activeCell="B101" sqref="B101"/>
    </sheetView>
  </sheetViews>
  <sheetFormatPr baseColWidth="10" defaultColWidth="8.83203125" defaultRowHeight="13"/>
  <cols>
    <col min="1" max="1" width="35.1640625" bestFit="1" customWidth="1"/>
    <col min="2" max="2" width="19.1640625" customWidth="1"/>
    <col min="7" max="7" width="18.83203125" customWidth="1"/>
    <col min="9" max="10" width="12.5" bestFit="1" customWidth="1"/>
  </cols>
  <sheetData>
    <row r="1" spans="1:8" ht="40.5" customHeight="1">
      <c r="A1" s="536" t="s">
        <v>292</v>
      </c>
      <c r="B1" s="536"/>
      <c r="C1" s="536"/>
      <c r="D1" s="536"/>
      <c r="E1" s="536"/>
      <c r="F1" s="536"/>
      <c r="G1" s="536"/>
      <c r="H1" s="536"/>
    </row>
    <row r="2" spans="1:8" ht="12" customHeight="1">
      <c r="A2" s="87"/>
      <c r="B2" s="87" t="s">
        <v>380</v>
      </c>
      <c r="C2" s="88"/>
      <c r="D2" s="87"/>
      <c r="E2" s="87"/>
      <c r="F2" s="87"/>
      <c r="G2" s="87"/>
      <c r="H2" s="87"/>
    </row>
    <row r="3" spans="1:8" ht="11.25" customHeight="1">
      <c r="A3" s="87"/>
      <c r="B3" s="87" t="s">
        <v>444</v>
      </c>
      <c r="C3" s="89"/>
      <c r="D3" s="87"/>
      <c r="E3" s="87"/>
      <c r="F3" s="87"/>
      <c r="G3" s="87"/>
      <c r="H3" s="87"/>
    </row>
    <row r="4" spans="1:8" ht="11.25" customHeight="1">
      <c r="A4" s="87"/>
      <c r="B4" s="87" t="s">
        <v>381</v>
      </c>
      <c r="C4" s="90"/>
      <c r="D4" s="87"/>
      <c r="E4" s="87"/>
      <c r="F4" s="87"/>
      <c r="G4" s="87"/>
      <c r="H4" s="87"/>
    </row>
    <row r="5" spans="1:8">
      <c r="A5" s="2" t="s">
        <v>113</v>
      </c>
      <c r="B5" s="2" t="s">
        <v>8</v>
      </c>
      <c r="C5" s="2" t="s">
        <v>9</v>
      </c>
      <c r="D5" s="535" t="s">
        <v>13</v>
      </c>
      <c r="E5" s="535"/>
      <c r="F5" s="535"/>
      <c r="G5" s="535"/>
      <c r="H5" s="2" t="s">
        <v>38</v>
      </c>
    </row>
    <row r="6" spans="1:8" ht="17" thickBot="1">
      <c r="A6" s="174" t="s">
        <v>294</v>
      </c>
      <c r="B6" s="146"/>
      <c r="C6" s="146"/>
      <c r="D6" s="175"/>
      <c r="E6" s="175"/>
      <c r="F6" s="175"/>
      <c r="G6" s="175"/>
      <c r="H6" s="146"/>
    </row>
    <row r="7" spans="1:8">
      <c r="A7" s="176" t="s">
        <v>4</v>
      </c>
      <c r="B7" s="21">
        <f>'Design Regulator'!E6</f>
        <v>12</v>
      </c>
      <c r="C7" s="125" t="s">
        <v>0</v>
      </c>
      <c r="D7" s="125" t="s">
        <v>14</v>
      </c>
      <c r="E7" s="125"/>
      <c r="F7" s="125"/>
      <c r="G7" s="125"/>
      <c r="H7" s="126">
        <v>1</v>
      </c>
    </row>
    <row r="8" spans="1:8">
      <c r="A8" s="118" t="s">
        <v>5</v>
      </c>
      <c r="B8" s="47">
        <f>'Design Regulator'!E7</f>
        <v>6.75</v>
      </c>
      <c r="C8" s="13" t="s">
        <v>0</v>
      </c>
      <c r="D8" s="13" t="s">
        <v>1</v>
      </c>
      <c r="E8" s="13"/>
      <c r="F8" s="13"/>
      <c r="G8" s="13"/>
      <c r="H8" s="119">
        <v>1</v>
      </c>
    </row>
    <row r="9" spans="1:8">
      <c r="A9" s="118" t="s">
        <v>6</v>
      </c>
      <c r="B9" s="47">
        <f>'Design Regulator'!E8</f>
        <v>30</v>
      </c>
      <c r="C9" s="13" t="s">
        <v>2</v>
      </c>
      <c r="D9" s="13" t="s">
        <v>15</v>
      </c>
      <c r="E9" s="13"/>
      <c r="F9" s="13"/>
      <c r="G9" s="13"/>
      <c r="H9" s="119">
        <v>1</v>
      </c>
    </row>
    <row r="10" spans="1:8">
      <c r="A10" s="120" t="s">
        <v>7</v>
      </c>
      <c r="B10" s="444">
        <f>'Design Regulator'!E9*1000</f>
        <v>650000</v>
      </c>
      <c r="C10" s="223" t="s">
        <v>10</v>
      </c>
      <c r="D10" s="13" t="s">
        <v>16</v>
      </c>
      <c r="E10" s="13"/>
      <c r="F10" s="13"/>
      <c r="G10" s="13"/>
      <c r="H10" s="119">
        <v>1</v>
      </c>
    </row>
    <row r="11" spans="1:8">
      <c r="A11" s="120" t="s">
        <v>78</v>
      </c>
      <c r="B11" s="121">
        <v>0.6</v>
      </c>
      <c r="C11" s="13" t="s">
        <v>0</v>
      </c>
      <c r="D11" s="13" t="s">
        <v>79</v>
      </c>
      <c r="E11" s="13"/>
      <c r="F11" s="13"/>
      <c r="G11" s="13"/>
      <c r="H11" s="119"/>
    </row>
    <row r="12" spans="1:8">
      <c r="A12" s="118" t="s">
        <v>303</v>
      </c>
      <c r="B12" s="134">
        <f>(10000/((Fsw/1000)^0.99-100)-7)*1000</f>
        <v>12637.332740557369</v>
      </c>
      <c r="C12" s="385" t="s">
        <v>213</v>
      </c>
      <c r="D12" s="13"/>
      <c r="E12" s="13"/>
      <c r="F12" s="13"/>
      <c r="G12" s="13"/>
      <c r="H12" s="119"/>
    </row>
    <row r="13" spans="1:8">
      <c r="A13" s="118" t="s">
        <v>467</v>
      </c>
      <c r="B13" s="129">
        <f>'Design Regulator'!E48</f>
        <v>105</v>
      </c>
      <c r="C13" s="13"/>
      <c r="D13" s="13"/>
      <c r="E13" s="13"/>
      <c r="F13" s="13"/>
      <c r="G13" s="13"/>
      <c r="H13" s="119"/>
    </row>
    <row r="14" spans="1:8" ht="14" thickBot="1">
      <c r="A14" s="122"/>
      <c r="B14" s="216"/>
      <c r="C14" s="123"/>
      <c r="D14" s="123"/>
      <c r="E14" s="123"/>
      <c r="F14" s="123"/>
      <c r="G14" s="123"/>
      <c r="H14" s="124"/>
    </row>
    <row r="15" spans="1:8">
      <c r="A15" s="13"/>
      <c r="B15" s="13"/>
      <c r="C15" s="13"/>
      <c r="D15" s="13"/>
      <c r="E15" s="13"/>
      <c r="F15" s="13"/>
      <c r="G15" s="13"/>
      <c r="H15" s="13"/>
    </row>
    <row r="16" spans="1:8">
      <c r="A16" s="13"/>
      <c r="B16" s="13"/>
      <c r="C16" s="13"/>
      <c r="D16" s="13"/>
      <c r="E16" s="13"/>
      <c r="F16" s="13"/>
      <c r="G16" s="13"/>
      <c r="H16" s="13"/>
    </row>
    <row r="17" spans="1:8" ht="17" thickBot="1">
      <c r="A17" s="174" t="s">
        <v>112</v>
      </c>
      <c r="B17" s="13"/>
      <c r="C17" s="13"/>
      <c r="D17" s="13"/>
      <c r="E17" s="13"/>
      <c r="F17" s="13"/>
      <c r="G17" s="13"/>
      <c r="H17" s="13"/>
    </row>
    <row r="18" spans="1:8">
      <c r="A18" s="177" t="s">
        <v>19</v>
      </c>
      <c r="B18" s="178">
        <f>Vout/Vin</f>
        <v>0.5625</v>
      </c>
      <c r="C18" s="125" t="s">
        <v>23</v>
      </c>
      <c r="D18" s="125" t="s">
        <v>17</v>
      </c>
      <c r="E18" s="125"/>
      <c r="F18" s="125"/>
      <c r="G18" s="125"/>
      <c r="H18" s="126">
        <v>1</v>
      </c>
    </row>
    <row r="19" spans="1:8">
      <c r="A19" s="127" t="s">
        <v>20</v>
      </c>
      <c r="B19" s="128">
        <f>1-18:18</f>
        <v>0.4375</v>
      </c>
      <c r="C19" s="13" t="s">
        <v>23</v>
      </c>
      <c r="D19" s="13" t="s">
        <v>18</v>
      </c>
      <c r="E19" s="13"/>
      <c r="F19" s="13"/>
      <c r="G19" s="13"/>
      <c r="H19" s="119">
        <v>1</v>
      </c>
    </row>
    <row r="20" spans="1:8">
      <c r="A20" s="127" t="s">
        <v>31</v>
      </c>
      <c r="B20" s="128">
        <f>(Vin-Vout)*_Don1/(Fsw*Iout*0.333)</f>
        <v>4.5478170478170478E-7</v>
      </c>
      <c r="C20" s="13" t="s">
        <v>24</v>
      </c>
      <c r="D20" s="13" t="s">
        <v>445</v>
      </c>
      <c r="E20" s="13"/>
      <c r="F20" s="13"/>
      <c r="G20" s="13"/>
      <c r="H20" s="119">
        <v>1</v>
      </c>
    </row>
    <row r="21" spans="1:8">
      <c r="A21" s="118" t="s">
        <v>32</v>
      </c>
      <c r="B21" s="47">
        <f>'Design Regulator'!E15/1000000</f>
        <v>4.6999999999999995E-7</v>
      </c>
      <c r="C21" s="13" t="s">
        <v>24</v>
      </c>
      <c r="D21" s="223" t="s">
        <v>626</v>
      </c>
      <c r="E21" s="13"/>
      <c r="F21" s="13"/>
      <c r="G21" s="13"/>
      <c r="H21" s="119">
        <v>2</v>
      </c>
    </row>
    <row r="22" spans="1:8">
      <c r="A22" s="118" t="s">
        <v>12</v>
      </c>
      <c r="B22" s="47">
        <f>'Design Regulator'!E16/1000</f>
        <v>3.2000000000000003E-4</v>
      </c>
      <c r="C22" s="385" t="s">
        <v>213</v>
      </c>
      <c r="D22" s="223" t="s">
        <v>443</v>
      </c>
      <c r="E22" s="13"/>
      <c r="F22" s="13"/>
      <c r="G22" s="13"/>
      <c r="H22" s="119">
        <v>1</v>
      </c>
    </row>
    <row r="23" spans="1:8">
      <c r="A23" s="127" t="s">
        <v>21</v>
      </c>
      <c r="B23" s="128">
        <f>(Vout+Iout*Rdcr)/Vin</f>
        <v>0.56330000000000002</v>
      </c>
      <c r="C23" s="13" t="s">
        <v>23</v>
      </c>
      <c r="D23" s="13" t="s">
        <v>446</v>
      </c>
      <c r="E23" s="13"/>
      <c r="F23" s="13"/>
      <c r="G23" s="13"/>
      <c r="H23" s="119">
        <v>2</v>
      </c>
    </row>
    <row r="24" spans="1:8">
      <c r="A24" s="127" t="s">
        <v>22</v>
      </c>
      <c r="B24" s="128">
        <f>1-_Don2</f>
        <v>0.43669999999999998</v>
      </c>
      <c r="C24" s="13" t="s">
        <v>23</v>
      </c>
      <c r="D24" s="13" t="s">
        <v>447</v>
      </c>
      <c r="E24" s="13"/>
      <c r="F24" s="13"/>
      <c r="G24" s="13"/>
      <c r="H24" s="119">
        <v>2</v>
      </c>
    </row>
    <row r="25" spans="1:8">
      <c r="A25" s="118" t="s">
        <v>26</v>
      </c>
      <c r="B25" s="129">
        <f>'Design Regulator'!E28/1000</f>
        <v>0.02</v>
      </c>
      <c r="C25" s="13" t="s">
        <v>0</v>
      </c>
      <c r="D25" s="13" t="s">
        <v>27</v>
      </c>
      <c r="E25" s="13"/>
      <c r="F25" s="13"/>
      <c r="G25" s="13"/>
      <c r="H25" s="119">
        <v>1</v>
      </c>
    </row>
    <row r="26" spans="1:8">
      <c r="A26" s="130" t="s">
        <v>33</v>
      </c>
      <c r="B26" s="128">
        <f>(Vin-Vout)*_Don2/(Fsw*Lout2)</f>
        <v>9.6802782324058931</v>
      </c>
      <c r="C26" s="13" t="s">
        <v>2</v>
      </c>
      <c r="D26" s="223" t="s">
        <v>627</v>
      </c>
      <c r="E26" s="13"/>
      <c r="F26" s="13"/>
      <c r="G26" s="13"/>
      <c r="H26" s="119">
        <v>1</v>
      </c>
    </row>
    <row r="27" spans="1:8">
      <c r="A27" s="130" t="s">
        <v>433</v>
      </c>
      <c r="B27" s="128">
        <f>Rdcr*(1+0.0039*(F27-25))</f>
        <v>4.1360000000000002E-4</v>
      </c>
      <c r="C27" s="57" t="s">
        <v>25</v>
      </c>
      <c r="D27" s="13"/>
      <c r="E27" s="13" t="s">
        <v>434</v>
      </c>
      <c r="F27" s="13">
        <v>100</v>
      </c>
      <c r="G27" s="13"/>
      <c r="H27" s="119"/>
    </row>
    <row r="28" spans="1:8" ht="14" thickBot="1">
      <c r="A28" s="131" t="s">
        <v>368</v>
      </c>
      <c r="B28" s="132">
        <f>Lout2/Rdcr</f>
        <v>1.4687499999999998E-3</v>
      </c>
      <c r="C28" s="123" t="s">
        <v>271</v>
      </c>
      <c r="D28" s="123" t="s">
        <v>369</v>
      </c>
      <c r="E28" s="123"/>
      <c r="F28" s="123"/>
      <c r="G28" s="123"/>
      <c r="H28" s="124"/>
    </row>
    <row r="29" spans="1:8">
      <c r="A29" s="146"/>
      <c r="B29" s="145"/>
      <c r="C29" s="13"/>
      <c r="D29" s="13"/>
      <c r="E29" s="13"/>
      <c r="F29" s="13"/>
      <c r="G29" s="13"/>
      <c r="H29" s="13"/>
    </row>
    <row r="30" spans="1:8" ht="17" thickBot="1">
      <c r="A30" s="174" t="s">
        <v>281</v>
      </c>
      <c r="B30" s="145"/>
      <c r="C30" s="13"/>
      <c r="D30" s="13"/>
      <c r="E30" s="13"/>
      <c r="F30" s="13"/>
      <c r="G30" s="13"/>
      <c r="H30" s="13"/>
    </row>
    <row r="31" spans="1:8">
      <c r="A31" s="179" t="s">
        <v>372</v>
      </c>
      <c r="B31" s="180" t="str">
        <f>"n"</f>
        <v>n</v>
      </c>
      <c r="C31" s="125"/>
      <c r="D31" s="125"/>
      <c r="E31" s="125"/>
      <c r="F31" s="125"/>
      <c r="G31" s="125"/>
      <c r="H31" s="126"/>
    </row>
    <row r="32" spans="1:8">
      <c r="A32" s="130"/>
      <c r="B32" s="214" t="s">
        <v>441</v>
      </c>
      <c r="C32" s="13"/>
      <c r="D32" s="13"/>
      <c r="E32" s="13"/>
      <c r="F32" s="13"/>
      <c r="G32" s="13"/>
      <c r="H32" s="119"/>
    </row>
    <row r="33" spans="1:8">
      <c r="A33" s="130"/>
      <c r="B33" s="214" t="s">
        <v>442</v>
      </c>
      <c r="C33" s="13"/>
      <c r="D33" s="13"/>
      <c r="E33" s="13"/>
      <c r="F33" s="13"/>
      <c r="G33" s="13"/>
      <c r="H33" s="119"/>
    </row>
    <row r="34" spans="1:8">
      <c r="A34" s="118" t="s">
        <v>279</v>
      </c>
      <c r="B34" s="47">
        <f>'Design Regulator'!E21+Iripple1/2</f>
        <v>44.840139116202948</v>
      </c>
      <c r="C34" s="13" t="s">
        <v>2</v>
      </c>
      <c r="D34" s="13" t="s">
        <v>378</v>
      </c>
      <c r="E34" s="13"/>
      <c r="F34" s="13"/>
      <c r="G34" s="13"/>
      <c r="H34" s="119"/>
    </row>
    <row r="35" spans="1:8">
      <c r="A35" s="120" t="s">
        <v>310</v>
      </c>
      <c r="B35" s="133">
        <v>9.9000000000000001E-6</v>
      </c>
      <c r="C35" s="13" t="s">
        <v>2</v>
      </c>
      <c r="D35" s="13" t="s">
        <v>311</v>
      </c>
      <c r="E35" s="13"/>
      <c r="F35" s="13"/>
      <c r="G35" s="13"/>
      <c r="H35" s="119"/>
    </row>
    <row r="36" spans="1:8">
      <c r="A36" s="120" t="s">
        <v>373</v>
      </c>
      <c r="B36" s="134">
        <f>ILimit*Rdcr/Ics</f>
        <v>1449.3782340590853</v>
      </c>
      <c r="C36" s="385" t="s">
        <v>213</v>
      </c>
      <c r="D36" s="13" t="s">
        <v>295</v>
      </c>
      <c r="E36" s="13"/>
      <c r="F36" s="13"/>
      <c r="G36" s="13"/>
      <c r="H36" s="119"/>
    </row>
    <row r="37" spans="1:8">
      <c r="A37" s="118" t="s">
        <v>374</v>
      </c>
      <c r="B37" s="135">
        <f>'Standard Value Calculator'!S22</f>
        <v>1430</v>
      </c>
      <c r="C37" s="385" t="s">
        <v>213</v>
      </c>
      <c r="D37" s="13" t="s">
        <v>375</v>
      </c>
      <c r="E37" s="13"/>
      <c r="F37" s="13"/>
      <c r="G37" s="13"/>
      <c r="H37" s="119"/>
    </row>
    <row r="38" spans="1:8">
      <c r="A38" s="118" t="s">
        <v>370</v>
      </c>
      <c r="B38" s="134">
        <f>0.00000022</f>
        <v>2.2000000000000001E-7</v>
      </c>
      <c r="C38" s="13" t="s">
        <v>34</v>
      </c>
      <c r="D38" s="13" t="s">
        <v>371</v>
      </c>
      <c r="E38" s="13"/>
      <c r="F38" s="13"/>
      <c r="G38" s="13"/>
      <c r="H38" s="119">
        <f>Csideal*1000000000</f>
        <v>220</v>
      </c>
    </row>
    <row r="39" spans="1:8">
      <c r="A39" s="118" t="s">
        <v>329</v>
      </c>
      <c r="B39" s="137">
        <f>'Standard Value Calculator'!H4</f>
        <v>2.2000000000000001E-7</v>
      </c>
      <c r="C39" s="13" t="s">
        <v>34</v>
      </c>
      <c r="D39" s="13" t="s">
        <v>377</v>
      </c>
      <c r="E39" s="13"/>
      <c r="F39" s="13"/>
      <c r="G39" s="13"/>
      <c r="H39" s="119"/>
    </row>
    <row r="40" spans="1:8">
      <c r="A40" s="118" t="s">
        <v>339</v>
      </c>
      <c r="B40" s="134">
        <f>1.1*TL/Cs</f>
        <v>7343.7499999999991</v>
      </c>
      <c r="C40" s="385" t="s">
        <v>213</v>
      </c>
      <c r="D40" s="223" t="s">
        <v>470</v>
      </c>
      <c r="E40" s="13"/>
      <c r="F40" s="13"/>
      <c r="G40" s="13"/>
      <c r="H40" s="119"/>
    </row>
    <row r="41" spans="1:8">
      <c r="A41" s="118" t="s">
        <v>330</v>
      </c>
      <c r="B41" s="136">
        <f>'Standard Value Calculator'!S6</f>
        <v>7320</v>
      </c>
      <c r="C41" s="385" t="s">
        <v>213</v>
      </c>
      <c r="D41" s="223" t="s">
        <v>633</v>
      </c>
      <c r="E41" s="13"/>
      <c r="F41" s="13"/>
      <c r="G41" s="13"/>
      <c r="H41" s="119"/>
    </row>
    <row r="42" spans="1:8">
      <c r="A42" s="118"/>
      <c r="B42" s="135"/>
      <c r="C42" s="13"/>
      <c r="D42" s="13"/>
      <c r="E42" s="13"/>
      <c r="F42" s="13"/>
      <c r="G42" s="13"/>
      <c r="H42" s="119"/>
    </row>
    <row r="43" spans="1:8">
      <c r="A43" s="118"/>
      <c r="B43" s="135"/>
      <c r="C43" s="13"/>
      <c r="D43" s="13"/>
      <c r="E43" s="13"/>
      <c r="F43" s="13"/>
      <c r="G43" s="13"/>
      <c r="H43" s="119"/>
    </row>
    <row r="44" spans="1:8">
      <c r="A44" s="118"/>
      <c r="B44" s="135"/>
      <c r="C44" s="13"/>
      <c r="D44" s="13"/>
      <c r="E44" s="13"/>
      <c r="F44" s="13"/>
      <c r="G44" s="13"/>
      <c r="H44" s="119"/>
    </row>
    <row r="45" spans="1:8" ht="14" thickBot="1">
      <c r="A45" s="122" t="s">
        <v>296</v>
      </c>
      <c r="B45" s="138">
        <f>Ics*Rset/Rdcr-Iripple1/2</f>
        <v>39.400485883797046</v>
      </c>
      <c r="C45" s="123" t="s">
        <v>2</v>
      </c>
      <c r="D45" s="228" t="s">
        <v>525</v>
      </c>
      <c r="E45" s="123"/>
      <c r="F45" s="123"/>
      <c r="G45" s="123"/>
      <c r="H45" s="124"/>
    </row>
    <row r="47" spans="1:8" ht="17" thickBot="1">
      <c r="A47" s="174" t="s">
        <v>282</v>
      </c>
      <c r="B47" s="13"/>
      <c r="C47" s="13"/>
      <c r="D47" s="13"/>
      <c r="E47" s="13"/>
      <c r="F47" s="13"/>
      <c r="G47" s="13"/>
      <c r="H47" s="13"/>
    </row>
    <row r="48" spans="1:8">
      <c r="A48" s="176" t="s">
        <v>290</v>
      </c>
      <c r="B48" s="181">
        <f>Iripple1/SQRT(3)/2</f>
        <v>2.7944556216550085</v>
      </c>
      <c r="C48" s="125"/>
      <c r="D48" s="226" t="s">
        <v>526</v>
      </c>
      <c r="E48" s="125"/>
      <c r="F48" s="125"/>
      <c r="G48" s="125"/>
      <c r="H48" s="126"/>
    </row>
    <row r="49" spans="1:8">
      <c r="A49" s="127" t="s">
        <v>29</v>
      </c>
      <c r="B49" s="128">
        <f>(Iripple1/(Vripple1*Fsw*8))</f>
        <v>9.3079598388518201E-5</v>
      </c>
      <c r="C49" s="13" t="s">
        <v>34</v>
      </c>
      <c r="D49" s="13" t="s">
        <v>28</v>
      </c>
      <c r="E49" s="13"/>
      <c r="F49" s="13"/>
      <c r="G49" s="13"/>
      <c r="H49" s="119">
        <v>1</v>
      </c>
    </row>
    <row r="50" spans="1:8">
      <c r="A50" s="118" t="s">
        <v>36</v>
      </c>
      <c r="B50" s="47">
        <f>'Design Regulator'!E30/1000000</f>
        <v>1.2E-4</v>
      </c>
      <c r="C50" s="13" t="s">
        <v>34</v>
      </c>
      <c r="D50" s="13" t="s">
        <v>35</v>
      </c>
      <c r="E50" s="13"/>
      <c r="F50" s="13"/>
      <c r="G50" s="13"/>
      <c r="H50" s="119">
        <v>1</v>
      </c>
    </row>
    <row r="51" spans="1:8">
      <c r="A51" s="127" t="s">
        <v>114</v>
      </c>
      <c r="B51" s="128">
        <f>SQRT((Vripple1/Iripple1)^2-(1/(Fsw*Cout*8))^2)</f>
        <v>1.3039850480129251E-3</v>
      </c>
      <c r="C51" s="385" t="s">
        <v>213</v>
      </c>
      <c r="D51" s="223" t="s">
        <v>527</v>
      </c>
      <c r="E51" s="13"/>
      <c r="F51" s="13"/>
      <c r="G51" s="13"/>
      <c r="H51" s="119">
        <v>1</v>
      </c>
    </row>
    <row r="52" spans="1:8">
      <c r="A52" s="118" t="s">
        <v>278</v>
      </c>
      <c r="B52" s="121">
        <f>'Design Regulator'!E32/1000</f>
        <v>1.5499999999999999E-3</v>
      </c>
      <c r="C52" s="385" t="s">
        <v>213</v>
      </c>
      <c r="D52" s="223" t="s">
        <v>528</v>
      </c>
      <c r="E52" s="13"/>
      <c r="F52" s="13"/>
      <c r="G52" s="13"/>
      <c r="H52" s="119">
        <v>1</v>
      </c>
    </row>
    <row r="53" spans="1:8" ht="14" thickBot="1">
      <c r="A53" s="139" t="s">
        <v>383</v>
      </c>
      <c r="B53" s="140">
        <f>Iripple1*SQRT(CoutEsr^2+(1/(8*Fsw*Cout))^2)</f>
        <v>2.1582270311089537E-2</v>
      </c>
      <c r="C53" s="206" t="s">
        <v>75</v>
      </c>
      <c r="D53" s="123"/>
      <c r="E53" s="123"/>
      <c r="F53" s="123"/>
      <c r="G53" s="123"/>
      <c r="H53" s="124"/>
    </row>
    <row r="55" spans="1:8" ht="14" thickBot="1">
      <c r="A55" s="13"/>
      <c r="B55" s="13"/>
      <c r="C55" s="13"/>
      <c r="D55" s="13"/>
      <c r="E55" s="13"/>
      <c r="F55" s="13"/>
      <c r="G55" s="13"/>
      <c r="H55" s="13"/>
    </row>
    <row r="56" spans="1:8" ht="16">
      <c r="A56" s="192" t="s">
        <v>283</v>
      </c>
      <c r="B56" s="193"/>
      <c r="C56" s="193"/>
      <c r="D56" s="193"/>
      <c r="E56" s="193"/>
      <c r="F56" s="193"/>
      <c r="G56" s="193"/>
      <c r="H56" s="194"/>
    </row>
    <row r="57" spans="1:8">
      <c r="A57" s="195" t="s">
        <v>438</v>
      </c>
      <c r="B57" s="144">
        <f>'Design Regulator'!E37/1000</f>
        <v>0.2</v>
      </c>
      <c r="C57" s="191" t="s">
        <v>75</v>
      </c>
      <c r="D57" s="13"/>
      <c r="E57" s="13"/>
      <c r="F57" s="13"/>
      <c r="G57" s="13"/>
      <c r="H57" s="196"/>
    </row>
    <row r="58" spans="1:8">
      <c r="A58" s="197" t="s">
        <v>289</v>
      </c>
      <c r="B58" s="218">
        <f>Iout*SQRT(_Don2*Doff2)</f>
        <v>14.879307745994097</v>
      </c>
      <c r="C58" s="189" t="s">
        <v>2</v>
      </c>
      <c r="D58" s="13"/>
      <c r="E58" s="13"/>
      <c r="F58" s="13"/>
      <c r="G58" s="13"/>
      <c r="H58" s="196"/>
    </row>
    <row r="59" spans="1:8">
      <c r="A59" s="197" t="s">
        <v>437</v>
      </c>
      <c r="B59" s="203">
        <f>Iout*_Don2*(1-_Don2)/(Vinripple1*Fsw)</f>
        <v>5.6767640769230773E-5</v>
      </c>
      <c r="C59" s="189" t="s">
        <v>34</v>
      </c>
      <c r="D59" s="13"/>
      <c r="E59" s="13"/>
      <c r="F59" s="13"/>
      <c r="G59" s="13"/>
      <c r="H59" s="196"/>
    </row>
    <row r="60" spans="1:8">
      <c r="A60" s="197" t="s">
        <v>127</v>
      </c>
      <c r="B60" s="190">
        <f>'Design Regulator'!E39/1000000</f>
        <v>1E-4</v>
      </c>
      <c r="C60" s="189" t="s">
        <v>34</v>
      </c>
      <c r="D60" s="13" t="s">
        <v>293</v>
      </c>
      <c r="E60" s="13"/>
      <c r="F60" s="13"/>
      <c r="G60" s="13"/>
      <c r="H60" s="196"/>
    </row>
    <row r="61" spans="1:8">
      <c r="A61" s="198" t="s">
        <v>439</v>
      </c>
      <c r="B61" s="204">
        <f>-(Iout*_Don2*(1-_Don2)/(Cin*Fsw)-Vinripple1)/(Iout+Iripple1/2)</f>
        <v>2.4817558326374967E-3</v>
      </c>
      <c r="C61" s="385" t="s">
        <v>213</v>
      </c>
      <c r="D61" s="13"/>
      <c r="E61" s="13"/>
      <c r="F61" s="13"/>
      <c r="G61" s="13"/>
      <c r="H61" s="196"/>
    </row>
    <row r="62" spans="1:8">
      <c r="A62" s="197" t="s">
        <v>161</v>
      </c>
      <c r="B62" s="190">
        <f>'Design Regulator'!E41/1000</f>
        <v>2E-3</v>
      </c>
      <c r="C62" s="385" t="s">
        <v>213</v>
      </c>
      <c r="D62" s="223" t="s">
        <v>529</v>
      </c>
      <c r="E62" s="13"/>
      <c r="F62" s="13"/>
      <c r="G62" s="13"/>
      <c r="H62" s="196"/>
    </row>
    <row r="63" spans="1:8">
      <c r="A63" s="197" t="s">
        <v>440</v>
      </c>
      <c r="B63" s="219">
        <f>Iout*_Don2*(1-_Don2)/(Cin*Fsw)+(Iout +Iripple1/2)*RCinEsr</f>
        <v>0.18321555977086745</v>
      </c>
      <c r="C63" s="189" t="s">
        <v>75</v>
      </c>
      <c r="D63" s="13"/>
      <c r="E63" s="13"/>
      <c r="F63" s="13"/>
      <c r="G63" s="13"/>
      <c r="H63" s="196"/>
    </row>
    <row r="64" spans="1:8" ht="14" thickBot="1">
      <c r="A64" s="199"/>
      <c r="B64" s="205">
        <f>Iout*_Don1*(1-_Don1)/(Cin*Fsw)</f>
        <v>0.11358173076923077</v>
      </c>
      <c r="C64" s="200"/>
      <c r="D64" s="201"/>
      <c r="E64" s="201"/>
      <c r="F64" s="201"/>
      <c r="G64" s="201"/>
      <c r="H64" s="202"/>
    </row>
    <row r="65" spans="1:8">
      <c r="A65" s="13"/>
      <c r="B65" s="13"/>
      <c r="C65" s="13"/>
      <c r="D65" s="13"/>
      <c r="E65" s="13"/>
      <c r="F65" s="13"/>
      <c r="G65" s="13"/>
      <c r="H65" s="13"/>
    </row>
    <row r="66" spans="1:8" ht="17" thickBot="1">
      <c r="A66" s="174" t="s">
        <v>297</v>
      </c>
      <c r="B66" s="13"/>
      <c r="C66" s="13"/>
      <c r="D66" s="13"/>
      <c r="E66" s="13"/>
      <c r="F66" s="13"/>
      <c r="G66" s="13"/>
      <c r="H66" s="13"/>
    </row>
    <row r="67" spans="1:8">
      <c r="A67" s="176" t="s">
        <v>299</v>
      </c>
      <c r="B67" s="21">
        <f>'Design Regulator'!E46/1000</f>
        <v>0.01</v>
      </c>
      <c r="C67" s="125" t="s">
        <v>271</v>
      </c>
      <c r="D67" s="125" t="s">
        <v>300</v>
      </c>
      <c r="E67" s="125"/>
      <c r="F67" s="125"/>
      <c r="G67" s="125"/>
      <c r="H67" s="126"/>
    </row>
    <row r="68" spans="1:8">
      <c r="A68" s="118" t="s">
        <v>301</v>
      </c>
      <c r="B68" s="134">
        <f>Cout*Vout/Tss</f>
        <v>8.1000000000000003E-2</v>
      </c>
      <c r="C68" s="13" t="s">
        <v>2</v>
      </c>
      <c r="D68" s="223" t="s">
        <v>465</v>
      </c>
      <c r="E68" s="13"/>
      <c r="F68" s="13"/>
      <c r="G68" s="13"/>
      <c r="H68" s="119"/>
    </row>
    <row r="69" spans="1:8">
      <c r="A69" s="118" t="s">
        <v>302</v>
      </c>
      <c r="B69" s="141">
        <f>0.000003*Tss/0.6</f>
        <v>5.0000000000000011E-8</v>
      </c>
      <c r="C69" s="13" t="s">
        <v>34</v>
      </c>
      <c r="D69" s="13"/>
      <c r="E69" s="13"/>
      <c r="F69" s="13"/>
      <c r="G69" s="13"/>
      <c r="H69" s="119"/>
    </row>
    <row r="70" spans="1:8" ht="14" thickBot="1">
      <c r="A70" s="122" t="s">
        <v>320</v>
      </c>
      <c r="B70" s="140">
        <f>'Standard Value Calculator'!B4</f>
        <v>4.6999999999999997E-8</v>
      </c>
      <c r="C70" s="123" t="s">
        <v>34</v>
      </c>
      <c r="D70" s="123"/>
      <c r="E70" s="123"/>
      <c r="F70" s="123"/>
      <c r="G70" s="123"/>
      <c r="H70" s="124"/>
    </row>
    <row r="72" spans="1:8" ht="17" thickBot="1">
      <c r="A72" s="174" t="s">
        <v>341</v>
      </c>
      <c r="B72" s="13"/>
      <c r="C72" s="13"/>
      <c r="D72" s="13"/>
      <c r="E72" s="13"/>
      <c r="F72" s="13"/>
      <c r="G72" s="13"/>
      <c r="H72" s="13"/>
    </row>
    <row r="73" spans="1:8">
      <c r="A73" s="379"/>
      <c r="B73" s="182"/>
      <c r="C73" s="226"/>
      <c r="D73" s="125"/>
      <c r="E73" s="125"/>
      <c r="F73" s="125"/>
      <c r="G73" s="125"/>
      <c r="H73" s="126"/>
    </row>
    <row r="74" spans="1:8" ht="15">
      <c r="A74" s="380" t="s">
        <v>531</v>
      </c>
      <c r="B74" s="142">
        <f>'Design Regulator'!E50</f>
        <v>12</v>
      </c>
      <c r="C74" s="381" t="s">
        <v>0</v>
      </c>
      <c r="D74" s="13"/>
      <c r="E74" s="13"/>
      <c r="F74" s="13"/>
      <c r="G74" s="13"/>
      <c r="H74" s="119"/>
    </row>
    <row r="75" spans="1:8" ht="15">
      <c r="A75" s="380" t="s">
        <v>532</v>
      </c>
      <c r="B75" s="142">
        <f>'Design Regulator'!E51</f>
        <v>9</v>
      </c>
      <c r="C75" s="381" t="s">
        <v>0</v>
      </c>
      <c r="D75" s="13"/>
      <c r="E75" s="13"/>
      <c r="F75" s="13"/>
      <c r="G75" s="13"/>
      <c r="H75" s="119"/>
    </row>
    <row r="76" spans="1:8" ht="15">
      <c r="A76" s="380" t="s">
        <v>574</v>
      </c>
      <c r="B76" s="4">
        <f>(VINuvlo_off-VINuvlo_on*Vuvlo_off/Vuvlo_on)/(Iuvlo1*Vuvlo_off/Vuvlo_on-Iuvlo2)</f>
        <v>142.69073966220154</v>
      </c>
      <c r="C76" s="74" t="s">
        <v>538</v>
      </c>
      <c r="D76" s="13">
        <f>'Standard Value Calculator'!S15</f>
        <v>143</v>
      </c>
      <c r="E76" s="74" t="s">
        <v>538</v>
      </c>
      <c r="F76" s="142">
        <f>IF(Ruvlo1&lt;0,"N/A",D76)</f>
        <v>143</v>
      </c>
      <c r="G76" s="142" t="str">
        <f>IF(Ruvlo1&lt;0,"N/A",D76&amp;"kΩ")</f>
        <v>143kΩ</v>
      </c>
      <c r="H76" s="119"/>
    </row>
    <row r="77" spans="1:8" ht="15.75" customHeight="1">
      <c r="A77" s="380" t="s">
        <v>575</v>
      </c>
      <c r="B77" s="382">
        <f>D76*Vuvlo_on/(VINuvlo_on-Vuvlo_on+Ruvlo1*Iuvlo1)</f>
        <v>14.806187059036363</v>
      </c>
      <c r="C77" s="74" t="s">
        <v>538</v>
      </c>
      <c r="D77" s="13">
        <f>'Standard Value Calculator'!S16</f>
        <v>14.700000000000001</v>
      </c>
      <c r="E77" s="74" t="s">
        <v>538</v>
      </c>
      <c r="F77" s="142">
        <f>IF(F76="N/A","N/A",D77)</f>
        <v>14.700000000000001</v>
      </c>
      <c r="G77" s="142" t="str">
        <f>IF(G76="N/A","N/A",D77&amp;"kΩ")</f>
        <v>14.7kΩ</v>
      </c>
      <c r="H77" s="119"/>
    </row>
    <row r="78" spans="1:8" ht="15.75" customHeight="1">
      <c r="A78" s="380"/>
      <c r="B78" s="382"/>
      <c r="C78" s="74"/>
      <c r="D78" s="13"/>
      <c r="E78" s="74"/>
      <c r="F78" s="13"/>
      <c r="G78" s="13"/>
      <c r="H78" s="119"/>
    </row>
    <row r="79" spans="1:8" ht="15.75" customHeight="1">
      <c r="A79" s="380" t="s">
        <v>539</v>
      </c>
      <c r="B79" s="382">
        <f>(D76+D77)/D77*Vuvlo_on-Iuvlo1*D76</f>
        <v>12.079674829931969</v>
      </c>
      <c r="C79" s="74"/>
      <c r="D79" s="13"/>
      <c r="E79" s="74"/>
      <c r="F79" s="13"/>
      <c r="G79" s="13"/>
      <c r="H79" s="119"/>
    </row>
    <row r="80" spans="1:8" ht="15.75" customHeight="1">
      <c r="A80" s="380" t="s">
        <v>540</v>
      </c>
      <c r="B80" s="382">
        <f>(D76+D77)/D77*Vuvlo_off-Iuvlo2*D76</f>
        <v>9.0654727891156437</v>
      </c>
      <c r="C80" s="74"/>
      <c r="D80" s="13"/>
      <c r="E80" s="74"/>
      <c r="F80" s="13"/>
      <c r="G80" s="13"/>
      <c r="H80" s="119"/>
    </row>
    <row r="81" spans="1:8" ht="15.75" customHeight="1">
      <c r="A81" s="380"/>
      <c r="B81" s="382"/>
      <c r="C81" s="74"/>
      <c r="D81" s="13"/>
      <c r="E81" s="74"/>
      <c r="F81" s="13"/>
      <c r="G81" s="13"/>
      <c r="H81" s="119"/>
    </row>
    <row r="82" spans="1:8" ht="15.75" customHeight="1">
      <c r="A82" s="380"/>
      <c r="B82" s="142"/>
      <c r="C82" s="13"/>
      <c r="D82" s="13"/>
      <c r="E82" s="13"/>
      <c r="F82" s="13"/>
      <c r="G82" s="13"/>
      <c r="H82" s="119"/>
    </row>
    <row r="83" spans="1:8" ht="15.75" customHeight="1">
      <c r="A83" s="380" t="s">
        <v>533</v>
      </c>
      <c r="B83" s="142">
        <v>1.1499999999999999</v>
      </c>
      <c r="C83" s="13"/>
      <c r="D83" s="13"/>
      <c r="E83" s="13"/>
      <c r="F83" s="13"/>
      <c r="G83" s="13"/>
      <c r="H83" s="119"/>
    </row>
    <row r="84" spans="1:8" ht="15.75" customHeight="1">
      <c r="A84" s="380" t="s">
        <v>534</v>
      </c>
      <c r="B84" s="142">
        <v>0.98499999999999999</v>
      </c>
      <c r="C84" s="13"/>
      <c r="D84" s="13"/>
      <c r="E84" s="13"/>
      <c r="F84" s="13"/>
      <c r="G84" s="13"/>
      <c r="H84" s="119"/>
    </row>
    <row r="85" spans="1:8" ht="15.75" customHeight="1">
      <c r="A85" s="380" t="s">
        <v>534</v>
      </c>
      <c r="B85" s="142">
        <f>B83-B84</f>
        <v>0.16499999999999992</v>
      </c>
      <c r="C85" s="13"/>
      <c r="D85" s="13"/>
      <c r="E85" s="13"/>
      <c r="F85" s="13"/>
      <c r="G85" s="13"/>
      <c r="H85" s="119"/>
    </row>
    <row r="86" spans="1:8" ht="15.75" customHeight="1">
      <c r="A86" s="380" t="s">
        <v>537</v>
      </c>
      <c r="B86" s="142">
        <v>1.8E-3</v>
      </c>
      <c r="C86" s="13"/>
      <c r="D86" s="13"/>
      <c r="E86" s="13"/>
      <c r="F86" s="13"/>
      <c r="G86" s="13"/>
      <c r="H86" s="119"/>
    </row>
    <row r="87" spans="1:8" ht="15.75" customHeight="1">
      <c r="A87" s="380" t="s">
        <v>535</v>
      </c>
      <c r="B87" s="142">
        <v>1.0500000000000001E-2</v>
      </c>
      <c r="C87" s="13"/>
      <c r="D87" s="13"/>
      <c r="E87" s="13"/>
      <c r="F87" s="13"/>
      <c r="G87" s="13"/>
      <c r="H87" s="119"/>
    </row>
    <row r="88" spans="1:8" ht="15.75" customHeight="1">
      <c r="A88" s="380" t="s">
        <v>536</v>
      </c>
      <c r="B88" s="142">
        <f>B87-B86</f>
        <v>8.7000000000000011E-3</v>
      </c>
      <c r="C88" s="13"/>
      <c r="D88" s="13"/>
      <c r="E88" s="13"/>
      <c r="F88" s="13"/>
      <c r="G88" s="13"/>
      <c r="H88" s="119"/>
    </row>
    <row r="89" spans="1:8" ht="15.75" customHeight="1">
      <c r="A89" s="380"/>
      <c r="B89" s="142"/>
      <c r="C89" s="13"/>
      <c r="D89" s="13"/>
      <c r="E89" s="13"/>
      <c r="F89" s="13"/>
      <c r="G89" s="13"/>
      <c r="H89" s="119"/>
    </row>
    <row r="90" spans="1:8" ht="15.75" customHeight="1">
      <c r="A90" s="118" t="s">
        <v>343</v>
      </c>
      <c r="B90" s="142"/>
      <c r="C90" s="385" t="s">
        <v>213</v>
      </c>
      <c r="D90" s="13"/>
      <c r="E90" s="13"/>
      <c r="F90" s="13"/>
      <c r="G90" s="13"/>
      <c r="H90" s="119"/>
    </row>
    <row r="91" spans="1:8" ht="15.75" customHeight="1">
      <c r="A91" s="118" t="s">
        <v>344</v>
      </c>
      <c r="B91" s="142"/>
      <c r="C91" s="385" t="s">
        <v>213</v>
      </c>
      <c r="D91" s="13"/>
      <c r="E91" s="13"/>
      <c r="F91" s="13"/>
      <c r="G91" s="13"/>
      <c r="H91" s="119"/>
    </row>
    <row r="92" spans="1:8" ht="15.75" customHeight="1">
      <c r="A92" s="118" t="s">
        <v>315</v>
      </c>
      <c r="B92" s="142"/>
      <c r="C92" s="385" t="s">
        <v>213</v>
      </c>
      <c r="D92" s="13"/>
      <c r="E92" s="13"/>
      <c r="F92" s="13"/>
      <c r="G92" s="13"/>
      <c r="H92" s="119"/>
    </row>
    <row r="93" spans="1:8" ht="15.75" customHeight="1">
      <c r="A93" s="118" t="s">
        <v>453</v>
      </c>
      <c r="B93" s="142">
        <f>80700/(Totp+273)*398</f>
        <v>84969.841269841272</v>
      </c>
      <c r="C93" s="385" t="s">
        <v>213</v>
      </c>
      <c r="D93" s="13"/>
      <c r="E93" s="13"/>
      <c r="F93" s="13"/>
      <c r="G93" s="13"/>
      <c r="H93" s="119"/>
    </row>
    <row r="94" spans="1:8" ht="15.75" customHeight="1">
      <c r="A94" s="118"/>
      <c r="B94" s="142"/>
      <c r="C94" s="13"/>
      <c r="D94" s="13"/>
      <c r="E94" s="13"/>
      <c r="F94" s="13"/>
      <c r="G94" s="13"/>
      <c r="H94" s="119"/>
    </row>
    <row r="95" spans="1:8">
      <c r="A95" s="118"/>
      <c r="B95" s="142"/>
      <c r="C95" s="13"/>
      <c r="D95" s="13"/>
      <c r="E95" s="13"/>
      <c r="F95" s="13"/>
      <c r="G95" s="13"/>
      <c r="H95" s="119"/>
    </row>
    <row r="96" spans="1:8">
      <c r="A96" s="118" t="s">
        <v>345</v>
      </c>
      <c r="B96" s="142">
        <v>100</v>
      </c>
      <c r="C96" s="223" t="s">
        <v>53</v>
      </c>
      <c r="D96" s="13"/>
      <c r="E96" s="13"/>
      <c r="F96" s="13"/>
      <c r="G96" s="13"/>
      <c r="H96" s="119"/>
    </row>
    <row r="97" spans="1:8">
      <c r="A97" s="118"/>
      <c r="B97" s="142"/>
      <c r="C97" s="13"/>
      <c r="D97" s="13"/>
      <c r="E97" s="13"/>
      <c r="F97" s="13"/>
      <c r="G97" s="13"/>
      <c r="H97" s="119"/>
    </row>
    <row r="98" spans="1:8" ht="14" thickBot="1">
      <c r="A98" s="122"/>
      <c r="B98" s="143"/>
      <c r="C98" s="123"/>
      <c r="D98" s="123"/>
      <c r="E98" s="123"/>
      <c r="F98" s="123"/>
      <c r="G98" s="123"/>
      <c r="H98" s="124"/>
    </row>
    <row r="99" spans="1:8">
      <c r="B99" s="73"/>
    </row>
    <row r="100" spans="1:8" ht="17" thickBot="1">
      <c r="A100" s="174" t="s">
        <v>342</v>
      </c>
      <c r="B100" s="13"/>
      <c r="C100" s="13"/>
      <c r="D100" s="13"/>
      <c r="E100" s="13"/>
      <c r="F100" s="13"/>
      <c r="G100" s="13"/>
      <c r="H100" s="13"/>
    </row>
    <row r="101" spans="1:8">
      <c r="A101" s="176" t="s">
        <v>81</v>
      </c>
      <c r="B101" s="446">
        <v>3162</v>
      </c>
      <c r="C101" s="125" t="s">
        <v>49</v>
      </c>
      <c r="D101" s="226" t="s">
        <v>457</v>
      </c>
      <c r="E101" s="125"/>
      <c r="F101" s="125"/>
      <c r="G101" s="125"/>
      <c r="H101" s="126"/>
    </row>
    <row r="102" spans="1:8">
      <c r="A102" s="118" t="s">
        <v>82</v>
      </c>
      <c r="B102" s="121">
        <v>6000000</v>
      </c>
      <c r="C102" s="13" t="s">
        <v>10</v>
      </c>
      <c r="D102" s="223" t="s">
        <v>458</v>
      </c>
      <c r="E102" s="13"/>
      <c r="F102" s="13"/>
      <c r="G102" s="13"/>
      <c r="H102" s="119"/>
    </row>
    <row r="103" spans="1:8">
      <c r="A103" s="380" t="s">
        <v>628</v>
      </c>
      <c r="B103" s="187">
        <f>'Design Regulator'!E59*1000</f>
        <v>105000</v>
      </c>
      <c r="C103" s="223" t="s">
        <v>10</v>
      </c>
      <c r="D103" s="13"/>
      <c r="E103" s="13"/>
      <c r="F103" s="13"/>
      <c r="G103" s="13"/>
      <c r="H103" s="119"/>
    </row>
    <row r="104" spans="1:8">
      <c r="A104" s="118" t="s">
        <v>51</v>
      </c>
      <c r="B104" s="188">
        <f>Fcross/Fo/9</f>
        <v>0.55201181828644197</v>
      </c>
      <c r="C104" s="13" t="s">
        <v>49</v>
      </c>
      <c r="D104" s="223" t="s">
        <v>464</v>
      </c>
      <c r="E104" s="13"/>
      <c r="F104" s="13"/>
      <c r="G104" s="13"/>
      <c r="H104" s="119">
        <v>1</v>
      </c>
    </row>
    <row r="105" spans="1:8">
      <c r="A105" s="118" t="s">
        <v>52</v>
      </c>
      <c r="B105" s="144">
        <f>'Design Regulator'!E61*1000</f>
        <v>55000</v>
      </c>
      <c r="C105" s="385" t="s">
        <v>213</v>
      </c>
      <c r="D105" s="13" t="s">
        <v>266</v>
      </c>
      <c r="E105" s="13"/>
      <c r="F105" s="13"/>
      <c r="G105" s="13"/>
      <c r="H105" s="119">
        <v>1</v>
      </c>
    </row>
    <row r="106" spans="1:8">
      <c r="A106" s="130" t="s">
        <v>77</v>
      </c>
      <c r="B106" s="128">
        <f>IF(Vout=Vref,100000000,Vref/((Vout-Vref)/_Rfb1))</f>
        <v>5365.8536585365846</v>
      </c>
      <c r="C106" s="385" t="s">
        <v>213</v>
      </c>
      <c r="D106" s="223" t="s">
        <v>629</v>
      </c>
      <c r="E106" s="13"/>
      <c r="F106" s="13"/>
      <c r="G106" s="13"/>
      <c r="H106" s="119"/>
    </row>
    <row r="107" spans="1:8">
      <c r="A107" s="118" t="s">
        <v>277</v>
      </c>
      <c r="B107" s="134">
        <f>IF(Vout=Vref,"N/A",'Standard Value Calculator'!S10)</f>
        <v>5360</v>
      </c>
      <c r="C107" s="385" t="s">
        <v>213</v>
      </c>
      <c r="D107" s="223" t="s">
        <v>630</v>
      </c>
      <c r="E107" s="13"/>
      <c r="F107" s="13"/>
      <c r="G107" s="13"/>
      <c r="H107" s="119"/>
    </row>
    <row r="108" spans="1:8">
      <c r="A108" s="127" t="s">
        <v>74</v>
      </c>
      <c r="B108" s="128">
        <f>Vin/9</f>
        <v>1.3333333333333333</v>
      </c>
      <c r="C108" s="13" t="s">
        <v>75</v>
      </c>
      <c r="D108" s="223" t="s">
        <v>654</v>
      </c>
      <c r="E108" s="13"/>
      <c r="F108" s="13"/>
      <c r="G108" s="13"/>
      <c r="H108" s="119"/>
    </row>
    <row r="109" spans="1:8">
      <c r="A109" s="127" t="s">
        <v>58</v>
      </c>
      <c r="B109" s="451">
        <f>Kmidband*_Rfb1</f>
        <v>30360.650005754309</v>
      </c>
      <c r="C109" s="385" t="s">
        <v>213</v>
      </c>
      <c r="D109" s="223" t="s">
        <v>456</v>
      </c>
      <c r="E109" s="13"/>
      <c r="F109" s="13"/>
      <c r="G109" s="13"/>
      <c r="H109" s="119">
        <v>1</v>
      </c>
    </row>
    <row r="110" spans="1:8">
      <c r="A110" s="127" t="s">
        <v>54</v>
      </c>
      <c r="B110" s="452">
        <f>1/(Rcea1*('Design Regulator'!E64*1000)*2*Pi)</f>
        <v>6.5526818119667827E-10</v>
      </c>
      <c r="C110" s="13" t="s">
        <v>34</v>
      </c>
      <c r="D110" s="13" t="s">
        <v>267</v>
      </c>
      <c r="E110" s="13"/>
      <c r="F110" s="13"/>
      <c r="G110" s="13"/>
      <c r="H110" s="119">
        <v>1</v>
      </c>
    </row>
    <row r="111" spans="1:8">
      <c r="A111" s="127" t="s">
        <v>55</v>
      </c>
      <c r="B111" s="452">
        <f>1/((Rcea1*2*Pi*'Design Regulator'!E67*1000)-1/Cc1ea)</f>
        <v>5.8768446744096718E-12</v>
      </c>
      <c r="C111" s="13" t="s">
        <v>34</v>
      </c>
      <c r="D111" s="13"/>
      <c r="E111" s="13"/>
      <c r="F111" s="13"/>
      <c r="G111" s="13"/>
      <c r="H111" s="119">
        <v>1</v>
      </c>
    </row>
    <row r="112" spans="1:8">
      <c r="A112" s="127" t="s">
        <v>56</v>
      </c>
      <c r="B112" s="450">
        <f>(1/(1000*2*Pi*'Design Regulator'!E66))*_Rfb1/(1/('Design Regulator'!E65*1000*2*Pi)-(1/(1000*2*Pi*'Design Regulator'!E66)))</f>
        <v>716.35311143270633</v>
      </c>
      <c r="C112" s="385" t="s">
        <v>213</v>
      </c>
      <c r="D112" s="13"/>
      <c r="E112" s="13"/>
      <c r="F112" s="13"/>
      <c r="G112" s="13"/>
      <c r="H112" s="119">
        <v>1</v>
      </c>
    </row>
    <row r="113" spans="1:8">
      <c r="A113" s="127" t="s">
        <v>57</v>
      </c>
      <c r="B113" s="453">
        <f>(1/(1000*2*Pi*'Design Regulator'!E66))/Rcea2</f>
        <v>1.5869562164814668E-10</v>
      </c>
      <c r="C113" s="13" t="s">
        <v>34</v>
      </c>
      <c r="D113" s="13"/>
      <c r="E113" s="13"/>
      <c r="F113" s="13"/>
      <c r="G113" s="13"/>
      <c r="H113" s="119">
        <v>1</v>
      </c>
    </row>
    <row r="114" spans="1:8">
      <c r="A114" s="127"/>
      <c r="B114" s="145"/>
      <c r="C114" s="13"/>
      <c r="D114" s="13"/>
      <c r="E114" s="13"/>
      <c r="F114" s="13"/>
      <c r="G114" s="13"/>
      <c r="H114" s="119"/>
    </row>
    <row r="115" spans="1:8">
      <c r="A115" s="130" t="s">
        <v>405</v>
      </c>
      <c r="B115" s="13"/>
      <c r="C115" s="13"/>
      <c r="D115" s="13"/>
      <c r="E115" s="13"/>
      <c r="F115" s="13"/>
      <c r="G115" s="13"/>
      <c r="H115" s="119"/>
    </row>
    <row r="116" spans="1:8">
      <c r="A116" s="118" t="s">
        <v>59</v>
      </c>
      <c r="B116" s="215">
        <f>'Design Regulator'!D71*1000</f>
        <v>30100</v>
      </c>
      <c r="C116" s="385" t="s">
        <v>213</v>
      </c>
      <c r="D116" s="13"/>
      <c r="E116" s="13"/>
      <c r="F116" s="13"/>
      <c r="G116" s="13"/>
      <c r="H116" s="119">
        <v>2</v>
      </c>
    </row>
    <row r="117" spans="1:8">
      <c r="A117" s="118" t="s">
        <v>60</v>
      </c>
      <c r="B117" s="137">
        <f>'Design Regulator'!D72*0.000000000001</f>
        <v>6.8000000000000003E-10</v>
      </c>
      <c r="C117" s="13" t="s">
        <v>34</v>
      </c>
      <c r="D117" s="13"/>
      <c r="E117" s="13"/>
      <c r="F117" s="13"/>
      <c r="G117" s="13"/>
      <c r="H117" s="119">
        <v>2</v>
      </c>
    </row>
    <row r="118" spans="1:8">
      <c r="A118" s="118" t="s">
        <v>61</v>
      </c>
      <c r="B118" s="137">
        <f>'Design Regulator'!D73*0.000000000001</f>
        <v>5.5999999999999996E-12</v>
      </c>
      <c r="C118" s="13" t="s">
        <v>34</v>
      </c>
      <c r="D118" s="13"/>
      <c r="E118" s="13"/>
      <c r="F118" s="13"/>
      <c r="G118" s="13"/>
      <c r="H118" s="119">
        <v>2</v>
      </c>
    </row>
    <row r="119" spans="1:8">
      <c r="A119" s="118" t="s">
        <v>62</v>
      </c>
      <c r="B119" s="215">
        <f>'Design Regulator'!D74</f>
        <v>715</v>
      </c>
      <c r="C119" s="385" t="s">
        <v>213</v>
      </c>
      <c r="D119" s="13"/>
      <c r="E119" s="13"/>
      <c r="F119" s="13"/>
      <c r="G119" s="13"/>
      <c r="H119" s="119">
        <v>2</v>
      </c>
    </row>
    <row r="120" spans="1:8">
      <c r="A120" s="118" t="s">
        <v>63</v>
      </c>
      <c r="B120" s="137">
        <f>'Design Regulator'!D75*0.000000000001</f>
        <v>1.5E-10</v>
      </c>
      <c r="C120" s="13" t="s">
        <v>34</v>
      </c>
      <c r="D120" s="13"/>
      <c r="E120" s="13"/>
      <c r="F120" s="13"/>
      <c r="G120" s="13"/>
      <c r="H120" s="119">
        <v>2</v>
      </c>
    </row>
    <row r="121" spans="1:8">
      <c r="A121" s="118"/>
      <c r="B121" s="13"/>
      <c r="C121" s="13"/>
      <c r="D121" s="13"/>
      <c r="E121" s="13"/>
      <c r="F121" s="13"/>
      <c r="G121" s="13"/>
      <c r="H121" s="119"/>
    </row>
    <row r="122" spans="1:8">
      <c r="A122" s="130" t="s">
        <v>356</v>
      </c>
      <c r="B122" s="13"/>
      <c r="C122" s="13"/>
      <c r="D122" s="13">
        <f>Cout</f>
        <v>1.2E-4</v>
      </c>
      <c r="E122" s="13">
        <f>CoutEsr</f>
        <v>1.5499999999999999E-3</v>
      </c>
      <c r="F122" s="13"/>
      <c r="G122" s="13"/>
      <c r="H122" s="119"/>
    </row>
    <row r="123" spans="1:8">
      <c r="A123" s="127" t="s">
        <v>39</v>
      </c>
      <c r="B123" s="128">
        <f>SQRT((Rfets+Rdcr+Ro)/(Cout*Lout2*(CoutEsr+Ro)))/(2*Pi)</f>
        <v>21134.813205417224</v>
      </c>
      <c r="C123" s="13" t="s">
        <v>10</v>
      </c>
      <c r="D123" s="13" t="s">
        <v>40</v>
      </c>
      <c r="E123" s="13"/>
      <c r="F123" s="13"/>
      <c r="G123" s="13"/>
      <c r="H123" s="119"/>
    </row>
    <row r="124" spans="1:8">
      <c r="A124" s="127" t="s">
        <v>42</v>
      </c>
      <c r="B124" s="128">
        <f>(Rfets+Rdcr+Ro)/(Lout2+Cout*(Rdcr+Rfets)*(CoutEsr+Ro)+Cout*CoutEsr*Ro)/(Fo*2*Pi)</f>
        <v>3.2595522804286072</v>
      </c>
      <c r="C124" s="13" t="s">
        <v>49</v>
      </c>
      <c r="D124" s="13" t="s">
        <v>43</v>
      </c>
      <c r="E124" s="13"/>
      <c r="F124" s="13"/>
      <c r="G124" s="13"/>
      <c r="H124" s="119"/>
    </row>
    <row r="125" spans="1:8">
      <c r="A125" s="127" t="s">
        <v>41</v>
      </c>
      <c r="B125" s="128">
        <f>1/(2*Pi*Cout*CoutEsr)</f>
        <v>855671.73803094833</v>
      </c>
      <c r="C125" s="13" t="s">
        <v>10</v>
      </c>
      <c r="D125" s="223" t="s">
        <v>459</v>
      </c>
      <c r="E125" s="13"/>
      <c r="F125" s="13"/>
      <c r="G125" s="13"/>
      <c r="H125" s="119"/>
    </row>
    <row r="126" spans="1:8">
      <c r="A126" s="127" t="s">
        <v>64</v>
      </c>
      <c r="B126" s="128">
        <f>1/(2*Pi*Rcea1_u*Cc1ea_u)</f>
        <v>7775.7935935976329</v>
      </c>
      <c r="C126" s="13" t="s">
        <v>10</v>
      </c>
      <c r="D126" s="223" t="s">
        <v>632</v>
      </c>
      <c r="E126" s="13"/>
      <c r="F126" s="13"/>
      <c r="G126" s="13"/>
      <c r="H126" s="119"/>
    </row>
    <row r="127" spans="1:8">
      <c r="A127" s="127" t="s">
        <v>65</v>
      </c>
      <c r="B127" s="128">
        <f>1/(2*Pi*Cc3ea_u*(_Rfb1+Rcea2_u))</f>
        <v>19043.937093392728</v>
      </c>
      <c r="C127" s="13" t="s">
        <v>10</v>
      </c>
      <c r="D127" s="223" t="s">
        <v>632</v>
      </c>
      <c r="E127" s="13"/>
      <c r="F127" s="13"/>
      <c r="G127" s="13"/>
      <c r="H127" s="119"/>
    </row>
    <row r="128" spans="1:8">
      <c r="A128" s="127" t="s">
        <v>66</v>
      </c>
      <c r="B128" s="128">
        <f>1/(2*Pi*Rcea2_u*Cc3ea_u)</f>
        <v>1483962.1750466796</v>
      </c>
      <c r="C128" s="13" t="s">
        <v>10</v>
      </c>
      <c r="D128" s="13" t="s">
        <v>269</v>
      </c>
      <c r="E128" s="13"/>
      <c r="F128" s="13"/>
      <c r="G128" s="13"/>
      <c r="H128" s="119"/>
    </row>
    <row r="129" spans="1:8">
      <c r="A129" s="127" t="s">
        <v>67</v>
      </c>
      <c r="B129" s="128">
        <f>1/(2*Pi*Rcea1_u*(Cc1ea_u*Cc2ea_u/(Cc1ea_u+Cc2ea_u)))</f>
        <v>951979.30138759618</v>
      </c>
      <c r="C129" s="13" t="s">
        <v>10</v>
      </c>
      <c r="D129" s="13" t="s">
        <v>268</v>
      </c>
      <c r="E129" s="13"/>
      <c r="F129" s="13"/>
      <c r="G129" s="13"/>
      <c r="H129" s="119"/>
    </row>
    <row r="130" spans="1:8">
      <c r="A130" s="127" t="s">
        <v>80</v>
      </c>
      <c r="B130" s="128">
        <f>Vout/(Iout+Vref/_Rfb2)</f>
        <v>0.22499916136676218</v>
      </c>
      <c r="C130" s="13"/>
      <c r="D130" s="223" t="s">
        <v>631</v>
      </c>
      <c r="E130" s="13"/>
      <c r="F130" s="13"/>
      <c r="G130" s="13"/>
      <c r="H130" s="119"/>
    </row>
    <row r="131" spans="1:8">
      <c r="A131" s="127" t="s">
        <v>70</v>
      </c>
      <c r="B131" s="128">
        <v>3.1415926500000002</v>
      </c>
      <c r="C131" s="13"/>
      <c r="D131" s="13" t="s">
        <v>270</v>
      </c>
      <c r="E131" s="13"/>
      <c r="F131" s="13"/>
      <c r="G131" s="13"/>
      <c r="H131" s="119"/>
    </row>
    <row r="132" spans="1:8">
      <c r="A132" s="127" t="s">
        <v>340</v>
      </c>
      <c r="B132" s="145"/>
      <c r="C132" s="13"/>
      <c r="D132" s="13"/>
      <c r="E132" s="13"/>
      <c r="F132" s="13"/>
      <c r="G132" s="13"/>
      <c r="H132" s="119"/>
    </row>
    <row r="133" spans="1:8">
      <c r="A133" s="127" t="s">
        <v>349</v>
      </c>
      <c r="B133" s="145">
        <v>0</v>
      </c>
      <c r="C133" s="385" t="s">
        <v>213</v>
      </c>
      <c r="D133" s="223" t="s">
        <v>625</v>
      </c>
      <c r="E133" s="13"/>
      <c r="F133" s="13"/>
      <c r="G133" s="13">
        <f>_Don2*RdsonTop+Doff2*RdsonBot+B138*Vin^2*Fsw/2/(((Iripple1/SQRT(3))^2))</f>
        <v>1.0081273183010969E-2</v>
      </c>
      <c r="H133" s="119"/>
    </row>
    <row r="134" spans="1:8">
      <c r="A134" s="118"/>
      <c r="B134" s="13"/>
      <c r="C134" s="13"/>
      <c r="D134" s="13"/>
      <c r="E134" s="13"/>
      <c r="F134" s="13"/>
      <c r="G134" s="13"/>
      <c r="H134" s="119"/>
    </row>
    <row r="135" spans="1:8">
      <c r="A135" s="127" t="s">
        <v>352</v>
      </c>
      <c r="B135" s="146">
        <f>0.00000002*Fsw*0.6*4/Iripple1</f>
        <v>3.2230478557480151E-3</v>
      </c>
      <c r="C135" s="13"/>
      <c r="D135" s="146"/>
      <c r="E135" s="13"/>
      <c r="F135" s="13"/>
      <c r="G135" s="13"/>
      <c r="H135" s="119"/>
    </row>
    <row r="136" spans="1:8">
      <c r="A136" s="127" t="s">
        <v>351</v>
      </c>
      <c r="B136" s="146">
        <f>_Don2*RdsonTop+Doff2*RdsonBot</f>
        <v>2.5899E-3</v>
      </c>
      <c r="C136" s="13"/>
      <c r="D136" s="146"/>
      <c r="E136" s="13"/>
      <c r="F136" s="13"/>
      <c r="G136" s="13"/>
      <c r="H136" s="119"/>
    </row>
    <row r="137" spans="1:8">
      <c r="A137" s="127" t="s">
        <v>350</v>
      </c>
      <c r="B137" s="146">
        <f>B138*Vin^2*Fsw/2/(((Iripple1/SQRT(3))^2))</f>
        <v>7.49137318301097E-3</v>
      </c>
      <c r="C137" s="13"/>
      <c r="D137" s="146"/>
      <c r="E137" s="13"/>
      <c r="F137" s="13"/>
      <c r="G137" s="13"/>
      <c r="H137" s="119"/>
    </row>
    <row r="138" spans="1:8" ht="14" thickBot="1">
      <c r="A138" s="139" t="s">
        <v>353</v>
      </c>
      <c r="B138" s="147">
        <v>5.0000000000000001E-9</v>
      </c>
      <c r="C138" s="123"/>
      <c r="D138" s="147"/>
      <c r="E138" s="123"/>
      <c r="F138" s="123"/>
      <c r="G138" s="123"/>
      <c r="H138" s="124"/>
    </row>
    <row r="139" spans="1:8">
      <c r="A139" s="1"/>
      <c r="B139" s="83"/>
      <c r="D139" s="83"/>
    </row>
    <row r="140" spans="1:8">
      <c r="A140" s="1"/>
      <c r="B140" s="83"/>
      <c r="D140" s="83"/>
    </row>
    <row r="141" spans="1:8" ht="17" thickBot="1">
      <c r="A141" s="183" t="s">
        <v>382</v>
      </c>
      <c r="B141" s="13"/>
      <c r="C141" s="13"/>
      <c r="D141" s="13"/>
      <c r="E141" s="13"/>
      <c r="F141" s="13"/>
      <c r="G141" s="13"/>
      <c r="H141" s="13"/>
    </row>
    <row r="142" spans="1:8">
      <c r="A142" s="176"/>
      <c r="B142" s="125"/>
      <c r="C142" s="125"/>
      <c r="D142" s="125"/>
      <c r="E142" s="125"/>
      <c r="F142" s="125"/>
      <c r="G142" s="125"/>
      <c r="H142" s="126"/>
    </row>
    <row r="143" spans="1:8">
      <c r="A143" s="130" t="s">
        <v>125</v>
      </c>
      <c r="B143" s="13"/>
      <c r="C143" s="13"/>
      <c r="D143" s="13"/>
      <c r="E143" s="13"/>
      <c r="F143" s="13"/>
      <c r="G143" s="13"/>
      <c r="H143" s="119"/>
    </row>
    <row r="144" spans="1:8">
      <c r="A144" s="118" t="s">
        <v>158</v>
      </c>
      <c r="B144" s="47">
        <v>25</v>
      </c>
      <c r="C144" s="13"/>
      <c r="D144" s="13" t="s">
        <v>179</v>
      </c>
      <c r="E144" s="13"/>
      <c r="F144" s="13"/>
      <c r="G144" s="13"/>
      <c r="H144" s="119"/>
    </row>
    <row r="145" spans="1:8">
      <c r="A145" s="130" t="s">
        <v>128</v>
      </c>
      <c r="B145" s="13"/>
      <c r="C145" s="13"/>
      <c r="D145" s="13"/>
      <c r="E145" s="13"/>
      <c r="F145" s="13"/>
      <c r="G145" s="13"/>
      <c r="H145" s="119"/>
    </row>
    <row r="146" spans="1:8">
      <c r="A146" s="118" t="s">
        <v>156</v>
      </c>
      <c r="B146" s="121">
        <f>4000/1000000</f>
        <v>4.0000000000000001E-3</v>
      </c>
      <c r="C146" s="223" t="s">
        <v>655</v>
      </c>
      <c r="D146" s="13" t="s">
        <v>181</v>
      </c>
      <c r="E146" s="13"/>
      <c r="F146" s="13"/>
      <c r="G146" s="13"/>
      <c r="H146" s="119"/>
    </row>
    <row r="147" spans="1:8">
      <c r="A147" s="118" t="s">
        <v>256</v>
      </c>
      <c r="B147" s="121">
        <v>20</v>
      </c>
      <c r="C147" s="381" t="s">
        <v>403</v>
      </c>
      <c r="D147" s="13" t="s">
        <v>257</v>
      </c>
      <c r="E147" s="13"/>
      <c r="F147" s="13"/>
      <c r="G147" s="13"/>
      <c r="H147" s="119"/>
    </row>
    <row r="148" spans="1:8">
      <c r="A148" s="118" t="s">
        <v>161</v>
      </c>
      <c r="B148" s="47">
        <f>RCinEsr</f>
        <v>2E-3</v>
      </c>
      <c r="C148" s="385" t="s">
        <v>213</v>
      </c>
      <c r="D148" s="13" t="s">
        <v>183</v>
      </c>
      <c r="E148" s="13"/>
      <c r="F148" s="13"/>
      <c r="G148" s="13"/>
      <c r="H148" s="119"/>
    </row>
    <row r="149" spans="1:8">
      <c r="A149" s="127" t="s">
        <v>274</v>
      </c>
      <c r="B149" s="13"/>
      <c r="C149" s="13"/>
      <c r="D149" s="13"/>
      <c r="E149" s="13"/>
      <c r="F149" s="13"/>
      <c r="G149" s="13"/>
      <c r="H149" s="119"/>
    </row>
    <row r="150" spans="1:8">
      <c r="A150" s="118" t="s">
        <v>165</v>
      </c>
      <c r="B150" s="121">
        <f>IF(Vin&gt;4.5,4.5,Vin)</f>
        <v>4.5</v>
      </c>
      <c r="C150" s="13"/>
      <c r="D150" s="13"/>
      <c r="E150" s="13"/>
      <c r="F150" s="13"/>
      <c r="G150" s="13"/>
      <c r="H150" s="119"/>
    </row>
    <row r="151" spans="1:8">
      <c r="A151" s="130" t="s">
        <v>207</v>
      </c>
      <c r="B151" s="13"/>
      <c r="C151" s="13"/>
      <c r="D151" s="13"/>
      <c r="E151" s="13"/>
      <c r="F151" s="13"/>
      <c r="G151" s="13"/>
      <c r="H151" s="119"/>
    </row>
    <row r="152" spans="1:8">
      <c r="A152" s="118" t="s">
        <v>132</v>
      </c>
      <c r="B152" s="121">
        <v>1.5</v>
      </c>
      <c r="C152" s="385" t="s">
        <v>213</v>
      </c>
      <c r="D152" s="13" t="s">
        <v>209</v>
      </c>
      <c r="E152" s="13"/>
      <c r="F152" s="13"/>
      <c r="G152" s="13"/>
      <c r="H152" s="119"/>
    </row>
    <row r="153" spans="1:8">
      <c r="A153" s="118" t="s">
        <v>245</v>
      </c>
      <c r="B153" s="121">
        <v>1</v>
      </c>
      <c r="C153" s="385" t="s">
        <v>213</v>
      </c>
      <c r="D153" s="13" t="s">
        <v>210</v>
      </c>
      <c r="E153" s="13"/>
      <c r="F153" s="13"/>
      <c r="G153" s="13"/>
      <c r="H153" s="119"/>
    </row>
    <row r="154" spans="1:8">
      <c r="A154" s="130" t="s">
        <v>208</v>
      </c>
      <c r="B154" s="13"/>
      <c r="C154" s="13"/>
      <c r="D154" s="13"/>
      <c r="E154" s="13"/>
      <c r="F154" s="13"/>
      <c r="G154" s="13"/>
      <c r="H154" s="119"/>
    </row>
    <row r="155" spans="1:8">
      <c r="A155" s="118" t="s">
        <v>131</v>
      </c>
      <c r="B155" s="207">
        <v>1.5</v>
      </c>
      <c r="C155" s="385" t="s">
        <v>213</v>
      </c>
      <c r="D155" s="13" t="s">
        <v>209</v>
      </c>
      <c r="E155" s="13"/>
      <c r="F155" s="13"/>
      <c r="G155" s="13"/>
      <c r="H155" s="119"/>
    </row>
    <row r="156" spans="1:8">
      <c r="A156" s="118" t="s">
        <v>244</v>
      </c>
      <c r="B156" s="121">
        <v>0.9</v>
      </c>
      <c r="C156" s="385" t="s">
        <v>213</v>
      </c>
      <c r="D156" s="13" t="s">
        <v>210</v>
      </c>
      <c r="E156" s="13"/>
      <c r="F156" s="13"/>
      <c r="G156" s="13"/>
      <c r="H156" s="119"/>
    </row>
    <row r="157" spans="1:8">
      <c r="A157" s="130" t="s">
        <v>133</v>
      </c>
      <c r="B157" s="13"/>
      <c r="C157" s="13"/>
      <c r="D157" s="13" t="s">
        <v>204</v>
      </c>
      <c r="E157" s="13"/>
      <c r="F157" s="13"/>
      <c r="G157" s="13"/>
      <c r="H157" s="119"/>
    </row>
    <row r="158" spans="1:8">
      <c r="A158" s="118" t="s">
        <v>133</v>
      </c>
      <c r="B158" s="133">
        <v>2E-8</v>
      </c>
      <c r="C158" s="13" t="s">
        <v>271</v>
      </c>
      <c r="D158" s="13" t="s">
        <v>184</v>
      </c>
      <c r="E158" s="13"/>
      <c r="F158" s="13"/>
      <c r="G158" s="13"/>
      <c r="H158" s="119"/>
    </row>
    <row r="159" spans="1:8">
      <c r="A159" s="130" t="s">
        <v>119</v>
      </c>
      <c r="B159" s="13"/>
      <c r="C159" s="13"/>
      <c r="D159" s="13"/>
      <c r="E159" s="13"/>
      <c r="F159" s="13"/>
      <c r="G159" s="13"/>
      <c r="H159" s="119"/>
    </row>
    <row r="160" spans="1:8">
      <c r="A160" s="118" t="s">
        <v>255</v>
      </c>
      <c r="B160" s="121">
        <v>3.0000000000000001E-3</v>
      </c>
      <c r="C160" s="13" t="s">
        <v>2</v>
      </c>
      <c r="D160" s="13" t="s">
        <v>265</v>
      </c>
      <c r="E160" s="13"/>
      <c r="F160" s="13"/>
      <c r="G160" s="13"/>
      <c r="H160" s="119"/>
    </row>
    <row r="161" spans="1:10">
      <c r="A161" s="130" t="s">
        <v>129</v>
      </c>
      <c r="B161" s="13"/>
      <c r="C161" s="13"/>
      <c r="D161" s="13"/>
      <c r="E161" s="13"/>
      <c r="F161" s="13"/>
      <c r="G161" s="13"/>
      <c r="H161" s="119"/>
    </row>
    <row r="162" spans="1:10">
      <c r="A162" s="118" t="s">
        <v>143</v>
      </c>
      <c r="B162" s="47">
        <f>'Design Regulator'!E82/1000</f>
        <v>3.8999999999999998E-3</v>
      </c>
      <c r="C162" s="385" t="s">
        <v>213</v>
      </c>
      <c r="D162" s="13" t="s">
        <v>199</v>
      </c>
      <c r="E162" s="13"/>
      <c r="F162" s="13"/>
      <c r="G162" s="13"/>
      <c r="H162" s="119"/>
    </row>
    <row r="163" spans="1:10">
      <c r="A163" s="118" t="s">
        <v>153</v>
      </c>
      <c r="B163" s="121">
        <f>4000/1000000</f>
        <v>4.0000000000000001E-3</v>
      </c>
      <c r="C163" s="223" t="s">
        <v>655</v>
      </c>
      <c r="D163" s="13" t="s">
        <v>198</v>
      </c>
      <c r="E163" s="13"/>
      <c r="F163" s="13"/>
      <c r="G163" s="13"/>
      <c r="H163" s="119"/>
    </row>
    <row r="164" spans="1:10">
      <c r="A164" s="118" t="s">
        <v>142</v>
      </c>
      <c r="B164" s="148">
        <f>'Design Regulator'!E83/1000000000</f>
        <v>1.05E-8</v>
      </c>
      <c r="C164" s="13" t="s">
        <v>275</v>
      </c>
      <c r="D164" s="13" t="s">
        <v>185</v>
      </c>
      <c r="E164" s="13"/>
      <c r="F164" s="13"/>
      <c r="G164" s="13"/>
      <c r="H164" s="119"/>
    </row>
    <row r="165" spans="1:10">
      <c r="A165" s="118" t="s">
        <v>224</v>
      </c>
      <c r="B165" s="148">
        <f>'Design Regulator'!E84/1000000000</f>
        <v>2.2999999999999999E-9</v>
      </c>
      <c r="C165" s="13" t="s">
        <v>275</v>
      </c>
      <c r="D165" s="13" t="s">
        <v>225</v>
      </c>
      <c r="E165" s="13"/>
      <c r="F165" s="13"/>
      <c r="G165" s="13"/>
      <c r="H165" s="119"/>
    </row>
    <row r="166" spans="1:10">
      <c r="A166" s="118" t="s">
        <v>242</v>
      </c>
      <c r="B166" s="148">
        <f>'Design Regulator'!E85/1000000000</f>
        <v>3.2000000000000001E-9</v>
      </c>
      <c r="C166" s="13" t="s">
        <v>275</v>
      </c>
      <c r="D166" s="13"/>
      <c r="E166" s="13"/>
      <c r="F166" s="13"/>
      <c r="G166" s="13"/>
      <c r="H166" s="119"/>
    </row>
    <row r="167" spans="1:10">
      <c r="A167" s="118" t="s">
        <v>172</v>
      </c>
      <c r="B167" s="47">
        <f>'Design Regulator'!E86</f>
        <v>0.6</v>
      </c>
      <c r="C167" s="385" t="s">
        <v>213</v>
      </c>
      <c r="D167" s="13" t="s">
        <v>186</v>
      </c>
      <c r="E167" s="13"/>
      <c r="F167" s="13"/>
      <c r="G167" s="13"/>
      <c r="H167" s="119"/>
    </row>
    <row r="168" spans="1:10">
      <c r="A168" s="118" t="s">
        <v>141</v>
      </c>
      <c r="B168" s="47">
        <f>'Design Regulator'!E87</f>
        <v>90</v>
      </c>
      <c r="C168" s="13" t="s">
        <v>138</v>
      </c>
      <c r="D168" s="13" t="s">
        <v>187</v>
      </c>
      <c r="E168" s="13"/>
      <c r="F168" s="13"/>
      <c r="G168" s="13"/>
      <c r="H168" s="119"/>
    </row>
    <row r="169" spans="1:10">
      <c r="A169" s="118" t="s">
        <v>174</v>
      </c>
      <c r="B169" s="47">
        <f>'Design Regulator'!E88</f>
        <v>1.9</v>
      </c>
      <c r="C169" s="13" t="s">
        <v>0</v>
      </c>
      <c r="D169" s="13" t="s">
        <v>188</v>
      </c>
      <c r="E169" s="13"/>
      <c r="F169" s="13"/>
      <c r="G169" s="13"/>
      <c r="H169" s="119"/>
    </row>
    <row r="170" spans="1:10">
      <c r="A170" s="118" t="s">
        <v>241</v>
      </c>
      <c r="B170" s="134">
        <f>VthTop+Iout/GmTop</f>
        <v>2.2333333333333334</v>
      </c>
      <c r="C170" s="13" t="s">
        <v>0</v>
      </c>
      <c r="D170" s="13" t="s">
        <v>272</v>
      </c>
      <c r="E170" s="13"/>
      <c r="F170" s="13"/>
      <c r="G170" s="13"/>
      <c r="H170" s="119"/>
    </row>
    <row r="171" spans="1:10">
      <c r="A171" s="118" t="s">
        <v>399</v>
      </c>
      <c r="B171" s="47">
        <f>'Design Regulator'!E89</f>
        <v>0.8</v>
      </c>
      <c r="C171" s="13" t="s">
        <v>0</v>
      </c>
      <c r="D171" s="13" t="s">
        <v>402</v>
      </c>
      <c r="E171" s="13"/>
      <c r="F171" s="13"/>
      <c r="G171" s="13"/>
      <c r="H171" s="119"/>
    </row>
    <row r="172" spans="1:10">
      <c r="A172" s="118" t="s">
        <v>163</v>
      </c>
      <c r="B172" s="47">
        <f>'Design Regulator'!E90</f>
        <v>50</v>
      </c>
      <c r="C172" s="223" t="s">
        <v>403</v>
      </c>
      <c r="D172" s="13" t="s">
        <v>189</v>
      </c>
      <c r="E172" s="13"/>
      <c r="F172" s="13"/>
      <c r="G172" s="13"/>
      <c r="H172" s="119"/>
    </row>
    <row r="173" spans="1:10">
      <c r="A173" s="130" t="s">
        <v>130</v>
      </c>
      <c r="B173" s="13"/>
      <c r="C173" s="13"/>
      <c r="D173" s="13"/>
      <c r="E173" s="13"/>
      <c r="F173" s="13"/>
      <c r="G173" s="13"/>
      <c r="H173" s="119"/>
    </row>
    <row r="174" spans="1:10">
      <c r="A174" s="118" t="s">
        <v>140</v>
      </c>
      <c r="B174" s="47">
        <f>'Design Regulator'!E93/1000</f>
        <v>8.9999999999999998E-4</v>
      </c>
      <c r="C174" s="385" t="s">
        <v>213</v>
      </c>
      <c r="D174" s="13" t="s">
        <v>197</v>
      </c>
      <c r="E174" s="13"/>
      <c r="F174" s="13"/>
      <c r="G174" s="13"/>
      <c r="H174" s="119"/>
    </row>
    <row r="175" spans="1:10">
      <c r="A175" s="118" t="s">
        <v>154</v>
      </c>
      <c r="B175" s="47">
        <f>4000/1000000</f>
        <v>4.0000000000000001E-3</v>
      </c>
      <c r="C175" s="223" t="s">
        <v>655</v>
      </c>
      <c r="D175" s="13" t="s">
        <v>190</v>
      </c>
      <c r="E175" s="13"/>
      <c r="F175" s="13"/>
      <c r="G175" s="13"/>
      <c r="H175" s="119"/>
    </row>
    <row r="176" spans="1:10">
      <c r="A176" s="118" t="s">
        <v>139</v>
      </c>
      <c r="B176" s="148">
        <f>'Design Regulator'!E94/1000000000</f>
        <v>2.4E-8</v>
      </c>
      <c r="C176" s="13" t="s">
        <v>275</v>
      </c>
      <c r="D176" s="13" t="s">
        <v>185</v>
      </c>
      <c r="E176" s="13"/>
      <c r="F176" s="13"/>
      <c r="G176" s="13"/>
      <c r="H176" s="119"/>
      <c r="J176">
        <f>RGateTop</f>
        <v>0.6</v>
      </c>
    </row>
    <row r="177" spans="1:8">
      <c r="A177" s="118" t="s">
        <v>173</v>
      </c>
      <c r="B177" s="47">
        <v>1</v>
      </c>
      <c r="C177" s="385" t="s">
        <v>213</v>
      </c>
      <c r="D177" s="13" t="s">
        <v>186</v>
      </c>
      <c r="E177" s="13"/>
      <c r="F177" s="13"/>
      <c r="G177" s="13"/>
      <c r="H177" s="119"/>
    </row>
    <row r="178" spans="1:8">
      <c r="A178" s="118" t="s">
        <v>145</v>
      </c>
      <c r="B178" s="47">
        <f>'Design Regulator'!E95</f>
        <v>0.77</v>
      </c>
      <c r="C178" s="13" t="s">
        <v>0</v>
      </c>
      <c r="D178" s="13" t="s">
        <v>191</v>
      </c>
      <c r="E178" s="13"/>
      <c r="F178" s="13"/>
      <c r="G178" s="13"/>
      <c r="H178" s="119"/>
    </row>
    <row r="179" spans="1:8">
      <c r="A179" s="118" t="s">
        <v>146</v>
      </c>
      <c r="B179" s="148">
        <f>'Design Regulator'!E96/1000000000</f>
        <v>8.2000000000000006E-8</v>
      </c>
      <c r="C179" s="13" t="s">
        <v>275</v>
      </c>
      <c r="D179" s="13" t="s">
        <v>201</v>
      </c>
      <c r="E179" s="13"/>
      <c r="F179" s="13"/>
      <c r="G179" s="13"/>
      <c r="H179" s="119"/>
    </row>
    <row r="180" spans="1:8">
      <c r="A180" s="118" t="s">
        <v>147</v>
      </c>
      <c r="B180" s="148">
        <v>4.0000000000000001E-8</v>
      </c>
      <c r="C180" s="13" t="s">
        <v>271</v>
      </c>
      <c r="D180" s="13" t="s">
        <v>192</v>
      </c>
      <c r="E180" s="13"/>
      <c r="F180" s="13"/>
      <c r="G180" s="13"/>
      <c r="H180" s="119"/>
    </row>
    <row r="181" spans="1:8">
      <c r="A181" s="118" t="s">
        <v>162</v>
      </c>
      <c r="B181" s="47">
        <f>'Design Regulator'!E97</f>
        <v>50</v>
      </c>
      <c r="C181" s="223" t="s">
        <v>403</v>
      </c>
      <c r="D181" s="13" t="s">
        <v>189</v>
      </c>
      <c r="E181" s="13"/>
      <c r="F181" s="13"/>
      <c r="G181" s="13"/>
      <c r="H181" s="119"/>
    </row>
    <row r="182" spans="1:8">
      <c r="A182" s="130" t="s">
        <v>452</v>
      </c>
      <c r="B182" s="47"/>
      <c r="C182" s="13"/>
      <c r="D182" s="13"/>
      <c r="E182" s="13"/>
      <c r="F182" s="13"/>
      <c r="G182" s="13"/>
      <c r="H182" s="119"/>
    </row>
    <row r="183" spans="1:8">
      <c r="A183" s="118" t="s">
        <v>385</v>
      </c>
      <c r="B183" s="47">
        <f>'Design Regulator'!E99</f>
        <v>0</v>
      </c>
      <c r="C183" s="13" t="s">
        <v>0</v>
      </c>
      <c r="D183" s="57" t="s">
        <v>388</v>
      </c>
      <c r="E183" s="13"/>
      <c r="F183" s="13"/>
      <c r="G183" s="13"/>
      <c r="H183" s="119"/>
    </row>
    <row r="184" spans="1:8">
      <c r="A184" s="118" t="s">
        <v>386</v>
      </c>
      <c r="B184" s="47">
        <f>'Design Regulator'!E100/1000000000</f>
        <v>0</v>
      </c>
      <c r="C184" s="13" t="s">
        <v>275</v>
      </c>
      <c r="D184" s="57" t="s">
        <v>389</v>
      </c>
      <c r="E184" s="13"/>
      <c r="F184" s="13"/>
      <c r="G184" s="13"/>
      <c r="H184" s="119"/>
    </row>
    <row r="185" spans="1:8">
      <c r="A185" s="118" t="s">
        <v>387</v>
      </c>
      <c r="B185" s="47">
        <v>0</v>
      </c>
      <c r="C185" s="13" t="s">
        <v>2</v>
      </c>
      <c r="D185" s="57" t="s">
        <v>390</v>
      </c>
      <c r="E185" s="13"/>
      <c r="F185" s="13"/>
      <c r="G185" s="13"/>
      <c r="H185" s="119"/>
    </row>
    <row r="186" spans="1:8">
      <c r="A186" s="130" t="s">
        <v>214</v>
      </c>
      <c r="B186" s="13"/>
      <c r="C186" s="13"/>
      <c r="D186" s="13"/>
      <c r="E186" s="13"/>
      <c r="F186" s="13"/>
      <c r="G186" s="13"/>
      <c r="H186" s="119"/>
    </row>
    <row r="187" spans="1:8">
      <c r="A187" s="118" t="s">
        <v>273</v>
      </c>
      <c r="B187" s="47">
        <v>30</v>
      </c>
      <c r="C187" s="13"/>
      <c r="D187" s="13"/>
      <c r="E187" s="13"/>
      <c r="F187" s="13"/>
      <c r="G187" s="13"/>
      <c r="H187" s="119"/>
    </row>
    <row r="188" spans="1:8">
      <c r="A188" s="130" t="s">
        <v>150</v>
      </c>
      <c r="B188" s="13"/>
      <c r="C188" s="13"/>
      <c r="D188" s="13"/>
      <c r="E188" s="13"/>
      <c r="F188" s="13"/>
      <c r="G188" s="13"/>
      <c r="H188" s="119"/>
    </row>
    <row r="189" spans="1:8">
      <c r="A189" s="118" t="s">
        <v>129</v>
      </c>
      <c r="B189" s="13"/>
      <c r="C189" s="13"/>
      <c r="D189" s="13"/>
      <c r="E189" s="13"/>
      <c r="F189" s="13"/>
      <c r="G189" s="13"/>
      <c r="H189" s="119"/>
    </row>
    <row r="190" spans="1:8">
      <c r="A190" s="118" t="s">
        <v>170</v>
      </c>
      <c r="B190" s="134">
        <f>(QgdTop+QgsTop/2)*(RdsonDRT+RGateTop)/(Vdd-VspTop)</f>
        <v>3.6132352941176477E-9</v>
      </c>
      <c r="C190" s="13" t="s">
        <v>271</v>
      </c>
      <c r="D190" s="13"/>
      <c r="E190" s="13"/>
      <c r="F190" s="13"/>
      <c r="G190" s="13"/>
      <c r="H190" s="119"/>
    </row>
    <row r="191" spans="1:8">
      <c r="A191" s="118" t="s">
        <v>171</v>
      </c>
      <c r="B191" s="134">
        <f>(QgdTop+QgsTop/2)*(RdsonDRT+RGateTop)/(VspTop)</f>
        <v>3.6671641791044777E-9</v>
      </c>
      <c r="C191" s="13" t="s">
        <v>271</v>
      </c>
      <c r="D191" s="13"/>
      <c r="E191" s="13"/>
      <c r="F191" s="13"/>
      <c r="G191" s="13"/>
      <c r="H191" s="119"/>
    </row>
    <row r="192" spans="1:8">
      <c r="A192" s="118"/>
      <c r="B192" s="13"/>
      <c r="C192" s="13"/>
      <c r="D192" s="13"/>
      <c r="E192" s="13"/>
      <c r="F192" s="13"/>
      <c r="G192" s="13"/>
      <c r="H192" s="119"/>
    </row>
    <row r="193" spans="1:8">
      <c r="A193" s="118"/>
      <c r="B193" s="13"/>
      <c r="C193" s="13"/>
      <c r="D193" s="13"/>
      <c r="E193" s="13"/>
      <c r="F193" s="13"/>
      <c r="G193" s="13"/>
      <c r="H193" s="119"/>
    </row>
    <row r="194" spans="1:8">
      <c r="A194" s="184" t="s">
        <v>414</v>
      </c>
      <c r="B194" s="159" t="s">
        <v>8</v>
      </c>
      <c r="C194" s="71" t="s">
        <v>149</v>
      </c>
      <c r="D194" s="13"/>
      <c r="E194" s="13"/>
      <c r="F194" s="13"/>
      <c r="G194" s="13"/>
      <c r="H194" s="119"/>
    </row>
    <row r="195" spans="1:8">
      <c r="A195" s="185" t="s">
        <v>212</v>
      </c>
      <c r="B195" s="160">
        <f>'Power Calculations'!AI9</f>
        <v>0.30510000000000004</v>
      </c>
      <c r="C195" s="161" t="s">
        <v>213</v>
      </c>
      <c r="D195" s="13"/>
      <c r="E195" s="13"/>
      <c r="F195" s="13"/>
      <c r="G195" s="13"/>
      <c r="H195" s="119"/>
    </row>
    <row r="196" spans="1:8">
      <c r="A196" s="185" t="s">
        <v>216</v>
      </c>
      <c r="B196" s="70">
        <f>B195*ThetaJaCtrl</f>
        <v>9.1530000000000005</v>
      </c>
      <c r="C196" s="381" t="s">
        <v>468</v>
      </c>
      <c r="D196" s="13"/>
      <c r="E196" s="13"/>
      <c r="F196" s="13"/>
      <c r="G196" s="13"/>
      <c r="H196" s="119"/>
    </row>
    <row r="197" spans="1:8">
      <c r="A197" s="185" t="s">
        <v>410</v>
      </c>
      <c r="B197" s="70">
        <f>(QgBot+QgTop)*Fsw+Iq</f>
        <v>2.5424999999999996E-2</v>
      </c>
      <c r="C197" s="57" t="s">
        <v>2</v>
      </c>
      <c r="D197" s="13"/>
      <c r="E197" s="13"/>
      <c r="F197" s="13"/>
      <c r="G197" s="13"/>
      <c r="H197" s="119"/>
    </row>
    <row r="198" spans="1:8">
      <c r="A198" s="185" t="s">
        <v>411</v>
      </c>
      <c r="B198" s="57">
        <f>QrrBot*Fsw</f>
        <v>5.3300000000000007E-2</v>
      </c>
      <c r="C198" s="57" t="s">
        <v>2</v>
      </c>
      <c r="D198" s="13"/>
      <c r="E198" s="13"/>
      <c r="F198" s="13"/>
      <c r="G198" s="13"/>
      <c r="H198" s="119"/>
    </row>
    <row r="199" spans="1:8">
      <c r="A199" s="185" t="s">
        <v>412</v>
      </c>
      <c r="B199" s="57">
        <f>C199/Vin</f>
        <v>3.6582911418975647E-4</v>
      </c>
      <c r="C199" s="57">
        <f>Deadtime*Fsw*(Ipp/2)*(VsdTop+VsdBot)</f>
        <v>4.3899493702770779E-3</v>
      </c>
      <c r="D199" s="13"/>
      <c r="E199" s="13"/>
      <c r="F199" s="13"/>
      <c r="G199" s="13"/>
      <c r="H199" s="119"/>
    </row>
    <row r="200" spans="1:8">
      <c r="A200" s="185" t="s">
        <v>415</v>
      </c>
      <c r="B200" s="57">
        <f>SUM(B197:B199)</f>
        <v>7.9090829114189756E-2</v>
      </c>
      <c r="C200" s="57" t="s">
        <v>2</v>
      </c>
      <c r="D200" s="13"/>
      <c r="E200" s="13"/>
      <c r="F200" s="13"/>
      <c r="G200" s="13"/>
      <c r="H200" s="119"/>
    </row>
    <row r="201" spans="1:8">
      <c r="A201" s="118"/>
      <c r="B201" s="13"/>
      <c r="C201" s="13"/>
      <c r="D201" s="13"/>
      <c r="E201" s="13"/>
      <c r="F201" s="13"/>
      <c r="G201" s="13"/>
      <c r="H201" s="119"/>
    </row>
    <row r="202" spans="1:8">
      <c r="A202" s="118"/>
      <c r="B202" s="13"/>
      <c r="C202" s="13"/>
      <c r="D202" s="13"/>
      <c r="E202" s="13"/>
      <c r="F202" s="13"/>
      <c r="G202" s="13"/>
      <c r="H202" s="119"/>
    </row>
    <row r="203" spans="1:8">
      <c r="A203" s="118"/>
      <c r="B203" s="13"/>
      <c r="C203" s="13"/>
      <c r="D203" s="13"/>
      <c r="E203" s="13"/>
      <c r="F203" s="13"/>
      <c r="G203" s="13"/>
      <c r="H203" s="119"/>
    </row>
    <row r="204" spans="1:8">
      <c r="A204" s="118"/>
      <c r="B204" s="13"/>
      <c r="C204" s="13"/>
      <c r="D204" s="13"/>
      <c r="E204" s="13"/>
      <c r="F204" s="13"/>
      <c r="G204" s="13"/>
      <c r="H204" s="119"/>
    </row>
    <row r="205" spans="1:8">
      <c r="A205" s="118"/>
      <c r="B205" s="13"/>
      <c r="C205" s="13"/>
      <c r="D205" s="13"/>
      <c r="E205" s="13"/>
      <c r="F205" s="13"/>
      <c r="G205" s="13"/>
      <c r="H205" s="119"/>
    </row>
    <row r="206" spans="1:8">
      <c r="A206" s="130" t="s">
        <v>151</v>
      </c>
      <c r="B206" s="13"/>
      <c r="C206" s="13"/>
      <c r="D206" s="13"/>
      <c r="E206" s="13"/>
      <c r="F206" s="13"/>
      <c r="G206" s="13"/>
      <c r="H206" s="119"/>
    </row>
    <row r="207" spans="1:8">
      <c r="A207" s="118" t="s">
        <v>211</v>
      </c>
      <c r="B207" s="13"/>
      <c r="C207" s="13"/>
      <c r="D207" s="13"/>
      <c r="E207" s="13"/>
      <c r="F207" s="13"/>
      <c r="G207" s="13"/>
      <c r="H207" s="119"/>
    </row>
    <row r="208" spans="1:8" ht="14" thickBot="1">
      <c r="A208" s="122" t="s">
        <v>212</v>
      </c>
      <c r="B208" s="123"/>
      <c r="C208" s="123"/>
      <c r="D208" s="123"/>
      <c r="E208" s="123"/>
      <c r="F208" s="123"/>
      <c r="G208" s="123"/>
      <c r="H208" s="124"/>
    </row>
    <row r="209" spans="1:8">
      <c r="A209" s="1"/>
      <c r="B209" s="1"/>
    </row>
    <row r="210" spans="1:8" ht="21.75" customHeight="1" thickBot="1">
      <c r="A210" s="174" t="s">
        <v>404</v>
      </c>
      <c r="B210" s="13"/>
      <c r="C210" s="13"/>
      <c r="D210" s="13"/>
      <c r="E210" s="13"/>
      <c r="F210" s="13"/>
      <c r="G210" s="13"/>
      <c r="H210" s="13"/>
    </row>
    <row r="211" spans="1:8">
      <c r="A211" s="176" t="str">
        <f>"RC1 = "&amp;'Design Regulator'!D71&amp;"kΩ"</f>
        <v>RC1 = 30.1kΩ</v>
      </c>
      <c r="B211" s="125" t="str">
        <f>'Design Regulator'!D71&amp;"kΩ"</f>
        <v>30.1kΩ</v>
      </c>
      <c r="C211" s="125"/>
      <c r="D211" s="186"/>
      <c r="E211" s="186"/>
      <c r="F211" s="186"/>
      <c r="G211" s="186"/>
      <c r="H211" s="126"/>
    </row>
    <row r="212" spans="1:8">
      <c r="A212" s="118" t="str">
        <f>"LOUT = "&amp;'Design Regulator'!E15&amp;"uH"</f>
        <v>LOUT = 0.47uH</v>
      </c>
      <c r="B212" s="13" t="str">
        <f>'Design Regulator'!E15&amp;"µH"</f>
        <v>0.47µH</v>
      </c>
      <c r="C212" s="13"/>
      <c r="D212" s="13"/>
      <c r="E212" s="13"/>
      <c r="F212" s="13"/>
      <c r="G212" s="13"/>
      <c r="H212" s="119"/>
    </row>
    <row r="213" spans="1:8">
      <c r="A213" s="118" t="str">
        <f>"Rdcr = "&amp;'Design Regulator'!E16&amp;"mΩ"</f>
        <v>Rdcr = 0.32mΩ</v>
      </c>
      <c r="B213" s="13" t="str">
        <f>'Design Regulator'!E16&amp;"mΩ"</f>
        <v>0.32mΩ</v>
      </c>
      <c r="C213" s="13"/>
      <c r="D213" s="13"/>
      <c r="E213" s="13"/>
      <c r="F213" s="13"/>
      <c r="G213" s="13"/>
      <c r="H213" s="119"/>
    </row>
    <row r="214" spans="1:8">
      <c r="A214" s="118" t="str">
        <f>"VOUT = "&amp;'Design Regulator'!E7&amp;"V"</f>
        <v>VOUT = 6.75V</v>
      </c>
      <c r="B214" s="13" t="str">
        <f>'Design Regulator'!E7&amp;"V"</f>
        <v>6.75V</v>
      </c>
      <c r="C214" s="13"/>
      <c r="D214" s="13"/>
      <c r="E214" s="13"/>
      <c r="F214" s="13"/>
      <c r="G214" s="13"/>
      <c r="H214" s="119"/>
    </row>
    <row r="215" spans="1:8">
      <c r="A215" s="118"/>
      <c r="B215" s="13"/>
      <c r="C215" s="13"/>
      <c r="D215" s="13"/>
      <c r="E215" s="13"/>
      <c r="F215" s="13"/>
      <c r="G215" s="13"/>
      <c r="H215" s="119"/>
    </row>
    <row r="216" spans="1:8">
      <c r="A216" s="118" t="str">
        <f>"COUT = "&amp;'Design Regulator'!$E$30&amp;"uF"</f>
        <v>COUT = 120uF</v>
      </c>
      <c r="B216" s="13" t="str">
        <f>'Design Regulator'!$E$30&amp;"µF"</f>
        <v>120µF</v>
      </c>
      <c r="C216" s="13"/>
      <c r="D216" s="13"/>
      <c r="E216" s="13"/>
      <c r="F216" s="13"/>
      <c r="G216" s="13"/>
      <c r="H216" s="119"/>
    </row>
    <row r="217" spans="1:8">
      <c r="A217" s="380" t="s">
        <v>604</v>
      </c>
      <c r="B217" s="13" t="str">
        <f>"100µF"</f>
        <v>100µF</v>
      </c>
      <c r="C217" s="13"/>
      <c r="D217" s="13"/>
      <c r="E217" s="13"/>
      <c r="F217" s="13"/>
      <c r="G217" s="13"/>
      <c r="H217" s="119"/>
    </row>
    <row r="218" spans="1:8">
      <c r="A218" s="380" t="s">
        <v>605</v>
      </c>
      <c r="B218" s="225" t="str">
        <f>ROUNDUP(Cout*1000000/100,0)&amp;" x"</f>
        <v>2 x</v>
      </c>
      <c r="C218" s="13"/>
      <c r="D218" s="13"/>
      <c r="E218" s="13"/>
      <c r="F218" s="13"/>
      <c r="G218" s="13"/>
      <c r="H218" s="119"/>
    </row>
    <row r="219" spans="1:8">
      <c r="A219" s="118"/>
      <c r="B219" s="13"/>
      <c r="C219" s="13"/>
      <c r="D219" s="13"/>
      <c r="E219" s="13"/>
      <c r="F219" s="13"/>
      <c r="G219" s="13"/>
      <c r="H219" s="119"/>
    </row>
    <row r="220" spans="1:8">
      <c r="A220" s="118" t="s">
        <v>432</v>
      </c>
      <c r="B220" s="13" t="str">
        <f>Cin*1000000&amp;"µF"</f>
        <v>100µF</v>
      </c>
      <c r="C220" s="13"/>
      <c r="D220" s="13"/>
      <c r="E220" s="13"/>
      <c r="F220" s="13"/>
      <c r="G220" s="13"/>
      <c r="H220" s="119"/>
    </row>
    <row r="221" spans="1:8">
      <c r="A221" s="380" t="s">
        <v>603</v>
      </c>
      <c r="B221" s="13" t="str">
        <f>"22µF"</f>
        <v>22µF</v>
      </c>
      <c r="C221" s="13"/>
      <c r="D221" s="13"/>
      <c r="E221" s="13"/>
      <c r="F221" s="13"/>
      <c r="G221" s="13"/>
      <c r="H221" s="119"/>
    </row>
    <row r="222" spans="1:8">
      <c r="A222" s="380" t="s">
        <v>602</v>
      </c>
      <c r="B222" s="225" t="str">
        <f>ROUNDUP(Cin*1000000/22,0)&amp;" x"</f>
        <v>5 x</v>
      </c>
      <c r="C222" s="13"/>
      <c r="D222" s="13"/>
      <c r="E222" s="13"/>
      <c r="F222" s="13"/>
      <c r="G222" s="13"/>
      <c r="H222" s="119"/>
    </row>
    <row r="223" spans="1:8">
      <c r="A223" s="380"/>
      <c r="B223" s="225"/>
      <c r="C223" s="13"/>
      <c r="D223" s="13"/>
      <c r="E223" s="13"/>
      <c r="F223" s="13"/>
      <c r="G223" s="13"/>
      <c r="H223" s="119"/>
    </row>
    <row r="224" spans="1:8">
      <c r="A224" s="118" t="str">
        <f>"RC1 = "&amp;Rcea1_u/1000&amp;"kΩ"</f>
        <v>RC1 = 30.1kΩ</v>
      </c>
      <c r="B224" s="13" t="str">
        <f>ROUND(Rcea1_u/1000,2)&amp;"kΩ"</f>
        <v>30.1kΩ</v>
      </c>
      <c r="C224" s="13"/>
      <c r="D224" s="13"/>
      <c r="E224" s="13"/>
      <c r="F224" s="13"/>
      <c r="G224" s="13"/>
      <c r="H224" s="119"/>
    </row>
    <row r="225" spans="1:8">
      <c r="A225" s="118" t="str">
        <f>"CC1 = "&amp;Cc1ea_u*10^12&amp;"pF"</f>
        <v>CC1 = 680pF</v>
      </c>
      <c r="B225" s="13" t="str">
        <f>ROUND(Cc1ea_u*10^12,0)&amp;"pF"</f>
        <v>680pF</v>
      </c>
      <c r="C225" s="13"/>
      <c r="D225" s="13"/>
      <c r="E225" s="13"/>
      <c r="F225" s="13"/>
      <c r="G225" s="13"/>
      <c r="H225" s="119"/>
    </row>
    <row r="226" spans="1:8">
      <c r="A226" s="118" t="str">
        <f>"CC2 = "&amp;Cc2ea_u*10^12&amp;"pF"</f>
        <v>CC2 = 5.6pF</v>
      </c>
      <c r="B226" s="13" t="str">
        <f>ROUND(Cc2ea_u*10^12,0)&amp;"pF"</f>
        <v>6pF</v>
      </c>
      <c r="C226" s="13"/>
      <c r="D226" s="13"/>
      <c r="E226" s="13"/>
      <c r="F226" s="13"/>
      <c r="G226" s="13"/>
      <c r="H226" s="119"/>
    </row>
    <row r="227" spans="1:8">
      <c r="A227" s="118" t="str">
        <f>"RC2 = "&amp;Rcea2_u&amp;"Ω"</f>
        <v>RC2 = 715Ω</v>
      </c>
      <c r="B227" s="13" t="str">
        <f>ROUND(Rcea2_u,2)&amp;"Ω"</f>
        <v>715Ω</v>
      </c>
      <c r="C227" s="13"/>
      <c r="D227" s="13"/>
      <c r="E227" s="13"/>
      <c r="F227" s="13"/>
      <c r="G227" s="13"/>
      <c r="H227" s="119"/>
    </row>
    <row r="228" spans="1:8">
      <c r="A228" s="118" t="str">
        <f>"CC3 = "&amp;Cc3ea_u*10^12&amp;"pF"</f>
        <v>CC3 = 150pF</v>
      </c>
      <c r="B228" s="13" t="str">
        <f>ROUND(Cc3ea_u*10^12,0)&amp;"pF"</f>
        <v>150pF</v>
      </c>
      <c r="C228" s="13"/>
      <c r="D228" s="13"/>
      <c r="E228" s="13"/>
      <c r="F228" s="13"/>
      <c r="G228" s="13"/>
      <c r="H228" s="119"/>
    </row>
    <row r="229" spans="1:8">
      <c r="A229" s="118" t="str">
        <f>"RFB1 = "&amp;'Design Regulator'!E61&amp;"kΩ"</f>
        <v>RFB1 = 55kΩ</v>
      </c>
      <c r="B229" s="13" t="str">
        <f>'Design Regulator'!E61&amp;"kΩ"</f>
        <v>55kΩ</v>
      </c>
      <c r="C229" s="13"/>
      <c r="D229" s="13"/>
      <c r="E229" s="13"/>
      <c r="F229" s="13"/>
      <c r="G229" s="13"/>
      <c r="H229" s="119"/>
    </row>
    <row r="230" spans="1:8">
      <c r="A230" s="118" t="str">
        <f>"RFB2 = "&amp;IF(Vout=Vref,"OPEN",'Design Regulator'!E62&amp;"kΩ")</f>
        <v>RFB2 = 5.36kΩ</v>
      </c>
      <c r="B230" s="13" t="str">
        <f>IF(Vout=Vref,"OPEN",Rfb2_u/1000&amp;"kΩ")</f>
        <v>5.36kΩ</v>
      </c>
      <c r="C230" s="13"/>
      <c r="D230" s="13"/>
      <c r="E230" s="13"/>
      <c r="F230" s="13"/>
      <c r="G230" s="13"/>
      <c r="H230" s="119"/>
    </row>
    <row r="231" spans="1:8">
      <c r="A231" s="118" t="str">
        <f>"Crossover Frequency = "&amp;ROUND('Bode Plots Calculations'!BK5,0)&amp;" kHz"</f>
        <v>Crossover Frequency = 120 kHz</v>
      </c>
      <c r="B231" s="13" t="str">
        <f>ROUND('Bode Plots Calculations'!BK5,0)&amp;" kHz"</f>
        <v>120 kHz</v>
      </c>
      <c r="C231" s="224">
        <f>'Bode Plots Calculations'!BK5</f>
        <v>120</v>
      </c>
      <c r="D231" s="13"/>
      <c r="E231" s="13"/>
      <c r="F231" s="13"/>
      <c r="G231" s="13"/>
      <c r="H231" s="119"/>
    </row>
    <row r="232" spans="1:8">
      <c r="A232" s="118" t="str">
        <f>"Phase Margin = "&amp;ROUND('Bode Plots Calculations'!BK6,0)&amp;"°"</f>
        <v>Phase Margin = 67°</v>
      </c>
      <c r="B232" s="225" t="str">
        <f>ROUND('Bode Plots Calculations'!BK6,0)&amp;"°"</f>
        <v>67°</v>
      </c>
      <c r="C232" s="13"/>
      <c r="D232" s="385"/>
      <c r="E232" s="13"/>
      <c r="F232" s="13"/>
      <c r="G232" s="13"/>
      <c r="H232" s="119"/>
    </row>
    <row r="233" spans="1:8">
      <c r="A233" s="118" t="str">
        <f>"Cs = "&amp;Cs*1000000000&amp;"nF"</f>
        <v>Cs = 220nF</v>
      </c>
      <c r="B233" s="13" t="str">
        <f>Cs*1000000&amp;"µF"</f>
        <v>0.22µF</v>
      </c>
      <c r="C233" s="13"/>
      <c r="D233" s="13"/>
      <c r="E233" s="13"/>
      <c r="F233" s="13"/>
      <c r="G233" s="13"/>
      <c r="H233" s="119"/>
    </row>
    <row r="234" spans="1:8">
      <c r="A234" s="118" t="str">
        <f>"Rs = "&amp;Rs&amp;"Ω"</f>
        <v>Rs = 7320Ω</v>
      </c>
      <c r="B234" s="13" t="str">
        <f>'Standard Value Calculator'!S6/1000&amp;"kΩ"</f>
        <v>7.32kΩ</v>
      </c>
      <c r="C234" s="13"/>
      <c r="D234" s="13"/>
      <c r="E234" s="13"/>
      <c r="F234" s="13"/>
      <c r="G234" s="13"/>
      <c r="H234" s="119"/>
    </row>
    <row r="235" spans="1:8">
      <c r="A235" s="118" t="s">
        <v>374</v>
      </c>
      <c r="B235" s="13" t="str">
        <f>'Standard Value Calculator'!S22/1000&amp;"kΩ"</f>
        <v>1.43kΩ</v>
      </c>
      <c r="C235" s="13"/>
      <c r="D235" s="13"/>
      <c r="E235" s="13"/>
      <c r="F235" s="13"/>
      <c r="G235" s="13"/>
      <c r="H235" s="119"/>
    </row>
    <row r="236" spans="1:8">
      <c r="A236" s="118" t="s">
        <v>330</v>
      </c>
      <c r="B236" s="13" t="str">
        <f>'Standard Value Calculator'!S6/1000&amp;"kΩ"</f>
        <v>7.32kΩ</v>
      </c>
      <c r="C236" s="13"/>
      <c r="D236" s="13"/>
      <c r="E236" s="13"/>
      <c r="F236" s="13"/>
      <c r="G236" s="13"/>
      <c r="H236" s="119"/>
    </row>
    <row r="237" spans="1:8">
      <c r="A237" s="118" t="s">
        <v>453</v>
      </c>
      <c r="B237" s="13" t="str">
        <f>'Standard Value Calculator'!S24/1000&amp;"kΩ"</f>
        <v>84.5kΩ</v>
      </c>
      <c r="C237" s="13">
        <f>'Standard Value Calculator'!S24/1000</f>
        <v>84.5</v>
      </c>
      <c r="D237" s="13"/>
      <c r="E237" s="13"/>
      <c r="F237" s="13"/>
      <c r="G237" s="13"/>
      <c r="H237" s="119"/>
    </row>
    <row r="238" spans="1:8">
      <c r="A238" s="380" t="s">
        <v>593</v>
      </c>
      <c r="B238" s="223" t="s">
        <v>594</v>
      </c>
      <c r="C238" s="13"/>
      <c r="D238" s="13"/>
      <c r="E238" s="13"/>
      <c r="F238" s="13"/>
      <c r="G238" s="13"/>
      <c r="H238" s="119"/>
    </row>
    <row r="239" spans="1:8">
      <c r="A239" s="118" t="s">
        <v>303</v>
      </c>
      <c r="B239" s="13" t="str">
        <f>'Standard Value Calculator'!S4/1000&amp;"kΩ"</f>
        <v>12.7kΩ</v>
      </c>
      <c r="C239" s="13"/>
      <c r="D239" s="13"/>
      <c r="E239" s="13"/>
      <c r="F239" s="13"/>
      <c r="G239" s="13"/>
      <c r="H239" s="119"/>
    </row>
    <row r="240" spans="1:8">
      <c r="A240" s="118" t="s">
        <v>302</v>
      </c>
      <c r="B240" s="13" t="str">
        <f>'Standard Value Calculator'!B4*1000000000 &amp;"nF"</f>
        <v>47nF</v>
      </c>
      <c r="C240" s="13"/>
      <c r="D240" s="13"/>
      <c r="E240" s="13"/>
      <c r="F240" s="13"/>
      <c r="G240" s="13"/>
      <c r="H240" s="119"/>
    </row>
    <row r="241" spans="1:8">
      <c r="A241" s="380" t="s">
        <v>595</v>
      </c>
      <c r="B241" s="223" t="s">
        <v>658</v>
      </c>
      <c r="C241" s="13"/>
      <c r="D241" s="13"/>
      <c r="E241" s="13"/>
      <c r="F241" s="13"/>
      <c r="G241" s="13"/>
      <c r="H241" s="119"/>
    </row>
    <row r="242" spans="1:8">
      <c r="A242" s="118" t="s">
        <v>376</v>
      </c>
      <c r="B242" s="13" t="str">
        <f>IF(B31="y","","|")</f>
        <v>|</v>
      </c>
      <c r="C242" s="13"/>
      <c r="D242" s="13"/>
      <c r="E242" s="13"/>
      <c r="F242" s="13"/>
      <c r="G242" s="13"/>
      <c r="H242" s="119"/>
    </row>
    <row r="243" spans="1:8">
      <c r="A243" s="118" t="s">
        <v>407</v>
      </c>
      <c r="B243" s="13" t="str">
        <f>'Design Regulator'!$E$8&amp;"A"</f>
        <v>30A</v>
      </c>
      <c r="C243" s="13"/>
      <c r="D243" s="13"/>
      <c r="E243" s="13"/>
      <c r="F243" s="13"/>
      <c r="G243" s="13"/>
      <c r="H243" s="119"/>
    </row>
    <row r="244" spans="1:8">
      <c r="A244" s="118" t="s">
        <v>287</v>
      </c>
      <c r="B244" s="13" t="str">
        <f>Vin&amp;"V"</f>
        <v>12V</v>
      </c>
      <c r="C244" s="13"/>
      <c r="D244" s="13"/>
      <c r="E244" s="13"/>
      <c r="F244" s="13"/>
      <c r="G244" s="13"/>
      <c r="H244" s="119"/>
    </row>
    <row r="245" spans="1:8">
      <c r="A245" s="118"/>
      <c r="B245" s="13"/>
      <c r="C245" s="13"/>
      <c r="D245" s="13"/>
      <c r="E245" s="13"/>
      <c r="F245" s="13"/>
      <c r="G245" s="13"/>
      <c r="H245" s="119"/>
    </row>
    <row r="246" spans="1:8">
      <c r="A246" s="118" t="s">
        <v>416</v>
      </c>
      <c r="B246" s="13">
        <v>12</v>
      </c>
      <c r="C246" s="13"/>
      <c r="D246" s="13"/>
      <c r="E246" s="13"/>
      <c r="F246" s="13"/>
      <c r="G246" s="13"/>
      <c r="H246" s="119"/>
    </row>
    <row r="247" spans="1:8">
      <c r="A247" s="118" t="s">
        <v>417</v>
      </c>
      <c r="B247" s="13">
        <v>18</v>
      </c>
      <c r="C247" s="13"/>
      <c r="D247" s="13"/>
      <c r="E247" s="13"/>
      <c r="F247" s="13"/>
      <c r="G247" s="13"/>
      <c r="H247" s="119"/>
    </row>
    <row r="248" spans="1:8">
      <c r="A248" s="118" t="s">
        <v>418</v>
      </c>
      <c r="B248" s="13">
        <v>14</v>
      </c>
      <c r="C248" s="13"/>
      <c r="D248" s="13"/>
      <c r="E248" s="13"/>
      <c r="F248" s="13"/>
      <c r="G248" s="13"/>
      <c r="H248" s="119"/>
    </row>
    <row r="249" spans="1:8">
      <c r="A249" s="118" t="s">
        <v>419</v>
      </c>
      <c r="B249" s="13">
        <v>6</v>
      </c>
      <c r="C249" s="13"/>
      <c r="D249" s="13"/>
      <c r="E249" s="13"/>
      <c r="F249" s="13"/>
      <c r="G249" s="13"/>
      <c r="H249" s="119"/>
    </row>
    <row r="250" spans="1:8">
      <c r="A250" s="118" t="s">
        <v>420</v>
      </c>
      <c r="B250" s="13">
        <v>7</v>
      </c>
      <c r="C250" s="13"/>
      <c r="D250" s="13"/>
      <c r="E250" s="13"/>
      <c r="F250" s="13"/>
      <c r="G250" s="13"/>
      <c r="H250" s="119"/>
    </row>
    <row r="251" spans="1:8">
      <c r="A251" s="118" t="s">
        <v>421</v>
      </c>
      <c r="B251" s="13">
        <v>11</v>
      </c>
      <c r="C251" s="13"/>
      <c r="D251" s="13"/>
      <c r="E251" s="13"/>
      <c r="F251" s="13"/>
      <c r="G251" s="13"/>
      <c r="H251" s="119"/>
    </row>
    <row r="252" spans="1:8">
      <c r="A252" s="118" t="s">
        <v>422</v>
      </c>
      <c r="B252" s="13">
        <v>1</v>
      </c>
      <c r="C252" s="13"/>
      <c r="D252" s="13"/>
      <c r="E252" s="13"/>
      <c r="F252" s="13"/>
      <c r="G252" s="13"/>
      <c r="H252" s="119"/>
    </row>
    <row r="253" spans="1:8">
      <c r="A253" s="118" t="s">
        <v>423</v>
      </c>
      <c r="B253" s="13">
        <v>5</v>
      </c>
      <c r="C253" s="13"/>
      <c r="D253" s="13"/>
      <c r="E253" s="13"/>
      <c r="F253" s="13"/>
      <c r="G253" s="13"/>
      <c r="H253" s="119"/>
    </row>
    <row r="254" spans="1:8">
      <c r="A254" s="118" t="s">
        <v>424</v>
      </c>
      <c r="B254" s="13">
        <v>13</v>
      </c>
      <c r="C254" s="13"/>
      <c r="D254" s="13"/>
      <c r="E254" s="13"/>
      <c r="F254" s="13"/>
      <c r="G254" s="13"/>
      <c r="H254" s="119"/>
    </row>
    <row r="255" spans="1:8">
      <c r="A255" s="118" t="s">
        <v>425</v>
      </c>
      <c r="B255" s="13">
        <v>4</v>
      </c>
      <c r="C255" s="13"/>
      <c r="D255" s="13"/>
      <c r="E255" s="13"/>
      <c r="F255" s="13"/>
      <c r="G255" s="13"/>
      <c r="H255" s="119"/>
    </row>
    <row r="256" spans="1:8">
      <c r="A256" s="118" t="s">
        <v>426</v>
      </c>
      <c r="B256" s="13">
        <v>3</v>
      </c>
      <c r="C256" s="13"/>
      <c r="D256" s="13"/>
      <c r="E256" s="13"/>
      <c r="F256" s="13"/>
      <c r="G256" s="13"/>
      <c r="H256" s="119"/>
    </row>
    <row r="257" spans="1:8">
      <c r="A257" s="118" t="s">
        <v>427</v>
      </c>
      <c r="B257" s="13">
        <v>24</v>
      </c>
      <c r="C257" s="13"/>
      <c r="D257" s="13"/>
      <c r="E257" s="13"/>
      <c r="F257" s="13"/>
      <c r="G257" s="13"/>
      <c r="H257" s="119"/>
    </row>
    <row r="258" spans="1:8">
      <c r="A258" s="118" t="s">
        <v>428</v>
      </c>
      <c r="B258" s="13">
        <v>23</v>
      </c>
      <c r="C258" s="13"/>
      <c r="D258" s="13"/>
      <c r="E258" s="13"/>
      <c r="F258" s="13"/>
      <c r="G258" s="13"/>
      <c r="H258" s="119"/>
    </row>
    <row r="259" spans="1:8">
      <c r="A259" s="118" t="s">
        <v>429</v>
      </c>
      <c r="B259" s="13">
        <v>15</v>
      </c>
      <c r="C259" s="13"/>
      <c r="D259" s="13"/>
      <c r="E259" s="13"/>
      <c r="F259" s="13"/>
      <c r="G259" s="13"/>
      <c r="H259" s="119"/>
    </row>
    <row r="260" spans="1:8">
      <c r="A260" s="118" t="s">
        <v>430</v>
      </c>
      <c r="B260" s="13">
        <v>16</v>
      </c>
      <c r="C260" s="13"/>
      <c r="D260" s="13"/>
      <c r="E260" s="13"/>
      <c r="F260" s="13"/>
      <c r="G260" s="13"/>
      <c r="H260" s="119"/>
    </row>
    <row r="261" spans="1:8">
      <c r="A261" s="118" t="s">
        <v>431</v>
      </c>
      <c r="B261" s="13">
        <v>17</v>
      </c>
      <c r="C261" s="13"/>
      <c r="D261" s="13"/>
      <c r="E261" s="13"/>
      <c r="F261" s="13"/>
      <c r="G261" s="13"/>
      <c r="H261" s="119"/>
    </row>
    <row r="262" spans="1:8">
      <c r="A262" t="s">
        <v>451</v>
      </c>
      <c r="B262">
        <v>2</v>
      </c>
      <c r="H262" s="119"/>
    </row>
    <row r="263" spans="1:8">
      <c r="A263" s="221" t="s">
        <v>448</v>
      </c>
      <c r="B263">
        <v>8</v>
      </c>
      <c r="H263" s="119"/>
    </row>
    <row r="264" spans="1:8">
      <c r="A264" s="221" t="s">
        <v>449</v>
      </c>
      <c r="B264">
        <v>9</v>
      </c>
      <c r="H264" s="119"/>
    </row>
    <row r="265" spans="1:8" ht="14" thickBot="1">
      <c r="A265" s="227" t="s">
        <v>450</v>
      </c>
      <c r="B265" s="123">
        <v>10</v>
      </c>
      <c r="C265" s="123"/>
      <c r="D265" s="123"/>
      <c r="E265" s="123"/>
      <c r="F265" s="123"/>
      <c r="G265" s="123"/>
      <c r="H265" s="124"/>
    </row>
    <row r="269" spans="1:8">
      <c r="A269" s="217"/>
    </row>
    <row r="308" spans="1:1">
      <c r="A308" t="s">
        <v>325</v>
      </c>
    </row>
    <row r="309" spans="1:1">
      <c r="A309" t="s">
        <v>326</v>
      </c>
    </row>
    <row r="310" spans="1:1">
      <c r="A310" t="s">
        <v>327</v>
      </c>
    </row>
    <row r="311" spans="1:1">
      <c r="A311" t="s">
        <v>328</v>
      </c>
    </row>
  </sheetData>
  <sheetProtection selectLockedCells="1"/>
  <mergeCells count="2">
    <mergeCell ref="D5:G5"/>
    <mergeCell ref="A1:H1"/>
  </mergeCells>
  <phoneticPr fontId="5" type="noConversion"/>
  <pageMargins left="0.75" right="0.75" top="1" bottom="1" header="0.5" footer="0.5"/>
  <pageSetup orientation="portrait" r:id="rId1"/>
  <headerFooter alignWithMargins="0"/>
  <drawing r:id="rId2"/>
  <legacyDrawing r:id="rId3"/>
  <oleObjects>
    <mc:AlternateContent xmlns:mc="http://schemas.openxmlformats.org/markup-compatibility/2006">
      <mc:Choice Requires="x14">
        <oleObject progId="Visio.Drawing.11" shapeId="3073" r:id="rId4">
          <objectPr defaultSize="0" autoPict="0" r:id="rId5">
            <anchor moveWithCells="1">
              <from>
                <xdr:col>9</xdr:col>
                <xdr:colOff>215900</xdr:colOff>
                <xdr:row>8</xdr:row>
                <xdr:rowOff>114300</xdr:rowOff>
              </from>
              <to>
                <xdr:col>17</xdr:col>
                <xdr:colOff>292100</xdr:colOff>
                <xdr:row>29</xdr:row>
                <xdr:rowOff>114300</xdr:rowOff>
              </to>
            </anchor>
          </objectPr>
        </oleObject>
      </mc:Choice>
      <mc:Fallback>
        <oleObject progId="Visio.Drawing.11" shapeId="3073"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2:T159"/>
  <sheetViews>
    <sheetView topLeftCell="A27" workbookViewId="0">
      <selection activeCell="R4" sqref="R4"/>
    </sheetView>
  </sheetViews>
  <sheetFormatPr baseColWidth="10" defaultColWidth="8.83203125" defaultRowHeight="13"/>
  <cols>
    <col min="1" max="1" width="17.33203125" customWidth="1"/>
    <col min="2" max="2" width="12" bestFit="1" customWidth="1"/>
    <col min="3" max="5" width="12.5" bestFit="1" customWidth="1"/>
    <col min="8" max="8" width="12.5" bestFit="1" customWidth="1"/>
    <col min="14" max="14" width="11.83203125" customWidth="1"/>
    <col min="17" max="17" width="12.1640625" customWidth="1"/>
    <col min="19" max="19" width="15.5" customWidth="1"/>
  </cols>
  <sheetData>
    <row r="2" spans="1:20">
      <c r="A2" t="s">
        <v>316</v>
      </c>
      <c r="B2" t="s">
        <v>302</v>
      </c>
      <c r="C2" t="s">
        <v>54</v>
      </c>
      <c r="D2" t="s">
        <v>55</v>
      </c>
      <c r="E2" t="s">
        <v>57</v>
      </c>
      <c r="F2" t="s">
        <v>36</v>
      </c>
      <c r="G2" t="s">
        <v>127</v>
      </c>
      <c r="H2" t="s">
        <v>329</v>
      </c>
      <c r="I2" t="s">
        <v>332</v>
      </c>
      <c r="J2" t="s">
        <v>314</v>
      </c>
      <c r="K2" t="s">
        <v>336</v>
      </c>
      <c r="L2" t="s">
        <v>313</v>
      </c>
      <c r="M2" t="s">
        <v>324</v>
      </c>
      <c r="N2" t="s">
        <v>379</v>
      </c>
    </row>
    <row r="3" spans="1:20">
      <c r="A3" t="s">
        <v>319</v>
      </c>
      <c r="B3">
        <f>Css</f>
        <v>5.0000000000000011E-8</v>
      </c>
      <c r="C3">
        <f>Cc1ea</f>
        <v>6.5526818119667827E-10</v>
      </c>
      <c r="D3">
        <f>Cc2ea</f>
        <v>5.8768446744096718E-12</v>
      </c>
      <c r="E3">
        <f>Cc3ea</f>
        <v>1.5869562164814668E-10</v>
      </c>
      <c r="F3">
        <f>Cout</f>
        <v>1.2E-4</v>
      </c>
      <c r="G3">
        <f>Cin</f>
        <v>1E-4</v>
      </c>
      <c r="H3">
        <f>Csideal</f>
        <v>2.2000000000000001E-7</v>
      </c>
      <c r="I3">
        <f>Cdd</f>
        <v>0</v>
      </c>
      <c r="J3">
        <f>Csb</f>
        <v>0</v>
      </c>
      <c r="K3">
        <f>Csby</f>
        <v>100</v>
      </c>
      <c r="L3">
        <f>Cby</f>
        <v>0</v>
      </c>
      <c r="M3">
        <f>Cb</f>
        <v>0</v>
      </c>
      <c r="N3" t="e">
        <f>'Variable Management'!#REF!</f>
        <v>#REF!</v>
      </c>
      <c r="Q3" t="s">
        <v>321</v>
      </c>
      <c r="R3" t="s">
        <v>323</v>
      </c>
      <c r="S3" s="2" t="s">
        <v>318</v>
      </c>
    </row>
    <row r="4" spans="1:20" ht="14">
      <c r="A4" s="7" t="s">
        <v>318</v>
      </c>
      <c r="B4" s="7">
        <f>SUM(B6:B158)/1000000000000</f>
        <v>4.6999999999999997E-8</v>
      </c>
      <c r="C4" s="7">
        <f t="shared" ref="C4:H4" si="0">SUM(C6:C158)/1000000000000</f>
        <v>6.8000000000000003E-10</v>
      </c>
      <c r="D4" s="7">
        <f t="shared" si="0"/>
        <v>5.5999999999999996E-12</v>
      </c>
      <c r="E4" s="7">
        <f t="shared" si="0"/>
        <v>1.5E-10</v>
      </c>
      <c r="F4" s="7">
        <f t="shared" si="0"/>
        <v>1.2E-4</v>
      </c>
      <c r="G4" s="7">
        <f t="shared" si="0"/>
        <v>1E-4</v>
      </c>
      <c r="H4" s="7">
        <f t="shared" si="0"/>
        <v>2.2000000000000001E-7</v>
      </c>
      <c r="I4" s="7">
        <f t="shared" ref="I4:N4" si="1">IF(I3="OPEN","OPEN",SUM(I6:I158)/1000000000000)</f>
        <v>0</v>
      </c>
      <c r="J4" s="7">
        <f t="shared" si="1"/>
        <v>0</v>
      </c>
      <c r="K4" s="7">
        <f t="shared" si="1"/>
        <v>0</v>
      </c>
      <c r="L4" s="7">
        <f t="shared" si="1"/>
        <v>0</v>
      </c>
      <c r="M4" s="7">
        <f t="shared" si="1"/>
        <v>0</v>
      </c>
      <c r="N4" s="7" t="e">
        <f t="shared" si="1"/>
        <v>#REF!</v>
      </c>
      <c r="Q4" t="s">
        <v>322</v>
      </c>
      <c r="R4">
        <f>Rfadj</f>
        <v>12637.332740557369</v>
      </c>
      <c r="S4" s="2">
        <f t="shared" ref="S4:S9" si="2">IF(R4&gt;(INT(0.5+100*POWER(10,IF(96*(LOG(R4)-INT(LOG(R4)))-ROUND(96*(LOG(R4)-INT(LOG(R4))),0)&lt;0,ROUND(96*(LOG(R4)-INT(LOG(R4))),0)-1,ROUND(96*(LOG(R4)-INT(LOG(R4))),0))/96))*POWER(10,INT(LOG(R4))-2)+INT(0.5+100*POWER(10,(IF(96*(LOG(R4)-INT(LOG(R4)))-ROUND(96*(LOG(R4)-INT(LOG(R4))),0)&lt;0,ROUND(96*(LOG(R4)-INT(LOG(R4))),0)-1,ROUND(96*(LOG(R4)-INT(LOG(R4))),0))+1)/96))*POWER(10,INT(LOG(R4))-2))/2,INT(0.5+100*POWER(10,(IF(96*(LOG(R4)-INT(LOG(R4)))-ROUND(96*(LOG(R4)-INT(LOG(R4))),0)&lt;0,ROUND(96*(LOG(R4)-INT(LOG(R4))),0)-1,ROUND(96*(LOG(R4)-INT(LOG(R4))),0))+1)/96))*POWER(10,INT(LOG(R4))-2),INT(0.5+100*POWER(10,IF(96*(LOG(R4)-INT(LOG(R4)))-ROUND(96*(LOG(R4)-INT(LOG(R4))),0)&lt;0,ROUND(96*(LOG(R4)-INT(LOG(R4))),0)-1,ROUND(96*(LOG(R4)-INT(LOG(R4))),0))/96))*POWER(10,INT(LOG(R4))-2))</f>
        <v>12700</v>
      </c>
      <c r="T4" s="74" t="s">
        <v>619</v>
      </c>
    </row>
    <row r="5" spans="1:20" ht="14">
      <c r="A5" t="s">
        <v>317</v>
      </c>
      <c r="Q5" t="s">
        <v>327</v>
      </c>
      <c r="R5">
        <f>Rset</f>
        <v>1430</v>
      </c>
      <c r="S5" s="2">
        <f t="shared" si="2"/>
        <v>1430</v>
      </c>
      <c r="T5" s="74" t="s">
        <v>619</v>
      </c>
    </row>
    <row r="6" spans="1:20" ht="14">
      <c r="A6">
        <v>0.47</v>
      </c>
      <c r="B6">
        <f>IF(IF((B$3*10^12-$A7)*(B$3*10^12-$A6)*-1&lt;0,0,1)*IF(ABS(B$3*10^12-$A7)&gt;(B$3*10^12-$A6),$A6,$A7)=B7,0,IF((B$3*10^12-$A7)*(B$3*10^12-$A6)*-1&lt;0,0,1)*IF(ABS(B$3*10^12-$A7)&gt;(B$3*10^12-$A6),$A6,$A7))</f>
        <v>0</v>
      </c>
      <c r="C6">
        <f>IF(IF((C$3*10^12-$A7)*(C$3*10^12-$A6)*-1&lt;0,0,1)*IF(ABS(C$3*10^12-$A7)&gt;(C$3*10^12-$A6),$A6,$A7)=C7,0,IF((C$3*10^12-$A7)*(C$3*10^12-$A6)*-1&lt;0,0,1)*IF(ABS(C$3*10^12-$A7)&gt;(C$3*10^12-$A6),$A6,$A7))</f>
        <v>0</v>
      </c>
      <c r="D6">
        <f t="shared" ref="D6:D69" si="3">IF(IF((D$3*10^12-$A7)*(D$3*10^12-$A6)*-1&lt;0,0,1)*IF(ABS(D$3*10^12-$A7)&gt;(D$3*10^12-$A6),$A6,$A7)=D7,0,IF((D$3*10^12-$A7)*(D$3*10^12-$A6)*-1&lt;0,0,1)*IF(ABS(D$3*10^12-$A7)&gt;(D$3*10^12-$A6),$A6,$A7))</f>
        <v>0</v>
      </c>
      <c r="E6">
        <f t="shared" ref="E6:E69" si="4">IF(IF((E$3*10^12-$A7)*(E$3*10^12-$A6)*-1&lt;0,0,1)*IF(ABS(E$3*10^12-$A7)&gt;(E$3*10^12-$A6),$A6,$A7)=E7,0,IF((E$3*10^12-$A7)*(E$3*10^12-$A6)*-1&lt;0,0,1)*IF(ABS(E$3*10^12-$A7)&gt;(E$3*10^12-$A6),$A6,$A7))</f>
        <v>0</v>
      </c>
      <c r="F6">
        <f t="shared" ref="F6:F69" si="5">IF(IF((F$3*10^12-$A7)*(F$3*10^12-$A6)*-1&lt;0,0,1)*IF(ABS(F$3*10^12-$A7)&gt;(F$3*10^12-$A6),$A6,$A7)=F7,0,IF((F$3*10^12-$A7)*(F$3*10^12-$A6)*-1&lt;0,0,1)*IF(ABS(F$3*10^12-$A7)&gt;(F$3*10^12-$A6),$A6,$A7))</f>
        <v>0</v>
      </c>
      <c r="G6">
        <f t="shared" ref="G6:G69" si="6">IF(IF((G$3*10^12-$A7)*(G$3*10^12-$A6)*-1&lt;0,0,1)*IF(ABS(G$3*10^12-$A7)&gt;(G$3*10^12-$A6),$A6,$A7)=G7,0,IF((G$3*10^12-$A7)*(G$3*10^12-$A6)*-1&lt;0,0,1)*IF(ABS(G$3*10^12-$A7)&gt;(G$3*10^12-$A6),$A6,$A7))</f>
        <v>0</v>
      </c>
      <c r="H6">
        <f t="shared" ref="H6:K69" si="7">IF(IF((H$3*10^12-$A7)*(H$3*10^12-$A6)*-1&lt;0,0,1)*IF(ABS(H$3*10^12-$A7)&gt;(H$3*10^12-$A6),$A6,$A7)=H7,0,IF((H$3*10^12-$A7)*(H$3*10^12-$A6)*-1&lt;0,0,1)*IF(ABS(H$3*10^12-$A7)&gt;(H$3*10^12-$A6),$A6,$A7))</f>
        <v>0</v>
      </c>
      <c r="I6">
        <f t="shared" si="7"/>
        <v>0</v>
      </c>
      <c r="J6">
        <f t="shared" si="7"/>
        <v>0</v>
      </c>
      <c r="K6">
        <f t="shared" si="7"/>
        <v>0</v>
      </c>
      <c r="L6">
        <f t="shared" ref="L6:L69" si="8">IF(IF((L$3*10^12-$A7)*(L$3*10^12-$A6)*-1&lt;0,0,1)*IF(ABS(L$3*10^12-$A7)&gt;(L$3*10^12-$A6),$A6,$A7)=L7,0,IF((L$3*10^12-$A7)*(L$3*10^12-$A6)*-1&lt;0,0,1)*IF(ABS(L$3*10^12-$A7)&gt;(L$3*10^12-$A6),$A6,$A7))</f>
        <v>0</v>
      </c>
      <c r="M6">
        <f t="shared" ref="M6:M37" si="9">IF(IF((M$3*10^12-$A7)*(M$3*10^12-$A6)*-1&lt;0,0,1)*IF(ABS(M$3*10^12-$A7)&gt;(M$3*10^12-$A6),$A6,$A7)=M7,0,IF((M$3*10^12-$A7)*(M$3*10^12-$A6)*-1&lt;0,0,1)*IF(ABS(M$3*10^12-$A7)&gt;(M$3*10^12-$A6),$A6,$A7))</f>
        <v>0</v>
      </c>
      <c r="N6" t="e">
        <f t="shared" ref="N6:N37" si="10">IF(IF((N$3*10^12-$A7)*(N$3*10^12-$A6)*-1&lt;0,0,1)*IF(ABS(N$3*10^12-$A7)&gt;(N$3*10^12-$A6),$A6,$A7)=N7,0,IF((N$3*10^12-$A7)*(N$3*10^12-$A6)*-1&lt;0,0,1)*IF(ABS(N$3*10^12-$A7)&gt;(N$3*10^12-$A6),$A6,$A7))</f>
        <v>#REF!</v>
      </c>
      <c r="Q6" t="s">
        <v>330</v>
      </c>
      <c r="R6">
        <f>Rsideal</f>
        <v>7343.7499999999991</v>
      </c>
      <c r="S6" s="2">
        <f t="shared" si="2"/>
        <v>7320</v>
      </c>
      <c r="T6" s="74" t="s">
        <v>619</v>
      </c>
    </row>
    <row r="7" spans="1:20" ht="14">
      <c r="A7">
        <v>0.56000000000000005</v>
      </c>
      <c r="B7">
        <f t="shared" ref="B7:B70" si="11">IF(IF((B$3*10^12-$A8)*(B$3*10^12-$A7)*-1&lt;0,0,1)*IF(ABS(B$3*10^12-$A8)&gt;(B$3*10^12-$A7),$A7,$A8)=B8,0,IF((B$3*10^12-$A8)*(B$3*10^12-$A7)*-1&lt;0,0,1)*IF(ABS(B$3*10^12-$A8)&gt;(B$3*10^12-$A7),$A7,$A8))</f>
        <v>0</v>
      </c>
      <c r="C7">
        <f t="shared" ref="C7:C38" si="12">IF(IF((C$3*10^12-$A8)*(C$3*10^12-$A7)*-1&lt;0,0,1)*IF(ABS(C$3*10^12-$A8)&gt;(C$3*10^12-$A7),$A7,$A8)=C8,0,IF((C$3*10^12-$A8)*(C$3*10^12-$A7)*-1&lt;0,0,1)*IF(ABS(C$3*10^12-$A8)&gt;(C$3*10^12-$A7),$A7,$A8))</f>
        <v>0</v>
      </c>
      <c r="D7">
        <f t="shared" si="3"/>
        <v>0</v>
      </c>
      <c r="E7">
        <f t="shared" si="4"/>
        <v>0</v>
      </c>
      <c r="F7">
        <f t="shared" si="5"/>
        <v>0</v>
      </c>
      <c r="G7">
        <f t="shared" si="6"/>
        <v>0</v>
      </c>
      <c r="H7">
        <f t="shared" si="7"/>
        <v>0</v>
      </c>
      <c r="I7">
        <f t="shared" si="7"/>
        <v>0</v>
      </c>
      <c r="J7">
        <f t="shared" si="7"/>
        <v>0</v>
      </c>
      <c r="K7">
        <f t="shared" si="7"/>
        <v>0</v>
      </c>
      <c r="L7">
        <f t="shared" si="8"/>
        <v>0</v>
      </c>
      <c r="M7">
        <f t="shared" si="9"/>
        <v>0</v>
      </c>
      <c r="N7" t="e">
        <f t="shared" si="10"/>
        <v>#REF!</v>
      </c>
      <c r="Q7" t="s">
        <v>357</v>
      </c>
      <c r="R7">
        <f>Rcea1</f>
        <v>30360.650005754309</v>
      </c>
      <c r="S7" s="2">
        <f t="shared" si="2"/>
        <v>30100</v>
      </c>
      <c r="T7" s="74" t="s">
        <v>619</v>
      </c>
    </row>
    <row r="8" spans="1:20" ht="14">
      <c r="A8">
        <v>0.68</v>
      </c>
      <c r="B8">
        <f t="shared" si="11"/>
        <v>0</v>
      </c>
      <c r="C8">
        <f t="shared" si="12"/>
        <v>0</v>
      </c>
      <c r="D8">
        <f t="shared" si="3"/>
        <v>0</v>
      </c>
      <c r="E8">
        <f t="shared" si="4"/>
        <v>0</v>
      </c>
      <c r="F8">
        <f t="shared" si="5"/>
        <v>0</v>
      </c>
      <c r="G8">
        <f t="shared" si="6"/>
        <v>0</v>
      </c>
      <c r="H8">
        <f t="shared" si="7"/>
        <v>0</v>
      </c>
      <c r="I8">
        <f t="shared" si="7"/>
        <v>0</v>
      </c>
      <c r="J8">
        <f t="shared" si="7"/>
        <v>0</v>
      </c>
      <c r="K8">
        <f t="shared" si="7"/>
        <v>0</v>
      </c>
      <c r="L8">
        <f t="shared" si="8"/>
        <v>0</v>
      </c>
      <c r="M8">
        <f t="shared" si="9"/>
        <v>0</v>
      </c>
      <c r="N8" t="e">
        <f t="shared" si="10"/>
        <v>#REF!</v>
      </c>
      <c r="Q8" t="s">
        <v>358</v>
      </c>
      <c r="R8">
        <f>Rcea2</f>
        <v>716.35311143270633</v>
      </c>
      <c r="S8" s="2">
        <f t="shared" si="2"/>
        <v>715</v>
      </c>
      <c r="T8" s="74" t="s">
        <v>619</v>
      </c>
    </row>
    <row r="9" spans="1:20" ht="14">
      <c r="A9">
        <v>0.82</v>
      </c>
      <c r="B9">
        <f t="shared" si="11"/>
        <v>0</v>
      </c>
      <c r="C9">
        <f t="shared" si="12"/>
        <v>0</v>
      </c>
      <c r="D9">
        <f t="shared" si="3"/>
        <v>0</v>
      </c>
      <c r="E9">
        <f t="shared" si="4"/>
        <v>0</v>
      </c>
      <c r="F9">
        <f t="shared" si="5"/>
        <v>0</v>
      </c>
      <c r="G9">
        <f t="shared" si="6"/>
        <v>0</v>
      </c>
      <c r="H9">
        <f t="shared" si="7"/>
        <v>0</v>
      </c>
      <c r="I9">
        <f t="shared" si="7"/>
        <v>0</v>
      </c>
      <c r="J9">
        <f t="shared" si="7"/>
        <v>0</v>
      </c>
      <c r="K9">
        <f t="shared" si="7"/>
        <v>0</v>
      </c>
      <c r="L9">
        <f t="shared" si="8"/>
        <v>0</v>
      </c>
      <c r="M9">
        <f t="shared" si="9"/>
        <v>0</v>
      </c>
      <c r="N9" t="e">
        <f t="shared" si="10"/>
        <v>#REF!</v>
      </c>
      <c r="Q9" t="s">
        <v>52</v>
      </c>
      <c r="R9">
        <f>_Rfb1</f>
        <v>55000</v>
      </c>
      <c r="S9" s="2">
        <f t="shared" si="2"/>
        <v>54900</v>
      </c>
      <c r="T9" s="74" t="s">
        <v>619</v>
      </c>
    </row>
    <row r="10" spans="1:20" ht="14">
      <c r="A10">
        <v>1</v>
      </c>
      <c r="B10">
        <f t="shared" si="11"/>
        <v>0</v>
      </c>
      <c r="C10">
        <f t="shared" si="12"/>
        <v>0</v>
      </c>
      <c r="D10">
        <f t="shared" si="3"/>
        <v>0</v>
      </c>
      <c r="E10">
        <f t="shared" si="4"/>
        <v>0</v>
      </c>
      <c r="F10">
        <f t="shared" si="5"/>
        <v>0</v>
      </c>
      <c r="G10">
        <f t="shared" si="6"/>
        <v>0</v>
      </c>
      <c r="H10">
        <f t="shared" si="7"/>
        <v>0</v>
      </c>
      <c r="I10">
        <f t="shared" si="7"/>
        <v>0</v>
      </c>
      <c r="J10">
        <f t="shared" si="7"/>
        <v>0</v>
      </c>
      <c r="K10">
        <f t="shared" si="7"/>
        <v>0</v>
      </c>
      <c r="L10">
        <f t="shared" si="8"/>
        <v>0</v>
      </c>
      <c r="M10">
        <f t="shared" si="9"/>
        <v>0</v>
      </c>
      <c r="N10" t="e">
        <f t="shared" si="10"/>
        <v>#REF!</v>
      </c>
      <c r="Q10" t="s">
        <v>77</v>
      </c>
      <c r="R10">
        <f>_Rfb2</f>
        <v>5365.8536585365846</v>
      </c>
      <c r="S10" s="2">
        <f>IF(R10="OPEN","OPEN",IF(R10&gt;(INT(0.5+100*POWER(10,IF(96*(LOG(R10)-INT(LOG(R10)))-ROUND(96*(LOG(R10)-INT(LOG(R10))),0)&lt;0,ROUND(96*(LOG(R10)-INT(LOG(R10))),0)-1,ROUND(96*(LOG(R10)-INT(LOG(R10))),0))/96))*POWER(10,INT(LOG(R10))-2)+INT(0.5+100*POWER(10,(IF(96*(LOG(R10)-INT(LOG(R10)))-ROUND(96*(LOG(R10)-INT(LOG(R10))),0)&lt;0,ROUND(96*(LOG(R10)-INT(LOG(R10))),0)-1,ROUND(96*(LOG(R10)-INT(LOG(R10))),0))+1)/96))*POWER(10,INT(LOG(R10))-2))/2,INT(0.5+100*POWER(10,(IF(96*(LOG(R10)-INT(LOG(R10)))-ROUND(96*(LOG(R10)-INT(LOG(R10))),0)&lt;0,ROUND(96*(LOG(R10)-INT(LOG(R10))),0)-1,ROUND(96*(LOG(R10)-INT(LOG(R10))),0))+1)/96))*POWER(10,INT(LOG(R10))-2),INT(0.5+100*POWER(10,IF(96*(LOG(R10)-INT(LOG(R10)))-ROUND(96*(LOG(R10)-INT(LOG(R10))),0)&lt;0,ROUND(96*(LOG(R10)-INT(LOG(R10))),0)-1,ROUND(96*(LOG(R10)-INT(LOG(R10))),0))/96))*POWER(10,INT(LOG(R10))-2)))</f>
        <v>5360</v>
      </c>
      <c r="T10" s="74" t="s">
        <v>619</v>
      </c>
    </row>
    <row r="11" spans="1:20">
      <c r="A11">
        <v>1.2</v>
      </c>
      <c r="B11">
        <f t="shared" si="11"/>
        <v>0</v>
      </c>
      <c r="C11">
        <f t="shared" si="12"/>
        <v>0</v>
      </c>
      <c r="D11">
        <f t="shared" si="3"/>
        <v>0</v>
      </c>
      <c r="E11">
        <f t="shared" si="4"/>
        <v>0</v>
      </c>
      <c r="F11">
        <f t="shared" si="5"/>
        <v>0</v>
      </c>
      <c r="G11">
        <f t="shared" si="6"/>
        <v>0</v>
      </c>
      <c r="H11">
        <f t="shared" si="7"/>
        <v>0</v>
      </c>
      <c r="I11">
        <f t="shared" si="7"/>
        <v>0</v>
      </c>
      <c r="J11">
        <f t="shared" si="7"/>
        <v>0</v>
      </c>
      <c r="K11">
        <f t="shared" si="7"/>
        <v>0</v>
      </c>
      <c r="L11">
        <f t="shared" si="8"/>
        <v>0</v>
      </c>
      <c r="M11">
        <f t="shared" si="9"/>
        <v>0</v>
      </c>
      <c r="N11" t="e">
        <f t="shared" si="10"/>
        <v>#REF!</v>
      </c>
      <c r="Q11" t="s">
        <v>325</v>
      </c>
      <c r="R11">
        <f>_Rs1</f>
        <v>0</v>
      </c>
      <c r="S11" s="2"/>
    </row>
    <row r="12" spans="1:20">
      <c r="A12">
        <v>1.5</v>
      </c>
      <c r="B12">
        <f t="shared" si="11"/>
        <v>0</v>
      </c>
      <c r="C12">
        <f t="shared" si="12"/>
        <v>0</v>
      </c>
      <c r="D12">
        <f t="shared" si="3"/>
        <v>0</v>
      </c>
      <c r="E12">
        <f t="shared" si="4"/>
        <v>0</v>
      </c>
      <c r="F12">
        <f t="shared" si="5"/>
        <v>0</v>
      </c>
      <c r="G12">
        <f t="shared" si="6"/>
        <v>0</v>
      </c>
      <c r="H12">
        <f t="shared" si="7"/>
        <v>0</v>
      </c>
      <c r="I12">
        <f t="shared" si="7"/>
        <v>0</v>
      </c>
      <c r="J12">
        <f t="shared" si="7"/>
        <v>0</v>
      </c>
      <c r="K12">
        <f t="shared" si="7"/>
        <v>0</v>
      </c>
      <c r="L12">
        <f t="shared" si="8"/>
        <v>0</v>
      </c>
      <c r="M12">
        <f t="shared" si="9"/>
        <v>0</v>
      </c>
      <c r="N12" t="e">
        <f t="shared" si="10"/>
        <v>#REF!</v>
      </c>
      <c r="Q12" t="s">
        <v>326</v>
      </c>
      <c r="R12">
        <f>_Rs2</f>
        <v>0</v>
      </c>
      <c r="S12" s="2"/>
    </row>
    <row r="13" spans="1:20">
      <c r="A13">
        <v>1.8</v>
      </c>
      <c r="B13">
        <f t="shared" si="11"/>
        <v>0</v>
      </c>
      <c r="C13">
        <f t="shared" si="12"/>
        <v>0</v>
      </c>
      <c r="D13">
        <f t="shared" si="3"/>
        <v>0</v>
      </c>
      <c r="E13">
        <f t="shared" si="4"/>
        <v>0</v>
      </c>
      <c r="F13">
        <f t="shared" si="5"/>
        <v>0</v>
      </c>
      <c r="G13">
        <f t="shared" si="6"/>
        <v>0</v>
      </c>
      <c r="H13">
        <f t="shared" si="7"/>
        <v>0</v>
      </c>
      <c r="I13">
        <f t="shared" si="7"/>
        <v>0</v>
      </c>
      <c r="J13">
        <f t="shared" si="7"/>
        <v>0</v>
      </c>
      <c r="K13">
        <f t="shared" si="7"/>
        <v>0</v>
      </c>
      <c r="L13">
        <f t="shared" si="8"/>
        <v>0</v>
      </c>
      <c r="M13">
        <f t="shared" si="9"/>
        <v>0</v>
      </c>
      <c r="N13" t="e">
        <f t="shared" si="10"/>
        <v>#REF!</v>
      </c>
      <c r="Q13" t="s">
        <v>327</v>
      </c>
      <c r="R13">
        <f>_Rs3</f>
        <v>0</v>
      </c>
      <c r="S13" s="2"/>
    </row>
    <row r="14" spans="1:20">
      <c r="A14">
        <v>2.2000000000000002</v>
      </c>
      <c r="B14">
        <f t="shared" si="11"/>
        <v>0</v>
      </c>
      <c r="C14">
        <f t="shared" si="12"/>
        <v>0</v>
      </c>
      <c r="D14">
        <f t="shared" si="3"/>
        <v>0</v>
      </c>
      <c r="E14">
        <f t="shared" si="4"/>
        <v>0</v>
      </c>
      <c r="F14">
        <f t="shared" si="5"/>
        <v>0</v>
      </c>
      <c r="G14">
        <f t="shared" si="6"/>
        <v>0</v>
      </c>
      <c r="H14">
        <f t="shared" si="7"/>
        <v>0</v>
      </c>
      <c r="I14">
        <f t="shared" si="7"/>
        <v>0</v>
      </c>
      <c r="J14">
        <f t="shared" si="7"/>
        <v>0</v>
      </c>
      <c r="K14">
        <f t="shared" si="7"/>
        <v>0</v>
      </c>
      <c r="L14">
        <f t="shared" si="8"/>
        <v>0</v>
      </c>
      <c r="M14">
        <f t="shared" si="9"/>
        <v>0</v>
      </c>
      <c r="N14" t="e">
        <f t="shared" si="10"/>
        <v>#REF!</v>
      </c>
      <c r="S14" s="2"/>
    </row>
    <row r="15" spans="1:20" ht="14">
      <c r="A15">
        <v>2.7</v>
      </c>
      <c r="B15">
        <f t="shared" si="11"/>
        <v>0</v>
      </c>
      <c r="C15">
        <f t="shared" si="12"/>
        <v>0</v>
      </c>
      <c r="D15">
        <f t="shared" si="3"/>
        <v>0</v>
      </c>
      <c r="E15">
        <f t="shared" si="4"/>
        <v>0</v>
      </c>
      <c r="F15">
        <f t="shared" si="5"/>
        <v>0</v>
      </c>
      <c r="G15">
        <f t="shared" si="6"/>
        <v>0</v>
      </c>
      <c r="H15">
        <f t="shared" si="7"/>
        <v>0</v>
      </c>
      <c r="I15">
        <f t="shared" si="7"/>
        <v>0</v>
      </c>
      <c r="J15">
        <f t="shared" si="7"/>
        <v>0</v>
      </c>
      <c r="K15">
        <f t="shared" si="7"/>
        <v>0</v>
      </c>
      <c r="L15">
        <f t="shared" si="8"/>
        <v>0</v>
      </c>
      <c r="M15">
        <f t="shared" si="9"/>
        <v>0</v>
      </c>
      <c r="N15" t="e">
        <f t="shared" si="10"/>
        <v>#REF!</v>
      </c>
      <c r="Q15" s="222" t="s">
        <v>599</v>
      </c>
      <c r="R15">
        <f>Ruvlo1</f>
        <v>142.69073966220154</v>
      </c>
      <c r="S15" s="2">
        <f>IF(R15="OPEN","OPEN",IF(R15&gt;(INT(0.5+100*POWER(10,IF(96*(LOG(R15)-INT(LOG(R15)))-ROUND(96*(LOG(R15)-INT(LOG(R15))),0)&lt;0,ROUND(96*(LOG(R15)-INT(LOG(R15))),0)-1,ROUND(96*(LOG(R15)-INT(LOG(R15))),0))/96))*POWER(10,INT(LOG(R15))-2)+INT(0.5+100*POWER(10,(IF(96*(LOG(R15)-INT(LOG(R15)))-ROUND(96*(LOG(R15)-INT(LOG(R15))),0)&lt;0,ROUND(96*(LOG(R15)-INT(LOG(R15))),0)-1,ROUND(96*(LOG(R15)-INT(LOG(R15))),0))+1)/96))*POWER(10,INT(LOG(R15))-2))/2,INT(0.5+100*POWER(10,(IF(96*(LOG(R15)-INT(LOG(R15)))-ROUND(96*(LOG(R15)-INT(LOG(R15))),0)&lt;0,ROUND(96*(LOG(R15)-INT(LOG(R15))),0)-1,ROUND(96*(LOG(R15)-INT(LOG(R15))),0))+1)/96))*POWER(10,INT(LOG(R15))-2),INT(0.5+100*POWER(10,IF(96*(LOG(R15)-INT(LOG(R15)))-ROUND(96*(LOG(R15)-INT(LOG(R15))),0)&lt;0,ROUND(96*(LOG(R15)-INT(LOG(R15))),0)-1,ROUND(96*(LOG(R15)-INT(LOG(R15))),0))/96))*POWER(10,INT(LOG(R15))-2)))</f>
        <v>143</v>
      </c>
      <c r="T15" s="74" t="s">
        <v>538</v>
      </c>
    </row>
    <row r="16" spans="1:20" ht="14">
      <c r="A16">
        <v>3.3</v>
      </c>
      <c r="B16">
        <f t="shared" si="11"/>
        <v>0</v>
      </c>
      <c r="C16">
        <f t="shared" si="12"/>
        <v>0</v>
      </c>
      <c r="D16">
        <f t="shared" si="3"/>
        <v>0</v>
      </c>
      <c r="E16">
        <f t="shared" si="4"/>
        <v>0</v>
      </c>
      <c r="F16">
        <f t="shared" si="5"/>
        <v>0</v>
      </c>
      <c r="G16">
        <f t="shared" si="6"/>
        <v>0</v>
      </c>
      <c r="H16">
        <f t="shared" si="7"/>
        <v>0</v>
      </c>
      <c r="I16">
        <f t="shared" si="7"/>
        <v>0</v>
      </c>
      <c r="J16">
        <f t="shared" si="7"/>
        <v>0</v>
      </c>
      <c r="K16">
        <f t="shared" si="7"/>
        <v>0</v>
      </c>
      <c r="L16">
        <f t="shared" si="8"/>
        <v>0</v>
      </c>
      <c r="M16">
        <f t="shared" si="9"/>
        <v>0</v>
      </c>
      <c r="N16" t="e">
        <f t="shared" si="10"/>
        <v>#REF!</v>
      </c>
      <c r="Q16" s="222" t="s">
        <v>600</v>
      </c>
      <c r="R16">
        <f>Ruvlo2</f>
        <v>14.806187059036363</v>
      </c>
      <c r="S16" s="2">
        <f>IF(R16="OPEN","OPEN",IF(R16&gt;(INT(0.5+100*POWER(10,IF(96*(LOG(R16)-INT(LOG(R16)))-ROUND(96*(LOG(R16)-INT(LOG(R16))),0)&lt;0,ROUND(96*(LOG(R16)-INT(LOG(R16))),0)-1,ROUND(96*(LOG(R16)-INT(LOG(R16))),0))/96))*POWER(10,INT(LOG(R16))-2)+INT(0.5+100*POWER(10,(IF(96*(LOG(R16)-INT(LOG(R16)))-ROUND(96*(LOG(R16)-INT(LOG(R16))),0)&lt;0,ROUND(96*(LOG(R16)-INT(LOG(R16))),0)-1,ROUND(96*(LOG(R16)-INT(LOG(R16))),0))+1)/96))*POWER(10,INT(LOG(R16))-2))/2,INT(0.5+100*POWER(10,(IF(96*(LOG(R16)-INT(LOG(R16)))-ROUND(96*(LOG(R16)-INT(LOG(R16))),0)&lt;0,ROUND(96*(LOG(R16)-INT(LOG(R16))),0)-1,ROUND(96*(LOG(R16)-INT(LOG(R16))),0))+1)/96))*POWER(10,INT(LOG(R16))-2),INT(0.5+100*POWER(10,IF(96*(LOG(R16)-INT(LOG(R16)))-ROUND(96*(LOG(R16)-INT(LOG(R16))),0)&lt;0,ROUND(96*(LOG(R16)-INT(LOG(R16))),0)-1,ROUND(96*(LOG(R16)-INT(LOG(R16))),0))/96))*POWER(10,INT(LOG(R16))-2)))</f>
        <v>14.700000000000001</v>
      </c>
      <c r="T16" s="74" t="s">
        <v>538</v>
      </c>
    </row>
    <row r="17" spans="1:20">
      <c r="A17">
        <v>3.9</v>
      </c>
      <c r="B17">
        <f t="shared" si="11"/>
        <v>0</v>
      </c>
      <c r="C17">
        <f t="shared" si="12"/>
        <v>0</v>
      </c>
      <c r="D17">
        <f t="shared" si="3"/>
        <v>0</v>
      </c>
      <c r="E17">
        <f t="shared" si="4"/>
        <v>0</v>
      </c>
      <c r="F17">
        <f t="shared" si="5"/>
        <v>0</v>
      </c>
      <c r="G17">
        <f t="shared" si="6"/>
        <v>0</v>
      </c>
      <c r="H17">
        <f t="shared" si="7"/>
        <v>0</v>
      </c>
      <c r="I17">
        <f t="shared" si="7"/>
        <v>0</v>
      </c>
      <c r="J17">
        <f t="shared" si="7"/>
        <v>0</v>
      </c>
      <c r="K17">
        <f t="shared" si="7"/>
        <v>0</v>
      </c>
      <c r="L17">
        <f t="shared" si="8"/>
        <v>0</v>
      </c>
      <c r="M17">
        <f t="shared" si="9"/>
        <v>0</v>
      </c>
      <c r="N17" t="e">
        <f t="shared" si="10"/>
        <v>#REF!</v>
      </c>
    </row>
    <row r="18" spans="1:20">
      <c r="A18">
        <v>4.7</v>
      </c>
      <c r="B18">
        <f t="shared" si="11"/>
        <v>0</v>
      </c>
      <c r="C18">
        <f t="shared" si="12"/>
        <v>0</v>
      </c>
      <c r="D18">
        <f t="shared" si="3"/>
        <v>0</v>
      </c>
      <c r="E18">
        <f t="shared" si="4"/>
        <v>0</v>
      </c>
      <c r="F18">
        <f t="shared" si="5"/>
        <v>0</v>
      </c>
      <c r="G18">
        <f t="shared" si="6"/>
        <v>0</v>
      </c>
      <c r="H18">
        <f t="shared" si="7"/>
        <v>0</v>
      </c>
      <c r="I18">
        <f t="shared" si="7"/>
        <v>0</v>
      </c>
      <c r="J18">
        <f t="shared" si="7"/>
        <v>0</v>
      </c>
      <c r="K18">
        <f t="shared" si="7"/>
        <v>0</v>
      </c>
      <c r="L18">
        <f t="shared" si="8"/>
        <v>0</v>
      </c>
      <c r="M18">
        <f t="shared" si="9"/>
        <v>0</v>
      </c>
      <c r="N18" t="e">
        <f t="shared" si="10"/>
        <v>#REF!</v>
      </c>
      <c r="S18" s="2"/>
    </row>
    <row r="19" spans="1:20">
      <c r="A19">
        <v>5.6</v>
      </c>
      <c r="B19">
        <f t="shared" si="11"/>
        <v>0</v>
      </c>
      <c r="C19">
        <f t="shared" si="12"/>
        <v>0</v>
      </c>
      <c r="D19">
        <f t="shared" si="3"/>
        <v>5.6</v>
      </c>
      <c r="E19">
        <f t="shared" si="4"/>
        <v>0</v>
      </c>
      <c r="F19">
        <f t="shared" si="5"/>
        <v>0</v>
      </c>
      <c r="G19">
        <f t="shared" si="6"/>
        <v>0</v>
      </c>
      <c r="H19">
        <f t="shared" si="7"/>
        <v>0</v>
      </c>
      <c r="I19">
        <f t="shared" si="7"/>
        <v>0</v>
      </c>
      <c r="J19">
        <f t="shared" si="7"/>
        <v>0</v>
      </c>
      <c r="K19">
        <f t="shared" si="7"/>
        <v>0</v>
      </c>
      <c r="L19">
        <f t="shared" si="8"/>
        <v>0</v>
      </c>
      <c r="M19">
        <f t="shared" si="9"/>
        <v>0</v>
      </c>
      <c r="N19" t="e">
        <f t="shared" si="10"/>
        <v>#REF!</v>
      </c>
      <c r="S19" s="2"/>
    </row>
    <row r="20" spans="1:20">
      <c r="A20">
        <v>6.8</v>
      </c>
      <c r="B20">
        <f t="shared" si="11"/>
        <v>0</v>
      </c>
      <c r="C20">
        <f t="shared" si="12"/>
        <v>0</v>
      </c>
      <c r="D20">
        <f t="shared" si="3"/>
        <v>0</v>
      </c>
      <c r="E20">
        <f t="shared" si="4"/>
        <v>0</v>
      </c>
      <c r="F20">
        <f t="shared" si="5"/>
        <v>0</v>
      </c>
      <c r="G20">
        <f t="shared" si="6"/>
        <v>0</v>
      </c>
      <c r="H20">
        <f t="shared" si="7"/>
        <v>0</v>
      </c>
      <c r="I20">
        <f t="shared" si="7"/>
        <v>0</v>
      </c>
      <c r="J20">
        <f t="shared" si="7"/>
        <v>0</v>
      </c>
      <c r="K20">
        <f t="shared" si="7"/>
        <v>0</v>
      </c>
      <c r="L20">
        <f t="shared" si="8"/>
        <v>0</v>
      </c>
      <c r="M20">
        <f t="shared" si="9"/>
        <v>0</v>
      </c>
      <c r="N20" t="e">
        <f t="shared" si="10"/>
        <v>#REF!</v>
      </c>
      <c r="S20" s="2"/>
    </row>
    <row r="21" spans="1:20" ht="14">
      <c r="A21">
        <v>8.1999999999999993</v>
      </c>
      <c r="B21">
        <f t="shared" si="11"/>
        <v>0</v>
      </c>
      <c r="C21">
        <f t="shared" si="12"/>
        <v>0</v>
      </c>
      <c r="D21">
        <f t="shared" si="3"/>
        <v>0</v>
      </c>
      <c r="E21">
        <f t="shared" si="4"/>
        <v>0</v>
      </c>
      <c r="F21">
        <f t="shared" si="5"/>
        <v>0</v>
      </c>
      <c r="G21">
        <f t="shared" si="6"/>
        <v>0</v>
      </c>
      <c r="H21">
        <f t="shared" si="7"/>
        <v>0</v>
      </c>
      <c r="I21">
        <f t="shared" si="7"/>
        <v>0</v>
      </c>
      <c r="J21">
        <f t="shared" si="7"/>
        <v>0</v>
      </c>
      <c r="K21">
        <f t="shared" si="7"/>
        <v>0</v>
      </c>
      <c r="L21">
        <f t="shared" si="8"/>
        <v>0</v>
      </c>
      <c r="M21">
        <f t="shared" si="9"/>
        <v>0</v>
      </c>
      <c r="N21" t="e">
        <f t="shared" si="10"/>
        <v>#REF!</v>
      </c>
      <c r="Q21" s="222" t="s">
        <v>453</v>
      </c>
      <c r="R21">
        <f>Rl</f>
        <v>84969.841269841272</v>
      </c>
      <c r="S21" s="2">
        <f>IF(R21=0,0,IF(R21&gt;(INT(0.5+100*POWER(10,IF(96*(LOG(R21)-INT(LOG(R21)))-ROUND(96*(LOG(R21)-INT(LOG(R21))),0)&lt;0,ROUND(96*(LOG(R21)-INT(LOG(R21))),0)-1,ROUND(96*(LOG(R21)-INT(LOG(R21))),0))/96))*POWER(10,INT(LOG(R21))-2)+INT(0.5+100*POWER(10,(IF(96*(LOG(R21)-INT(LOG(R21)))-ROUND(96*(LOG(R21)-INT(LOG(R21))),0)&lt;0,ROUND(96*(LOG(R21)-INT(LOG(R21))),0)-1,ROUND(96*(LOG(R21)-INT(LOG(R21))),0))+1)/96))*POWER(10,INT(LOG(R21))-2))/2,INT(0.5+100*POWER(10,(IF(96*(LOG(R21)-INT(LOG(R21)))-ROUND(96*(LOG(R21)-INT(LOG(R21))),0)&lt;0,ROUND(96*(LOG(R21)-INT(LOG(R21))),0)-1,ROUND(96*(LOG(R21)-INT(LOG(R21))),0))+1)/96))*POWER(10,INT(LOG(R21))-2),INT(0.5+100*POWER(10,IF(96*(LOG(R21)-INT(LOG(R21)))-ROUND(96*(LOG(R21)-INT(LOG(R21))),0)&lt;0,ROUND(96*(LOG(R21)-INT(LOG(R21))),0)-1,ROUND(96*(LOG(R21)-INT(LOG(R21))),0))/96))*POWER(10,INT(LOG(R21))-2)))</f>
        <v>84500</v>
      </c>
      <c r="T21" s="74" t="s">
        <v>619</v>
      </c>
    </row>
    <row r="22" spans="1:20" ht="14">
      <c r="A22">
        <v>10</v>
      </c>
      <c r="B22">
        <f t="shared" si="11"/>
        <v>0</v>
      </c>
      <c r="C22">
        <f t="shared" si="12"/>
        <v>0</v>
      </c>
      <c r="D22">
        <f t="shared" si="3"/>
        <v>0</v>
      </c>
      <c r="E22">
        <f t="shared" si="4"/>
        <v>0</v>
      </c>
      <c r="F22">
        <f t="shared" si="5"/>
        <v>0</v>
      </c>
      <c r="G22">
        <f t="shared" si="6"/>
        <v>0</v>
      </c>
      <c r="H22">
        <f t="shared" si="7"/>
        <v>0</v>
      </c>
      <c r="I22">
        <f t="shared" si="7"/>
        <v>0</v>
      </c>
      <c r="J22">
        <f t="shared" si="7"/>
        <v>0</v>
      </c>
      <c r="K22">
        <f t="shared" si="7"/>
        <v>0</v>
      </c>
      <c r="L22">
        <f t="shared" si="8"/>
        <v>0</v>
      </c>
      <c r="M22">
        <f t="shared" si="9"/>
        <v>0</v>
      </c>
      <c r="N22" t="e">
        <f t="shared" si="10"/>
        <v>#REF!</v>
      </c>
      <c r="Q22" s="222" t="s">
        <v>469</v>
      </c>
      <c r="R22">
        <f>Rsetideal</f>
        <v>1449.3782340590853</v>
      </c>
      <c r="S22" s="2">
        <f>IF(R22=0,0,IF(R22&gt;(INT(0.5+100*POWER(10,IF(96*(LOG(R22)-INT(LOG(R22)))-ROUND(96*(LOG(R22)-INT(LOG(R22))),0)&lt;0,ROUND(96*(LOG(R22)-INT(LOG(R22))),0)-1,ROUND(96*(LOG(R22)-INT(LOG(R22))),0))/96))*POWER(10,INT(LOG(R22))-2)+INT(0.5+100*POWER(10,(IF(96*(LOG(R22)-INT(LOG(R22)))-ROUND(96*(LOG(R22)-INT(LOG(R22))),0)&lt;0,ROUND(96*(LOG(R22)-INT(LOG(R22))),0)-1,ROUND(96*(LOG(R22)-INT(LOG(R22))),0))+1)/96))*POWER(10,INT(LOG(R22))-2))/2,INT(0.5+100*POWER(10,(IF(96*(LOG(R22)-INT(LOG(R22)))-ROUND(96*(LOG(R22)-INT(LOG(R22))),0)&lt;0,ROUND(96*(LOG(R22)-INT(LOG(R22))),0)-1,ROUND(96*(LOG(R22)-INT(LOG(R22))),0))+1)/96))*POWER(10,INT(LOG(R22))-2),INT(0.5+100*POWER(10,IF(96*(LOG(R22)-INT(LOG(R22)))-ROUND(96*(LOG(R22)-INT(LOG(R22))),0)&lt;0,ROUND(96*(LOG(R22)-INT(LOG(R22))),0)-1,ROUND(96*(LOG(R22)-INT(LOG(R22))),0))/96))*POWER(10,INT(LOG(R22))-2)))</f>
        <v>1430</v>
      </c>
      <c r="T22" s="74" t="s">
        <v>619</v>
      </c>
    </row>
    <row r="23" spans="1:20">
      <c r="A23">
        <v>12</v>
      </c>
      <c r="B23">
        <f t="shared" si="11"/>
        <v>0</v>
      </c>
      <c r="C23">
        <f t="shared" si="12"/>
        <v>0</v>
      </c>
      <c r="D23">
        <f t="shared" si="3"/>
        <v>0</v>
      </c>
      <c r="E23">
        <f t="shared" si="4"/>
        <v>0</v>
      </c>
      <c r="F23">
        <f t="shared" si="5"/>
        <v>0</v>
      </c>
      <c r="G23">
        <f t="shared" si="6"/>
        <v>0</v>
      </c>
      <c r="H23">
        <f t="shared" si="7"/>
        <v>0</v>
      </c>
      <c r="I23">
        <f t="shared" si="7"/>
        <v>0</v>
      </c>
      <c r="J23">
        <f t="shared" si="7"/>
        <v>0</v>
      </c>
      <c r="K23">
        <f t="shared" si="7"/>
        <v>0</v>
      </c>
      <c r="L23">
        <f t="shared" si="8"/>
        <v>0</v>
      </c>
      <c r="M23">
        <f t="shared" si="9"/>
        <v>0</v>
      </c>
      <c r="N23" t="e">
        <f t="shared" si="10"/>
        <v>#REF!</v>
      </c>
      <c r="S23" s="2"/>
    </row>
    <row r="24" spans="1:20" ht="14">
      <c r="A24">
        <v>15</v>
      </c>
      <c r="B24">
        <f t="shared" si="11"/>
        <v>0</v>
      </c>
      <c r="C24">
        <f t="shared" si="12"/>
        <v>0</v>
      </c>
      <c r="D24">
        <f t="shared" si="3"/>
        <v>0</v>
      </c>
      <c r="E24">
        <f t="shared" si="4"/>
        <v>0</v>
      </c>
      <c r="F24">
        <f t="shared" si="5"/>
        <v>0</v>
      </c>
      <c r="G24">
        <f t="shared" si="6"/>
        <v>0</v>
      </c>
      <c r="H24">
        <f t="shared" si="7"/>
        <v>0</v>
      </c>
      <c r="I24">
        <f t="shared" si="7"/>
        <v>0</v>
      </c>
      <c r="J24">
        <f t="shared" si="7"/>
        <v>0</v>
      </c>
      <c r="K24">
        <f t="shared" si="7"/>
        <v>0</v>
      </c>
      <c r="L24">
        <f t="shared" si="8"/>
        <v>0</v>
      </c>
      <c r="M24">
        <f t="shared" si="9"/>
        <v>0</v>
      </c>
      <c r="N24" t="e">
        <f t="shared" si="10"/>
        <v>#REF!</v>
      </c>
      <c r="Q24" s="222" t="s">
        <v>453</v>
      </c>
      <c r="R24">
        <f>Rotp</f>
        <v>84969.841269841272</v>
      </c>
      <c r="S24" s="2">
        <f>IF(R24=0,0,IF(R24&gt;(INT(0.5+100*POWER(10,IF(96*(LOG(R24)-INT(LOG(R24)))-ROUND(96*(LOG(R24)-INT(LOG(R24))),0)&lt;0,ROUND(96*(LOG(R24)-INT(LOG(R24))),0)-1,ROUND(96*(LOG(R24)-INT(LOG(R24))),0))/96))*POWER(10,INT(LOG(R24))-2)+INT(0.5+100*POWER(10,(IF(96*(LOG(R24)-INT(LOG(R24)))-ROUND(96*(LOG(R24)-INT(LOG(R24))),0)&lt;0,ROUND(96*(LOG(R24)-INT(LOG(R24))),0)-1,ROUND(96*(LOG(R24)-INT(LOG(R24))),0))+1)/96))*POWER(10,INT(LOG(R24))-2))/2,INT(0.5+100*POWER(10,(IF(96*(LOG(R24)-INT(LOG(R24)))-ROUND(96*(LOG(R24)-INT(LOG(R24))),0)&lt;0,ROUND(96*(LOG(R24)-INT(LOG(R24))),0)-1,ROUND(96*(LOG(R24)-INT(LOG(R24))),0))+1)/96))*POWER(10,INT(LOG(R24))-2),INT(0.5+100*POWER(10,IF(96*(LOG(R24)-INT(LOG(R24)))-ROUND(96*(LOG(R24)-INT(LOG(R24))),0)&lt;0,ROUND(96*(LOG(R24)-INT(LOG(R24))),0)-1,ROUND(96*(LOG(R24)-INT(LOG(R24))),0))/96))*POWER(10,INT(LOG(R24))-2)))</f>
        <v>84500</v>
      </c>
      <c r="T24" s="74" t="s">
        <v>619</v>
      </c>
    </row>
    <row r="25" spans="1:20">
      <c r="A25">
        <v>18</v>
      </c>
      <c r="B25">
        <f t="shared" si="11"/>
        <v>0</v>
      </c>
      <c r="C25">
        <f t="shared" si="12"/>
        <v>0</v>
      </c>
      <c r="D25">
        <f t="shared" si="3"/>
        <v>0</v>
      </c>
      <c r="E25">
        <f t="shared" si="4"/>
        <v>0</v>
      </c>
      <c r="F25">
        <f t="shared" si="5"/>
        <v>0</v>
      </c>
      <c r="G25">
        <f t="shared" si="6"/>
        <v>0</v>
      </c>
      <c r="H25">
        <f t="shared" si="7"/>
        <v>0</v>
      </c>
      <c r="I25">
        <f t="shared" si="7"/>
        <v>0</v>
      </c>
      <c r="J25">
        <f t="shared" si="7"/>
        <v>0</v>
      </c>
      <c r="K25">
        <f t="shared" si="7"/>
        <v>0</v>
      </c>
      <c r="L25">
        <f t="shared" si="8"/>
        <v>0</v>
      </c>
      <c r="M25">
        <f t="shared" si="9"/>
        <v>0</v>
      </c>
      <c r="N25" t="e">
        <f t="shared" si="10"/>
        <v>#REF!</v>
      </c>
    </row>
    <row r="26" spans="1:20">
      <c r="A26">
        <v>22</v>
      </c>
      <c r="B26">
        <f t="shared" si="11"/>
        <v>0</v>
      </c>
      <c r="C26">
        <f t="shared" si="12"/>
        <v>0</v>
      </c>
      <c r="D26">
        <f t="shared" si="3"/>
        <v>0</v>
      </c>
      <c r="E26">
        <f t="shared" si="4"/>
        <v>0</v>
      </c>
      <c r="F26">
        <f t="shared" si="5"/>
        <v>0</v>
      </c>
      <c r="G26">
        <f t="shared" si="6"/>
        <v>0</v>
      </c>
      <c r="H26">
        <f t="shared" si="7"/>
        <v>0</v>
      </c>
      <c r="I26">
        <f t="shared" si="7"/>
        <v>0</v>
      </c>
      <c r="J26">
        <f t="shared" si="7"/>
        <v>0</v>
      </c>
      <c r="K26">
        <f t="shared" si="7"/>
        <v>0</v>
      </c>
      <c r="L26">
        <f t="shared" si="8"/>
        <v>0</v>
      </c>
      <c r="M26">
        <f t="shared" si="9"/>
        <v>0</v>
      </c>
      <c r="N26" t="e">
        <f t="shared" si="10"/>
        <v>#REF!</v>
      </c>
    </row>
    <row r="27" spans="1:20" ht="14">
      <c r="A27">
        <v>27</v>
      </c>
      <c r="B27">
        <f t="shared" si="11"/>
        <v>0</v>
      </c>
      <c r="C27">
        <f t="shared" si="12"/>
        <v>0</v>
      </c>
      <c r="D27">
        <f t="shared" si="3"/>
        <v>0</v>
      </c>
      <c r="E27">
        <f t="shared" si="4"/>
        <v>0</v>
      </c>
      <c r="F27">
        <f t="shared" si="5"/>
        <v>0</v>
      </c>
      <c r="G27">
        <f t="shared" si="6"/>
        <v>0</v>
      </c>
      <c r="H27">
        <f t="shared" si="7"/>
        <v>0</v>
      </c>
      <c r="I27">
        <f t="shared" si="7"/>
        <v>0</v>
      </c>
      <c r="J27">
        <f t="shared" si="7"/>
        <v>0</v>
      </c>
      <c r="K27">
        <f t="shared" si="7"/>
        <v>0</v>
      </c>
      <c r="L27">
        <f t="shared" si="8"/>
        <v>0</v>
      </c>
      <c r="M27">
        <f t="shared" si="9"/>
        <v>0</v>
      </c>
      <c r="N27" t="e">
        <f t="shared" si="10"/>
        <v>#REF!</v>
      </c>
      <c r="Q27" s="3" t="s">
        <v>337</v>
      </c>
      <c r="R27" t="str">
        <f>S7/1000&amp;" kΩ"</f>
        <v>30.1 kΩ</v>
      </c>
      <c r="S27">
        <f>S7/1000</f>
        <v>30.1</v>
      </c>
      <c r="T27" s="74" t="s">
        <v>538</v>
      </c>
    </row>
    <row r="28" spans="1:20">
      <c r="A28">
        <v>33</v>
      </c>
      <c r="B28">
        <f t="shared" si="11"/>
        <v>0</v>
      </c>
      <c r="C28">
        <f t="shared" si="12"/>
        <v>0</v>
      </c>
      <c r="D28">
        <f t="shared" si="3"/>
        <v>0</v>
      </c>
      <c r="E28">
        <f t="shared" si="4"/>
        <v>0</v>
      </c>
      <c r="F28">
        <f t="shared" si="5"/>
        <v>0</v>
      </c>
      <c r="G28">
        <f t="shared" si="6"/>
        <v>0</v>
      </c>
      <c r="H28">
        <f t="shared" si="7"/>
        <v>0</v>
      </c>
      <c r="I28">
        <f t="shared" si="7"/>
        <v>0</v>
      </c>
      <c r="J28">
        <f t="shared" si="7"/>
        <v>0</v>
      </c>
      <c r="K28">
        <f t="shared" si="7"/>
        <v>0</v>
      </c>
      <c r="L28">
        <f t="shared" si="8"/>
        <v>0</v>
      </c>
      <c r="M28">
        <f t="shared" si="9"/>
        <v>0</v>
      </c>
      <c r="N28" t="e">
        <f t="shared" si="10"/>
        <v>#REF!</v>
      </c>
      <c r="Q28" s="3" t="s">
        <v>333</v>
      </c>
      <c r="R28" t="str">
        <f>C4*1000000000000&amp;" pF"</f>
        <v>680 pF</v>
      </c>
      <c r="S28">
        <f>C4*1000000000000</f>
        <v>680</v>
      </c>
      <c r="T28" s="222" t="s">
        <v>53</v>
      </c>
    </row>
    <row r="29" spans="1:20">
      <c r="A29">
        <v>39</v>
      </c>
      <c r="B29">
        <f t="shared" si="11"/>
        <v>0</v>
      </c>
      <c r="C29">
        <f t="shared" si="12"/>
        <v>0</v>
      </c>
      <c r="D29">
        <f t="shared" si="3"/>
        <v>0</v>
      </c>
      <c r="E29">
        <f t="shared" si="4"/>
        <v>0</v>
      </c>
      <c r="F29">
        <f t="shared" si="5"/>
        <v>0</v>
      </c>
      <c r="G29">
        <f t="shared" si="6"/>
        <v>0</v>
      </c>
      <c r="H29">
        <f t="shared" si="7"/>
        <v>0</v>
      </c>
      <c r="I29">
        <f t="shared" si="7"/>
        <v>0</v>
      </c>
      <c r="J29">
        <f t="shared" si="7"/>
        <v>0</v>
      </c>
      <c r="K29">
        <f t="shared" si="7"/>
        <v>0</v>
      </c>
      <c r="L29">
        <f t="shared" si="8"/>
        <v>0</v>
      </c>
      <c r="M29">
        <f t="shared" si="9"/>
        <v>0</v>
      </c>
      <c r="N29" t="e">
        <f t="shared" si="10"/>
        <v>#REF!</v>
      </c>
      <c r="Q29" s="3" t="s">
        <v>334</v>
      </c>
      <c r="R29" t="str">
        <f>D4*1000000000000&amp;" pF"</f>
        <v>5.6 pF</v>
      </c>
      <c r="S29">
        <f>D4*1000000000000</f>
        <v>5.6</v>
      </c>
      <c r="T29" s="222" t="s">
        <v>53</v>
      </c>
    </row>
    <row r="30" spans="1:20" ht="14">
      <c r="A30">
        <v>47</v>
      </c>
      <c r="B30">
        <f t="shared" si="11"/>
        <v>0</v>
      </c>
      <c r="C30">
        <f t="shared" si="12"/>
        <v>0</v>
      </c>
      <c r="D30">
        <f t="shared" si="3"/>
        <v>0</v>
      </c>
      <c r="E30">
        <f t="shared" si="4"/>
        <v>0</v>
      </c>
      <c r="F30">
        <f t="shared" si="5"/>
        <v>0</v>
      </c>
      <c r="G30">
        <f t="shared" si="6"/>
        <v>0</v>
      </c>
      <c r="H30">
        <f t="shared" si="7"/>
        <v>0</v>
      </c>
      <c r="I30">
        <f t="shared" si="7"/>
        <v>0</v>
      </c>
      <c r="J30">
        <f t="shared" si="7"/>
        <v>0</v>
      </c>
      <c r="K30">
        <f t="shared" si="7"/>
        <v>0</v>
      </c>
      <c r="L30">
        <f t="shared" si="8"/>
        <v>0</v>
      </c>
      <c r="M30">
        <f t="shared" si="9"/>
        <v>0</v>
      </c>
      <c r="N30" t="e">
        <f t="shared" si="10"/>
        <v>#REF!</v>
      </c>
      <c r="Q30" s="3" t="s">
        <v>338</v>
      </c>
      <c r="R30" t="str">
        <f>S8&amp;" Ω"</f>
        <v>715 Ω</v>
      </c>
      <c r="S30">
        <f>S8</f>
        <v>715</v>
      </c>
      <c r="T30" s="74" t="s">
        <v>619</v>
      </c>
    </row>
    <row r="31" spans="1:20">
      <c r="A31">
        <v>56</v>
      </c>
      <c r="B31">
        <f t="shared" si="11"/>
        <v>0</v>
      </c>
      <c r="C31">
        <f t="shared" si="12"/>
        <v>0</v>
      </c>
      <c r="D31">
        <f t="shared" si="3"/>
        <v>0</v>
      </c>
      <c r="E31">
        <f t="shared" si="4"/>
        <v>0</v>
      </c>
      <c r="F31">
        <f t="shared" si="5"/>
        <v>0</v>
      </c>
      <c r="G31">
        <f t="shared" si="6"/>
        <v>0</v>
      </c>
      <c r="H31">
        <f t="shared" si="7"/>
        <v>0</v>
      </c>
      <c r="I31">
        <f t="shared" si="7"/>
        <v>0</v>
      </c>
      <c r="J31">
        <f t="shared" si="7"/>
        <v>0</v>
      </c>
      <c r="K31">
        <f t="shared" si="7"/>
        <v>0</v>
      </c>
      <c r="L31">
        <f t="shared" si="8"/>
        <v>0</v>
      </c>
      <c r="M31">
        <f t="shared" si="9"/>
        <v>0</v>
      </c>
      <c r="N31" t="e">
        <f t="shared" si="10"/>
        <v>#REF!</v>
      </c>
      <c r="Q31" s="3" t="s">
        <v>335</v>
      </c>
      <c r="R31" t="str">
        <f>E4*1000000000000&amp;" pF"</f>
        <v>150 pF</v>
      </c>
      <c r="S31">
        <f>E4*1000000000000</f>
        <v>150</v>
      </c>
      <c r="T31" s="222" t="s">
        <v>53</v>
      </c>
    </row>
    <row r="32" spans="1:20">
      <c r="A32">
        <v>68</v>
      </c>
      <c r="B32">
        <f t="shared" si="11"/>
        <v>0</v>
      </c>
      <c r="C32">
        <f t="shared" si="12"/>
        <v>0</v>
      </c>
      <c r="D32">
        <f t="shared" si="3"/>
        <v>0</v>
      </c>
      <c r="E32">
        <f t="shared" si="4"/>
        <v>0</v>
      </c>
      <c r="F32">
        <f t="shared" si="5"/>
        <v>0</v>
      </c>
      <c r="G32">
        <f t="shared" si="6"/>
        <v>0</v>
      </c>
      <c r="H32">
        <f t="shared" si="7"/>
        <v>0</v>
      </c>
      <c r="I32">
        <f t="shared" si="7"/>
        <v>0</v>
      </c>
      <c r="J32">
        <f t="shared" si="7"/>
        <v>0</v>
      </c>
      <c r="K32">
        <f t="shared" si="7"/>
        <v>0</v>
      </c>
      <c r="L32">
        <f t="shared" si="8"/>
        <v>0</v>
      </c>
      <c r="M32">
        <f t="shared" si="9"/>
        <v>0</v>
      </c>
      <c r="N32" t="e">
        <f t="shared" si="10"/>
        <v>#REF!</v>
      </c>
    </row>
    <row r="33" spans="1:17">
      <c r="A33">
        <v>82</v>
      </c>
      <c r="B33">
        <f t="shared" si="11"/>
        <v>0</v>
      </c>
      <c r="C33">
        <f t="shared" si="12"/>
        <v>0</v>
      </c>
      <c r="D33">
        <f t="shared" si="3"/>
        <v>0</v>
      </c>
      <c r="E33">
        <f t="shared" si="4"/>
        <v>0</v>
      </c>
      <c r="F33">
        <f t="shared" si="5"/>
        <v>0</v>
      </c>
      <c r="G33">
        <f t="shared" si="6"/>
        <v>0</v>
      </c>
      <c r="H33">
        <f t="shared" si="7"/>
        <v>0</v>
      </c>
      <c r="I33">
        <f t="shared" si="7"/>
        <v>0</v>
      </c>
      <c r="J33">
        <f t="shared" si="7"/>
        <v>0</v>
      </c>
      <c r="K33">
        <f t="shared" si="7"/>
        <v>0</v>
      </c>
      <c r="L33">
        <f t="shared" si="8"/>
        <v>0</v>
      </c>
      <c r="M33">
        <f t="shared" si="9"/>
        <v>0</v>
      </c>
      <c r="N33" t="e">
        <f t="shared" si="10"/>
        <v>#REF!</v>
      </c>
    </row>
    <row r="34" spans="1:17">
      <c r="A34">
        <f>A22*10</f>
        <v>100</v>
      </c>
      <c r="B34">
        <f t="shared" si="11"/>
        <v>0</v>
      </c>
      <c r="C34">
        <f t="shared" si="12"/>
        <v>0</v>
      </c>
      <c r="D34">
        <f t="shared" si="3"/>
        <v>0</v>
      </c>
      <c r="E34">
        <f t="shared" si="4"/>
        <v>0</v>
      </c>
      <c r="F34">
        <f t="shared" si="5"/>
        <v>0</v>
      </c>
      <c r="G34">
        <f t="shared" si="6"/>
        <v>0</v>
      </c>
      <c r="H34">
        <f t="shared" si="7"/>
        <v>0</v>
      </c>
      <c r="I34">
        <f t="shared" si="7"/>
        <v>0</v>
      </c>
      <c r="J34">
        <f t="shared" si="7"/>
        <v>0</v>
      </c>
      <c r="K34">
        <f t="shared" si="7"/>
        <v>0</v>
      </c>
      <c r="L34">
        <f t="shared" si="8"/>
        <v>0</v>
      </c>
      <c r="M34">
        <f t="shared" si="9"/>
        <v>0</v>
      </c>
      <c r="N34" t="e">
        <f t="shared" si="10"/>
        <v>#REF!</v>
      </c>
      <c r="Q34" s="222"/>
    </row>
    <row r="35" spans="1:17">
      <c r="A35">
        <f t="shared" ref="A35:A98" si="13">A23*10</f>
        <v>120</v>
      </c>
      <c r="B35">
        <f t="shared" si="11"/>
        <v>0</v>
      </c>
      <c r="C35">
        <f t="shared" si="12"/>
        <v>0</v>
      </c>
      <c r="D35">
        <f t="shared" si="3"/>
        <v>0</v>
      </c>
      <c r="E35">
        <f t="shared" si="4"/>
        <v>0</v>
      </c>
      <c r="F35">
        <f t="shared" si="5"/>
        <v>0</v>
      </c>
      <c r="G35">
        <f t="shared" si="6"/>
        <v>0</v>
      </c>
      <c r="H35">
        <f t="shared" si="7"/>
        <v>0</v>
      </c>
      <c r="I35">
        <f t="shared" si="7"/>
        <v>0</v>
      </c>
      <c r="J35">
        <f t="shared" si="7"/>
        <v>0</v>
      </c>
      <c r="K35">
        <f t="shared" si="7"/>
        <v>0</v>
      </c>
      <c r="L35">
        <f t="shared" si="8"/>
        <v>0</v>
      </c>
      <c r="M35">
        <f t="shared" si="9"/>
        <v>0</v>
      </c>
      <c r="N35" t="e">
        <f t="shared" si="10"/>
        <v>#REF!</v>
      </c>
      <c r="Q35" s="222"/>
    </row>
    <row r="36" spans="1:17">
      <c r="A36">
        <f t="shared" si="13"/>
        <v>150</v>
      </c>
      <c r="B36">
        <f t="shared" si="11"/>
        <v>0</v>
      </c>
      <c r="C36">
        <f t="shared" si="12"/>
        <v>0</v>
      </c>
      <c r="D36">
        <f t="shared" si="3"/>
        <v>0</v>
      </c>
      <c r="E36">
        <f t="shared" si="4"/>
        <v>150</v>
      </c>
      <c r="F36">
        <f t="shared" si="5"/>
        <v>0</v>
      </c>
      <c r="G36">
        <f t="shared" si="6"/>
        <v>0</v>
      </c>
      <c r="H36">
        <f t="shared" si="7"/>
        <v>0</v>
      </c>
      <c r="I36">
        <f t="shared" si="7"/>
        <v>0</v>
      </c>
      <c r="J36">
        <f t="shared" si="7"/>
        <v>0</v>
      </c>
      <c r="K36">
        <f t="shared" si="7"/>
        <v>0</v>
      </c>
      <c r="L36">
        <f t="shared" si="8"/>
        <v>0</v>
      </c>
      <c r="M36">
        <f t="shared" si="9"/>
        <v>0</v>
      </c>
      <c r="N36" t="e">
        <f t="shared" si="10"/>
        <v>#REF!</v>
      </c>
    </row>
    <row r="37" spans="1:17">
      <c r="A37">
        <f t="shared" si="13"/>
        <v>180</v>
      </c>
      <c r="B37">
        <f t="shared" si="11"/>
        <v>0</v>
      </c>
      <c r="C37">
        <f t="shared" si="12"/>
        <v>0</v>
      </c>
      <c r="D37">
        <f t="shared" si="3"/>
        <v>0</v>
      </c>
      <c r="E37">
        <f t="shared" si="4"/>
        <v>0</v>
      </c>
      <c r="F37">
        <f t="shared" si="5"/>
        <v>0</v>
      </c>
      <c r="G37">
        <f t="shared" si="6"/>
        <v>0</v>
      </c>
      <c r="H37">
        <f t="shared" si="7"/>
        <v>0</v>
      </c>
      <c r="I37">
        <f t="shared" si="7"/>
        <v>0</v>
      </c>
      <c r="J37">
        <f t="shared" si="7"/>
        <v>0</v>
      </c>
      <c r="K37">
        <f t="shared" si="7"/>
        <v>0</v>
      </c>
      <c r="L37">
        <f t="shared" si="8"/>
        <v>0</v>
      </c>
      <c r="M37">
        <f t="shared" si="9"/>
        <v>0</v>
      </c>
      <c r="N37" t="e">
        <f t="shared" si="10"/>
        <v>#REF!</v>
      </c>
    </row>
    <row r="38" spans="1:17">
      <c r="A38">
        <f t="shared" si="13"/>
        <v>220</v>
      </c>
      <c r="B38">
        <f t="shared" si="11"/>
        <v>0</v>
      </c>
      <c r="C38">
        <f t="shared" si="12"/>
        <v>0</v>
      </c>
      <c r="D38">
        <f t="shared" si="3"/>
        <v>0</v>
      </c>
      <c r="E38">
        <f t="shared" si="4"/>
        <v>0</v>
      </c>
      <c r="F38">
        <f t="shared" si="5"/>
        <v>0</v>
      </c>
      <c r="G38">
        <f t="shared" si="6"/>
        <v>0</v>
      </c>
      <c r="H38">
        <f t="shared" si="7"/>
        <v>0</v>
      </c>
      <c r="I38">
        <f t="shared" si="7"/>
        <v>0</v>
      </c>
      <c r="J38">
        <f t="shared" si="7"/>
        <v>0</v>
      </c>
      <c r="K38">
        <f t="shared" si="7"/>
        <v>0</v>
      </c>
      <c r="L38">
        <f t="shared" si="8"/>
        <v>0</v>
      </c>
      <c r="M38">
        <f t="shared" ref="M38:M69" si="14">IF(IF((M$3*10^12-$A39)*(M$3*10^12-$A38)*-1&lt;0,0,1)*IF(ABS(M$3*10^12-$A39)&gt;(M$3*10^12-$A38),$A38,$A39)=M39,0,IF((M$3*10^12-$A39)*(M$3*10^12-$A38)*-1&lt;0,0,1)*IF(ABS(M$3*10^12-$A39)&gt;(M$3*10^12-$A38),$A38,$A39))</f>
        <v>0</v>
      </c>
      <c r="N38" t="e">
        <f t="shared" ref="N38:N69" si="15">IF(IF((N$3*10^12-$A39)*(N$3*10^12-$A38)*-1&lt;0,0,1)*IF(ABS(N$3*10^12-$A39)&gt;(N$3*10^12-$A38),$A38,$A39)=N39,0,IF((N$3*10^12-$A39)*(N$3*10^12-$A38)*-1&lt;0,0,1)*IF(ABS(N$3*10^12-$A39)&gt;(N$3*10^12-$A38),$A38,$A39))</f>
        <v>#REF!</v>
      </c>
    </row>
    <row r="39" spans="1:17">
      <c r="A39">
        <f t="shared" si="13"/>
        <v>270</v>
      </c>
      <c r="B39">
        <f t="shared" si="11"/>
        <v>0</v>
      </c>
      <c r="C39">
        <f t="shared" ref="C39:C70" si="16">IF(IF((C$3*10^12-$A40)*(C$3*10^12-$A39)*-1&lt;0,0,1)*IF(ABS(C$3*10^12-$A40)&gt;(C$3*10^12-$A39),$A39,$A40)=C40,0,IF((C$3*10^12-$A40)*(C$3*10^12-$A39)*-1&lt;0,0,1)*IF(ABS(C$3*10^12-$A40)&gt;(C$3*10^12-$A39),$A39,$A40))</f>
        <v>0</v>
      </c>
      <c r="D39">
        <f t="shared" si="3"/>
        <v>0</v>
      </c>
      <c r="E39">
        <f t="shared" si="4"/>
        <v>0</v>
      </c>
      <c r="F39">
        <f t="shared" si="5"/>
        <v>0</v>
      </c>
      <c r="G39">
        <f t="shared" si="6"/>
        <v>0</v>
      </c>
      <c r="H39">
        <f t="shared" si="7"/>
        <v>0</v>
      </c>
      <c r="I39">
        <f t="shared" si="7"/>
        <v>0</v>
      </c>
      <c r="J39">
        <f t="shared" si="7"/>
        <v>0</v>
      </c>
      <c r="K39">
        <f t="shared" si="7"/>
        <v>0</v>
      </c>
      <c r="L39">
        <f t="shared" si="8"/>
        <v>0</v>
      </c>
      <c r="M39">
        <f t="shared" si="14"/>
        <v>0</v>
      </c>
      <c r="N39" t="e">
        <f t="shared" si="15"/>
        <v>#REF!</v>
      </c>
    </row>
    <row r="40" spans="1:17">
      <c r="A40">
        <f t="shared" si="13"/>
        <v>330</v>
      </c>
      <c r="B40">
        <f t="shared" si="11"/>
        <v>0</v>
      </c>
      <c r="C40">
        <f t="shared" si="16"/>
        <v>0</v>
      </c>
      <c r="D40">
        <f t="shared" si="3"/>
        <v>0</v>
      </c>
      <c r="E40">
        <f t="shared" si="4"/>
        <v>0</v>
      </c>
      <c r="F40">
        <f t="shared" si="5"/>
        <v>0</v>
      </c>
      <c r="G40">
        <f t="shared" si="6"/>
        <v>0</v>
      </c>
      <c r="H40">
        <f t="shared" si="7"/>
        <v>0</v>
      </c>
      <c r="I40">
        <f t="shared" si="7"/>
        <v>0</v>
      </c>
      <c r="J40">
        <f t="shared" si="7"/>
        <v>0</v>
      </c>
      <c r="K40">
        <f t="shared" si="7"/>
        <v>0</v>
      </c>
      <c r="L40">
        <f t="shared" si="8"/>
        <v>0</v>
      </c>
      <c r="M40">
        <f t="shared" si="14"/>
        <v>0</v>
      </c>
      <c r="N40" t="e">
        <f t="shared" si="15"/>
        <v>#REF!</v>
      </c>
    </row>
    <row r="41" spans="1:17">
      <c r="A41">
        <f t="shared" si="13"/>
        <v>390</v>
      </c>
      <c r="B41">
        <f t="shared" si="11"/>
        <v>0</v>
      </c>
      <c r="C41">
        <f t="shared" si="16"/>
        <v>0</v>
      </c>
      <c r="D41">
        <f t="shared" si="3"/>
        <v>0</v>
      </c>
      <c r="E41">
        <f t="shared" si="4"/>
        <v>0</v>
      </c>
      <c r="F41">
        <f t="shared" si="5"/>
        <v>0</v>
      </c>
      <c r="G41">
        <f t="shared" si="6"/>
        <v>0</v>
      </c>
      <c r="H41">
        <f t="shared" si="7"/>
        <v>0</v>
      </c>
      <c r="I41">
        <f t="shared" si="7"/>
        <v>0</v>
      </c>
      <c r="J41">
        <f t="shared" si="7"/>
        <v>0</v>
      </c>
      <c r="K41">
        <f t="shared" si="7"/>
        <v>0</v>
      </c>
      <c r="L41">
        <f t="shared" si="8"/>
        <v>0</v>
      </c>
      <c r="M41">
        <f t="shared" si="14"/>
        <v>0</v>
      </c>
      <c r="N41" t="e">
        <f t="shared" si="15"/>
        <v>#REF!</v>
      </c>
    </row>
    <row r="42" spans="1:17">
      <c r="A42">
        <f t="shared" si="13"/>
        <v>470</v>
      </c>
      <c r="B42">
        <f t="shared" si="11"/>
        <v>0</v>
      </c>
      <c r="C42">
        <f t="shared" si="16"/>
        <v>0</v>
      </c>
      <c r="D42">
        <f t="shared" si="3"/>
        <v>0</v>
      </c>
      <c r="E42">
        <f t="shared" si="4"/>
        <v>0</v>
      </c>
      <c r="F42">
        <f t="shared" si="5"/>
        <v>0</v>
      </c>
      <c r="G42">
        <f t="shared" si="6"/>
        <v>0</v>
      </c>
      <c r="H42">
        <f t="shared" si="7"/>
        <v>0</v>
      </c>
      <c r="I42">
        <f t="shared" si="7"/>
        <v>0</v>
      </c>
      <c r="J42">
        <f t="shared" si="7"/>
        <v>0</v>
      </c>
      <c r="K42">
        <f t="shared" si="7"/>
        <v>0</v>
      </c>
      <c r="L42">
        <f t="shared" si="8"/>
        <v>0</v>
      </c>
      <c r="M42">
        <f t="shared" si="14"/>
        <v>0</v>
      </c>
      <c r="N42" t="e">
        <f t="shared" si="15"/>
        <v>#REF!</v>
      </c>
    </row>
    <row r="43" spans="1:17">
      <c r="A43">
        <f t="shared" si="13"/>
        <v>560</v>
      </c>
      <c r="B43">
        <f t="shared" si="11"/>
        <v>0</v>
      </c>
      <c r="C43">
        <f t="shared" si="16"/>
        <v>680</v>
      </c>
      <c r="D43">
        <f t="shared" si="3"/>
        <v>0</v>
      </c>
      <c r="E43">
        <f t="shared" si="4"/>
        <v>0</v>
      </c>
      <c r="F43">
        <f t="shared" si="5"/>
        <v>0</v>
      </c>
      <c r="G43">
        <f t="shared" si="6"/>
        <v>0</v>
      </c>
      <c r="H43">
        <f t="shared" si="7"/>
        <v>0</v>
      </c>
      <c r="I43">
        <f t="shared" si="7"/>
        <v>0</v>
      </c>
      <c r="J43">
        <f t="shared" si="7"/>
        <v>0</v>
      </c>
      <c r="K43">
        <f t="shared" si="7"/>
        <v>0</v>
      </c>
      <c r="L43">
        <f t="shared" si="8"/>
        <v>0</v>
      </c>
      <c r="M43">
        <f t="shared" si="14"/>
        <v>0</v>
      </c>
      <c r="N43" t="e">
        <f t="shared" si="15"/>
        <v>#REF!</v>
      </c>
    </row>
    <row r="44" spans="1:17">
      <c r="A44">
        <f t="shared" si="13"/>
        <v>680</v>
      </c>
      <c r="B44">
        <f t="shared" si="11"/>
        <v>0</v>
      </c>
      <c r="C44">
        <f t="shared" si="16"/>
        <v>0</v>
      </c>
      <c r="D44">
        <f t="shared" si="3"/>
        <v>0</v>
      </c>
      <c r="E44">
        <f t="shared" si="4"/>
        <v>0</v>
      </c>
      <c r="F44">
        <f t="shared" si="5"/>
        <v>0</v>
      </c>
      <c r="G44">
        <f t="shared" si="6"/>
        <v>0</v>
      </c>
      <c r="H44">
        <f t="shared" si="7"/>
        <v>0</v>
      </c>
      <c r="I44">
        <f t="shared" si="7"/>
        <v>0</v>
      </c>
      <c r="J44">
        <f t="shared" si="7"/>
        <v>0</v>
      </c>
      <c r="K44">
        <f t="shared" si="7"/>
        <v>0</v>
      </c>
      <c r="L44">
        <f t="shared" si="8"/>
        <v>0</v>
      </c>
      <c r="M44">
        <f t="shared" si="14"/>
        <v>0</v>
      </c>
      <c r="N44" t="e">
        <f t="shared" si="15"/>
        <v>#REF!</v>
      </c>
    </row>
    <row r="45" spans="1:17">
      <c r="A45">
        <f>A33*10</f>
        <v>820</v>
      </c>
      <c r="B45">
        <f t="shared" si="11"/>
        <v>0</v>
      </c>
      <c r="C45">
        <f t="shared" si="16"/>
        <v>0</v>
      </c>
      <c r="D45">
        <f t="shared" si="3"/>
        <v>0</v>
      </c>
      <c r="E45">
        <f t="shared" si="4"/>
        <v>0</v>
      </c>
      <c r="F45">
        <f t="shared" si="5"/>
        <v>0</v>
      </c>
      <c r="G45">
        <f t="shared" si="6"/>
        <v>0</v>
      </c>
      <c r="H45">
        <f t="shared" si="7"/>
        <v>0</v>
      </c>
      <c r="I45">
        <f t="shared" si="7"/>
        <v>0</v>
      </c>
      <c r="J45">
        <f t="shared" si="7"/>
        <v>0</v>
      </c>
      <c r="K45">
        <f t="shared" si="7"/>
        <v>0</v>
      </c>
      <c r="L45">
        <f t="shared" si="8"/>
        <v>0</v>
      </c>
      <c r="M45">
        <f t="shared" si="14"/>
        <v>0</v>
      </c>
      <c r="N45" t="e">
        <f t="shared" si="15"/>
        <v>#REF!</v>
      </c>
    </row>
    <row r="46" spans="1:17">
      <c r="A46">
        <f t="shared" si="13"/>
        <v>1000</v>
      </c>
      <c r="B46">
        <f t="shared" si="11"/>
        <v>0</v>
      </c>
      <c r="C46">
        <f t="shared" si="16"/>
        <v>0</v>
      </c>
      <c r="D46">
        <f t="shared" si="3"/>
        <v>0</v>
      </c>
      <c r="E46">
        <f t="shared" si="4"/>
        <v>0</v>
      </c>
      <c r="F46">
        <f t="shared" si="5"/>
        <v>0</v>
      </c>
      <c r="G46">
        <f t="shared" si="6"/>
        <v>0</v>
      </c>
      <c r="H46">
        <f t="shared" si="7"/>
        <v>0</v>
      </c>
      <c r="I46">
        <f t="shared" si="7"/>
        <v>0</v>
      </c>
      <c r="J46">
        <f t="shared" si="7"/>
        <v>0</v>
      </c>
      <c r="K46">
        <f t="shared" si="7"/>
        <v>0</v>
      </c>
      <c r="L46">
        <f t="shared" si="8"/>
        <v>0</v>
      </c>
      <c r="M46">
        <f t="shared" si="14"/>
        <v>0</v>
      </c>
      <c r="N46" t="e">
        <f t="shared" si="15"/>
        <v>#REF!</v>
      </c>
    </row>
    <row r="47" spans="1:17">
      <c r="A47">
        <f t="shared" si="13"/>
        <v>1200</v>
      </c>
      <c r="B47">
        <f t="shared" si="11"/>
        <v>0</v>
      </c>
      <c r="C47">
        <f t="shared" si="16"/>
        <v>0</v>
      </c>
      <c r="D47">
        <f t="shared" si="3"/>
        <v>0</v>
      </c>
      <c r="E47">
        <f t="shared" si="4"/>
        <v>0</v>
      </c>
      <c r="F47">
        <f t="shared" si="5"/>
        <v>0</v>
      </c>
      <c r="G47">
        <f t="shared" si="6"/>
        <v>0</v>
      </c>
      <c r="H47">
        <f t="shared" si="7"/>
        <v>0</v>
      </c>
      <c r="I47">
        <f t="shared" si="7"/>
        <v>0</v>
      </c>
      <c r="J47">
        <f t="shared" si="7"/>
        <v>0</v>
      </c>
      <c r="K47">
        <f t="shared" si="7"/>
        <v>0</v>
      </c>
      <c r="L47">
        <f t="shared" si="8"/>
        <v>0</v>
      </c>
      <c r="M47">
        <f t="shared" si="14"/>
        <v>0</v>
      </c>
      <c r="N47" t="e">
        <f t="shared" si="15"/>
        <v>#REF!</v>
      </c>
    </row>
    <row r="48" spans="1:17">
      <c r="A48">
        <f t="shared" si="13"/>
        <v>1500</v>
      </c>
      <c r="B48">
        <f t="shared" si="11"/>
        <v>0</v>
      </c>
      <c r="C48">
        <f t="shared" si="16"/>
        <v>0</v>
      </c>
      <c r="D48">
        <f t="shared" si="3"/>
        <v>0</v>
      </c>
      <c r="E48">
        <f t="shared" si="4"/>
        <v>0</v>
      </c>
      <c r="F48">
        <f t="shared" si="5"/>
        <v>0</v>
      </c>
      <c r="G48">
        <f t="shared" si="6"/>
        <v>0</v>
      </c>
      <c r="H48">
        <f t="shared" si="7"/>
        <v>0</v>
      </c>
      <c r="I48">
        <f t="shared" si="7"/>
        <v>0</v>
      </c>
      <c r="J48">
        <f t="shared" si="7"/>
        <v>0</v>
      </c>
      <c r="K48">
        <f t="shared" si="7"/>
        <v>0</v>
      </c>
      <c r="L48">
        <f t="shared" si="8"/>
        <v>0</v>
      </c>
      <c r="M48">
        <f t="shared" si="14"/>
        <v>0</v>
      </c>
      <c r="N48" t="e">
        <f t="shared" si="15"/>
        <v>#REF!</v>
      </c>
    </row>
    <row r="49" spans="1:14">
      <c r="A49">
        <f t="shared" si="13"/>
        <v>1800</v>
      </c>
      <c r="B49">
        <f t="shared" si="11"/>
        <v>0</v>
      </c>
      <c r="C49">
        <f t="shared" si="16"/>
        <v>0</v>
      </c>
      <c r="D49">
        <f t="shared" si="3"/>
        <v>0</v>
      </c>
      <c r="E49">
        <f t="shared" si="4"/>
        <v>0</v>
      </c>
      <c r="F49">
        <f t="shared" si="5"/>
        <v>0</v>
      </c>
      <c r="G49">
        <f t="shared" si="6"/>
        <v>0</v>
      </c>
      <c r="H49">
        <f t="shared" si="7"/>
        <v>0</v>
      </c>
      <c r="I49">
        <f t="shared" si="7"/>
        <v>0</v>
      </c>
      <c r="J49">
        <f t="shared" si="7"/>
        <v>0</v>
      </c>
      <c r="K49">
        <f t="shared" si="7"/>
        <v>0</v>
      </c>
      <c r="L49">
        <f t="shared" si="8"/>
        <v>0</v>
      </c>
      <c r="M49">
        <f t="shared" si="14"/>
        <v>0</v>
      </c>
      <c r="N49" t="e">
        <f t="shared" si="15"/>
        <v>#REF!</v>
      </c>
    </row>
    <row r="50" spans="1:14">
      <c r="A50">
        <f t="shared" si="13"/>
        <v>2200</v>
      </c>
      <c r="B50">
        <f t="shared" si="11"/>
        <v>0</v>
      </c>
      <c r="C50">
        <f t="shared" si="16"/>
        <v>0</v>
      </c>
      <c r="D50">
        <f t="shared" si="3"/>
        <v>0</v>
      </c>
      <c r="E50">
        <f t="shared" si="4"/>
        <v>0</v>
      </c>
      <c r="F50">
        <f t="shared" si="5"/>
        <v>0</v>
      </c>
      <c r="G50">
        <f t="shared" si="6"/>
        <v>0</v>
      </c>
      <c r="H50">
        <f t="shared" si="7"/>
        <v>0</v>
      </c>
      <c r="I50">
        <f t="shared" si="7"/>
        <v>0</v>
      </c>
      <c r="J50">
        <f t="shared" si="7"/>
        <v>0</v>
      </c>
      <c r="K50">
        <f t="shared" si="7"/>
        <v>0</v>
      </c>
      <c r="L50">
        <f t="shared" si="8"/>
        <v>0</v>
      </c>
      <c r="M50">
        <f t="shared" si="14"/>
        <v>0</v>
      </c>
      <c r="N50" t="e">
        <f t="shared" si="15"/>
        <v>#REF!</v>
      </c>
    </row>
    <row r="51" spans="1:14">
      <c r="A51">
        <f t="shared" si="13"/>
        <v>2700</v>
      </c>
      <c r="B51">
        <f t="shared" si="11"/>
        <v>0</v>
      </c>
      <c r="C51">
        <f t="shared" si="16"/>
        <v>0</v>
      </c>
      <c r="D51">
        <f t="shared" si="3"/>
        <v>0</v>
      </c>
      <c r="E51">
        <f t="shared" si="4"/>
        <v>0</v>
      </c>
      <c r="F51">
        <f t="shared" si="5"/>
        <v>0</v>
      </c>
      <c r="G51">
        <f t="shared" si="6"/>
        <v>0</v>
      </c>
      <c r="H51">
        <f t="shared" si="7"/>
        <v>0</v>
      </c>
      <c r="I51">
        <f t="shared" si="7"/>
        <v>0</v>
      </c>
      <c r="J51">
        <f t="shared" si="7"/>
        <v>0</v>
      </c>
      <c r="K51">
        <f t="shared" si="7"/>
        <v>0</v>
      </c>
      <c r="L51">
        <f t="shared" si="8"/>
        <v>0</v>
      </c>
      <c r="M51">
        <f t="shared" si="14"/>
        <v>0</v>
      </c>
      <c r="N51" t="e">
        <f t="shared" si="15"/>
        <v>#REF!</v>
      </c>
    </row>
    <row r="52" spans="1:14">
      <c r="A52">
        <f t="shared" si="13"/>
        <v>3300</v>
      </c>
      <c r="B52">
        <f t="shared" si="11"/>
        <v>0</v>
      </c>
      <c r="C52">
        <f t="shared" si="16"/>
        <v>0</v>
      </c>
      <c r="D52">
        <f t="shared" si="3"/>
        <v>0</v>
      </c>
      <c r="E52">
        <f t="shared" si="4"/>
        <v>0</v>
      </c>
      <c r="F52">
        <f t="shared" si="5"/>
        <v>0</v>
      </c>
      <c r="G52">
        <f t="shared" si="6"/>
        <v>0</v>
      </c>
      <c r="H52">
        <f t="shared" si="7"/>
        <v>0</v>
      </c>
      <c r="I52">
        <f t="shared" si="7"/>
        <v>0</v>
      </c>
      <c r="J52">
        <f t="shared" si="7"/>
        <v>0</v>
      </c>
      <c r="K52">
        <f t="shared" si="7"/>
        <v>0</v>
      </c>
      <c r="L52">
        <f t="shared" si="8"/>
        <v>0</v>
      </c>
      <c r="M52">
        <f t="shared" si="14"/>
        <v>0</v>
      </c>
      <c r="N52" t="e">
        <f t="shared" si="15"/>
        <v>#REF!</v>
      </c>
    </row>
    <row r="53" spans="1:14">
      <c r="A53">
        <f t="shared" si="13"/>
        <v>3900</v>
      </c>
      <c r="B53">
        <f t="shared" si="11"/>
        <v>0</v>
      </c>
      <c r="C53">
        <f t="shared" si="16"/>
        <v>0</v>
      </c>
      <c r="D53">
        <f t="shared" si="3"/>
        <v>0</v>
      </c>
      <c r="E53">
        <f t="shared" si="4"/>
        <v>0</v>
      </c>
      <c r="F53">
        <f t="shared" si="5"/>
        <v>0</v>
      </c>
      <c r="G53">
        <f t="shared" si="6"/>
        <v>0</v>
      </c>
      <c r="H53">
        <f t="shared" si="7"/>
        <v>0</v>
      </c>
      <c r="I53">
        <f t="shared" si="7"/>
        <v>0</v>
      </c>
      <c r="J53">
        <f t="shared" si="7"/>
        <v>0</v>
      </c>
      <c r="K53">
        <f t="shared" si="7"/>
        <v>0</v>
      </c>
      <c r="L53">
        <f t="shared" si="8"/>
        <v>0</v>
      </c>
      <c r="M53">
        <f t="shared" si="14"/>
        <v>0</v>
      </c>
      <c r="N53" t="e">
        <f t="shared" si="15"/>
        <v>#REF!</v>
      </c>
    </row>
    <row r="54" spans="1:14">
      <c r="A54">
        <f t="shared" si="13"/>
        <v>4700</v>
      </c>
      <c r="B54">
        <f t="shared" si="11"/>
        <v>0</v>
      </c>
      <c r="C54">
        <f t="shared" si="16"/>
        <v>0</v>
      </c>
      <c r="D54">
        <f t="shared" si="3"/>
        <v>0</v>
      </c>
      <c r="E54">
        <f t="shared" si="4"/>
        <v>0</v>
      </c>
      <c r="F54">
        <f t="shared" si="5"/>
        <v>0</v>
      </c>
      <c r="G54">
        <f t="shared" si="6"/>
        <v>0</v>
      </c>
      <c r="H54">
        <f t="shared" si="7"/>
        <v>0</v>
      </c>
      <c r="I54">
        <f t="shared" si="7"/>
        <v>0</v>
      </c>
      <c r="J54">
        <f t="shared" si="7"/>
        <v>0</v>
      </c>
      <c r="K54">
        <f t="shared" si="7"/>
        <v>0</v>
      </c>
      <c r="L54">
        <f t="shared" si="8"/>
        <v>0</v>
      </c>
      <c r="M54">
        <f t="shared" si="14"/>
        <v>0</v>
      </c>
      <c r="N54" t="e">
        <f t="shared" si="15"/>
        <v>#REF!</v>
      </c>
    </row>
    <row r="55" spans="1:14">
      <c r="A55">
        <f t="shared" si="13"/>
        <v>5600</v>
      </c>
      <c r="B55">
        <f t="shared" si="11"/>
        <v>0</v>
      </c>
      <c r="C55">
        <f t="shared" si="16"/>
        <v>0</v>
      </c>
      <c r="D55">
        <f t="shared" si="3"/>
        <v>0</v>
      </c>
      <c r="E55">
        <f t="shared" si="4"/>
        <v>0</v>
      </c>
      <c r="F55">
        <f t="shared" si="5"/>
        <v>0</v>
      </c>
      <c r="G55">
        <f t="shared" si="6"/>
        <v>0</v>
      </c>
      <c r="H55">
        <f t="shared" si="7"/>
        <v>0</v>
      </c>
      <c r="I55">
        <f t="shared" si="7"/>
        <v>0</v>
      </c>
      <c r="J55">
        <f t="shared" si="7"/>
        <v>0</v>
      </c>
      <c r="K55">
        <f t="shared" si="7"/>
        <v>0</v>
      </c>
      <c r="L55">
        <f t="shared" si="8"/>
        <v>0</v>
      </c>
      <c r="M55">
        <f t="shared" si="14"/>
        <v>0</v>
      </c>
      <c r="N55" t="e">
        <f t="shared" si="15"/>
        <v>#REF!</v>
      </c>
    </row>
    <row r="56" spans="1:14">
      <c r="A56">
        <f t="shared" si="13"/>
        <v>6800</v>
      </c>
      <c r="B56">
        <f t="shared" si="11"/>
        <v>0</v>
      </c>
      <c r="C56">
        <f t="shared" si="16"/>
        <v>0</v>
      </c>
      <c r="D56">
        <f t="shared" si="3"/>
        <v>0</v>
      </c>
      <c r="E56">
        <f t="shared" si="4"/>
        <v>0</v>
      </c>
      <c r="F56">
        <f t="shared" si="5"/>
        <v>0</v>
      </c>
      <c r="G56">
        <f t="shared" si="6"/>
        <v>0</v>
      </c>
      <c r="H56">
        <f t="shared" si="7"/>
        <v>0</v>
      </c>
      <c r="I56">
        <f t="shared" si="7"/>
        <v>0</v>
      </c>
      <c r="J56">
        <f t="shared" si="7"/>
        <v>0</v>
      </c>
      <c r="K56">
        <f t="shared" si="7"/>
        <v>0</v>
      </c>
      <c r="L56">
        <f t="shared" si="8"/>
        <v>0</v>
      </c>
      <c r="M56">
        <f t="shared" si="14"/>
        <v>0</v>
      </c>
      <c r="N56" t="e">
        <f t="shared" si="15"/>
        <v>#REF!</v>
      </c>
    </row>
    <row r="57" spans="1:14">
      <c r="A57">
        <f t="shared" si="13"/>
        <v>8200</v>
      </c>
      <c r="B57">
        <f t="shared" si="11"/>
        <v>0</v>
      </c>
      <c r="C57">
        <f t="shared" si="16"/>
        <v>0</v>
      </c>
      <c r="D57">
        <f t="shared" si="3"/>
        <v>0</v>
      </c>
      <c r="E57">
        <f t="shared" si="4"/>
        <v>0</v>
      </c>
      <c r="F57">
        <f t="shared" si="5"/>
        <v>0</v>
      </c>
      <c r="G57">
        <f t="shared" si="6"/>
        <v>0</v>
      </c>
      <c r="H57">
        <f t="shared" si="7"/>
        <v>0</v>
      </c>
      <c r="I57">
        <f t="shared" si="7"/>
        <v>0</v>
      </c>
      <c r="J57">
        <f t="shared" si="7"/>
        <v>0</v>
      </c>
      <c r="K57">
        <f t="shared" si="7"/>
        <v>0</v>
      </c>
      <c r="L57">
        <f t="shared" si="8"/>
        <v>0</v>
      </c>
      <c r="M57">
        <f t="shared" si="14"/>
        <v>0</v>
      </c>
      <c r="N57" t="e">
        <f t="shared" si="15"/>
        <v>#REF!</v>
      </c>
    </row>
    <row r="58" spans="1:14">
      <c r="A58">
        <f t="shared" si="13"/>
        <v>10000</v>
      </c>
      <c r="B58">
        <f t="shared" si="11"/>
        <v>0</v>
      </c>
      <c r="C58">
        <f t="shared" si="16"/>
        <v>0</v>
      </c>
      <c r="D58">
        <f t="shared" si="3"/>
        <v>0</v>
      </c>
      <c r="E58">
        <f t="shared" si="4"/>
        <v>0</v>
      </c>
      <c r="F58">
        <f t="shared" si="5"/>
        <v>0</v>
      </c>
      <c r="G58">
        <f t="shared" si="6"/>
        <v>0</v>
      </c>
      <c r="H58">
        <f t="shared" si="7"/>
        <v>0</v>
      </c>
      <c r="I58">
        <f t="shared" si="7"/>
        <v>0</v>
      </c>
      <c r="J58">
        <f t="shared" si="7"/>
        <v>0</v>
      </c>
      <c r="K58">
        <f t="shared" si="7"/>
        <v>0</v>
      </c>
      <c r="L58">
        <f t="shared" si="8"/>
        <v>0</v>
      </c>
      <c r="M58">
        <f t="shared" si="14"/>
        <v>0</v>
      </c>
      <c r="N58" t="e">
        <f t="shared" si="15"/>
        <v>#REF!</v>
      </c>
    </row>
    <row r="59" spans="1:14">
      <c r="A59">
        <f t="shared" si="13"/>
        <v>12000</v>
      </c>
      <c r="B59">
        <f t="shared" si="11"/>
        <v>0</v>
      </c>
      <c r="C59">
        <f t="shared" si="16"/>
        <v>0</v>
      </c>
      <c r="D59">
        <f t="shared" si="3"/>
        <v>0</v>
      </c>
      <c r="E59">
        <f t="shared" si="4"/>
        <v>0</v>
      </c>
      <c r="F59">
        <f t="shared" si="5"/>
        <v>0</v>
      </c>
      <c r="G59">
        <f t="shared" si="6"/>
        <v>0</v>
      </c>
      <c r="H59">
        <f t="shared" si="7"/>
        <v>0</v>
      </c>
      <c r="I59">
        <f t="shared" si="7"/>
        <v>0</v>
      </c>
      <c r="J59">
        <f t="shared" si="7"/>
        <v>0</v>
      </c>
      <c r="K59">
        <f t="shared" si="7"/>
        <v>0</v>
      </c>
      <c r="L59">
        <f t="shared" si="8"/>
        <v>0</v>
      </c>
      <c r="M59">
        <f t="shared" si="14"/>
        <v>0</v>
      </c>
      <c r="N59" t="e">
        <f t="shared" si="15"/>
        <v>#REF!</v>
      </c>
    </row>
    <row r="60" spans="1:14">
      <c r="A60">
        <f t="shared" si="13"/>
        <v>15000</v>
      </c>
      <c r="B60">
        <f t="shared" si="11"/>
        <v>0</v>
      </c>
      <c r="C60">
        <f t="shared" si="16"/>
        <v>0</v>
      </c>
      <c r="D60">
        <f t="shared" si="3"/>
        <v>0</v>
      </c>
      <c r="E60">
        <f t="shared" si="4"/>
        <v>0</v>
      </c>
      <c r="F60">
        <f t="shared" si="5"/>
        <v>0</v>
      </c>
      <c r="G60">
        <f t="shared" si="6"/>
        <v>0</v>
      </c>
      <c r="H60">
        <f t="shared" si="7"/>
        <v>0</v>
      </c>
      <c r="I60">
        <f t="shared" si="7"/>
        <v>0</v>
      </c>
      <c r="J60">
        <f t="shared" si="7"/>
        <v>0</v>
      </c>
      <c r="K60">
        <f t="shared" si="7"/>
        <v>0</v>
      </c>
      <c r="L60">
        <f t="shared" si="8"/>
        <v>0</v>
      </c>
      <c r="M60">
        <f t="shared" si="14"/>
        <v>0</v>
      </c>
      <c r="N60" t="e">
        <f t="shared" si="15"/>
        <v>#REF!</v>
      </c>
    </row>
    <row r="61" spans="1:14">
      <c r="A61">
        <f t="shared" si="13"/>
        <v>18000</v>
      </c>
      <c r="B61">
        <f t="shared" si="11"/>
        <v>0</v>
      </c>
      <c r="C61">
        <f t="shared" si="16"/>
        <v>0</v>
      </c>
      <c r="D61">
        <f t="shared" si="3"/>
        <v>0</v>
      </c>
      <c r="E61">
        <f t="shared" si="4"/>
        <v>0</v>
      </c>
      <c r="F61">
        <f t="shared" si="5"/>
        <v>0</v>
      </c>
      <c r="G61">
        <f t="shared" si="6"/>
        <v>0</v>
      </c>
      <c r="H61">
        <f t="shared" si="7"/>
        <v>0</v>
      </c>
      <c r="I61">
        <f t="shared" si="7"/>
        <v>0</v>
      </c>
      <c r="J61">
        <f t="shared" si="7"/>
        <v>0</v>
      </c>
      <c r="K61">
        <f t="shared" si="7"/>
        <v>0</v>
      </c>
      <c r="L61">
        <f t="shared" si="8"/>
        <v>0</v>
      </c>
      <c r="M61">
        <f t="shared" si="14"/>
        <v>0</v>
      </c>
      <c r="N61" t="e">
        <f t="shared" si="15"/>
        <v>#REF!</v>
      </c>
    </row>
    <row r="62" spans="1:14">
      <c r="A62">
        <f t="shared" si="13"/>
        <v>22000</v>
      </c>
      <c r="B62">
        <f t="shared" si="11"/>
        <v>0</v>
      </c>
      <c r="C62">
        <f t="shared" si="16"/>
        <v>0</v>
      </c>
      <c r="D62">
        <f t="shared" si="3"/>
        <v>0</v>
      </c>
      <c r="E62">
        <f t="shared" si="4"/>
        <v>0</v>
      </c>
      <c r="F62">
        <f t="shared" si="5"/>
        <v>0</v>
      </c>
      <c r="G62">
        <f t="shared" si="6"/>
        <v>0</v>
      </c>
      <c r="H62">
        <f t="shared" si="7"/>
        <v>0</v>
      </c>
      <c r="I62">
        <f t="shared" si="7"/>
        <v>0</v>
      </c>
      <c r="J62">
        <f t="shared" si="7"/>
        <v>0</v>
      </c>
      <c r="K62">
        <f t="shared" si="7"/>
        <v>0</v>
      </c>
      <c r="L62">
        <f t="shared" si="8"/>
        <v>0</v>
      </c>
      <c r="M62">
        <f t="shared" si="14"/>
        <v>0</v>
      </c>
      <c r="N62" t="e">
        <f t="shared" si="15"/>
        <v>#REF!</v>
      </c>
    </row>
    <row r="63" spans="1:14">
      <c r="A63">
        <f t="shared" si="13"/>
        <v>27000</v>
      </c>
      <c r="B63">
        <f t="shared" si="11"/>
        <v>0</v>
      </c>
      <c r="C63">
        <f t="shared" si="16"/>
        <v>0</v>
      </c>
      <c r="D63">
        <f t="shared" si="3"/>
        <v>0</v>
      </c>
      <c r="E63">
        <f t="shared" si="4"/>
        <v>0</v>
      </c>
      <c r="F63">
        <f t="shared" si="5"/>
        <v>0</v>
      </c>
      <c r="G63">
        <f t="shared" si="6"/>
        <v>0</v>
      </c>
      <c r="H63">
        <f t="shared" si="7"/>
        <v>0</v>
      </c>
      <c r="I63">
        <f t="shared" si="7"/>
        <v>0</v>
      </c>
      <c r="J63">
        <f t="shared" si="7"/>
        <v>0</v>
      </c>
      <c r="K63">
        <f t="shared" si="7"/>
        <v>0</v>
      </c>
      <c r="L63">
        <f t="shared" si="8"/>
        <v>0</v>
      </c>
      <c r="M63">
        <f t="shared" si="14"/>
        <v>0</v>
      </c>
      <c r="N63" t="e">
        <f t="shared" si="15"/>
        <v>#REF!</v>
      </c>
    </row>
    <row r="64" spans="1:14">
      <c r="A64">
        <f t="shared" si="13"/>
        <v>33000</v>
      </c>
      <c r="B64">
        <f t="shared" si="11"/>
        <v>0</v>
      </c>
      <c r="C64">
        <f t="shared" si="16"/>
        <v>0</v>
      </c>
      <c r="D64">
        <f t="shared" si="3"/>
        <v>0</v>
      </c>
      <c r="E64">
        <f t="shared" si="4"/>
        <v>0</v>
      </c>
      <c r="F64">
        <f t="shared" si="5"/>
        <v>0</v>
      </c>
      <c r="G64">
        <f t="shared" si="6"/>
        <v>0</v>
      </c>
      <c r="H64">
        <f t="shared" si="7"/>
        <v>0</v>
      </c>
      <c r="I64">
        <f t="shared" si="7"/>
        <v>0</v>
      </c>
      <c r="J64">
        <f t="shared" si="7"/>
        <v>0</v>
      </c>
      <c r="K64">
        <f t="shared" si="7"/>
        <v>0</v>
      </c>
      <c r="L64">
        <f t="shared" si="8"/>
        <v>0</v>
      </c>
      <c r="M64">
        <f t="shared" si="14"/>
        <v>0</v>
      </c>
      <c r="N64" t="e">
        <f t="shared" si="15"/>
        <v>#REF!</v>
      </c>
    </row>
    <row r="65" spans="1:14">
      <c r="A65">
        <f t="shared" si="13"/>
        <v>39000</v>
      </c>
      <c r="B65">
        <f t="shared" si="11"/>
        <v>0</v>
      </c>
      <c r="C65">
        <f t="shared" si="16"/>
        <v>0</v>
      </c>
      <c r="D65">
        <f t="shared" si="3"/>
        <v>0</v>
      </c>
      <c r="E65">
        <f t="shared" si="4"/>
        <v>0</v>
      </c>
      <c r="F65">
        <f t="shared" si="5"/>
        <v>0</v>
      </c>
      <c r="G65">
        <f t="shared" si="6"/>
        <v>0</v>
      </c>
      <c r="H65">
        <f t="shared" si="7"/>
        <v>0</v>
      </c>
      <c r="I65">
        <f t="shared" si="7"/>
        <v>0</v>
      </c>
      <c r="J65">
        <f t="shared" si="7"/>
        <v>0</v>
      </c>
      <c r="K65">
        <f t="shared" si="7"/>
        <v>0</v>
      </c>
      <c r="L65">
        <f t="shared" si="8"/>
        <v>0</v>
      </c>
      <c r="M65">
        <f t="shared" si="14"/>
        <v>0</v>
      </c>
      <c r="N65" t="e">
        <f t="shared" si="15"/>
        <v>#REF!</v>
      </c>
    </row>
    <row r="66" spans="1:14">
      <c r="A66">
        <f t="shared" si="13"/>
        <v>47000</v>
      </c>
      <c r="B66">
        <f t="shared" si="11"/>
        <v>47000</v>
      </c>
      <c r="C66">
        <f t="shared" si="16"/>
        <v>0</v>
      </c>
      <c r="D66">
        <f t="shared" si="3"/>
        <v>0</v>
      </c>
      <c r="E66">
        <f t="shared" si="4"/>
        <v>0</v>
      </c>
      <c r="F66">
        <f t="shared" si="5"/>
        <v>0</v>
      </c>
      <c r="G66">
        <f t="shared" si="6"/>
        <v>0</v>
      </c>
      <c r="H66">
        <f t="shared" si="7"/>
        <v>0</v>
      </c>
      <c r="I66">
        <f t="shared" si="7"/>
        <v>0</v>
      </c>
      <c r="J66">
        <f t="shared" si="7"/>
        <v>0</v>
      </c>
      <c r="K66">
        <f t="shared" si="7"/>
        <v>0</v>
      </c>
      <c r="L66">
        <f t="shared" si="8"/>
        <v>0</v>
      </c>
      <c r="M66">
        <f t="shared" si="14"/>
        <v>0</v>
      </c>
      <c r="N66" t="e">
        <f t="shared" si="15"/>
        <v>#REF!</v>
      </c>
    </row>
    <row r="67" spans="1:14">
      <c r="A67">
        <f t="shared" si="13"/>
        <v>56000</v>
      </c>
      <c r="B67">
        <f t="shared" si="11"/>
        <v>0</v>
      </c>
      <c r="C67">
        <f t="shared" si="16"/>
        <v>0</v>
      </c>
      <c r="D67">
        <f t="shared" si="3"/>
        <v>0</v>
      </c>
      <c r="E67">
        <f t="shared" si="4"/>
        <v>0</v>
      </c>
      <c r="F67">
        <f t="shared" si="5"/>
        <v>0</v>
      </c>
      <c r="G67">
        <f t="shared" si="6"/>
        <v>0</v>
      </c>
      <c r="H67">
        <f t="shared" si="7"/>
        <v>0</v>
      </c>
      <c r="I67">
        <f t="shared" si="7"/>
        <v>0</v>
      </c>
      <c r="J67">
        <f t="shared" si="7"/>
        <v>0</v>
      </c>
      <c r="K67">
        <f t="shared" si="7"/>
        <v>0</v>
      </c>
      <c r="L67">
        <f t="shared" si="8"/>
        <v>0</v>
      </c>
      <c r="M67">
        <f t="shared" si="14"/>
        <v>0</v>
      </c>
      <c r="N67" t="e">
        <f t="shared" si="15"/>
        <v>#REF!</v>
      </c>
    </row>
    <row r="68" spans="1:14">
      <c r="A68">
        <f t="shared" si="13"/>
        <v>68000</v>
      </c>
      <c r="B68">
        <f t="shared" si="11"/>
        <v>0</v>
      </c>
      <c r="C68">
        <f t="shared" si="16"/>
        <v>0</v>
      </c>
      <c r="D68">
        <f t="shared" si="3"/>
        <v>0</v>
      </c>
      <c r="E68">
        <f t="shared" si="4"/>
        <v>0</v>
      </c>
      <c r="F68">
        <f t="shared" si="5"/>
        <v>0</v>
      </c>
      <c r="G68">
        <f t="shared" si="6"/>
        <v>0</v>
      </c>
      <c r="H68">
        <f t="shared" si="7"/>
        <v>0</v>
      </c>
      <c r="I68">
        <f t="shared" si="7"/>
        <v>0</v>
      </c>
      <c r="J68">
        <f t="shared" si="7"/>
        <v>0</v>
      </c>
      <c r="K68">
        <f t="shared" si="7"/>
        <v>0</v>
      </c>
      <c r="L68">
        <f t="shared" si="8"/>
        <v>0</v>
      </c>
      <c r="M68">
        <f t="shared" si="14"/>
        <v>0</v>
      </c>
      <c r="N68" t="e">
        <f t="shared" si="15"/>
        <v>#REF!</v>
      </c>
    </row>
    <row r="69" spans="1:14">
      <c r="A69">
        <f t="shared" si="13"/>
        <v>82000</v>
      </c>
      <c r="B69">
        <f t="shared" si="11"/>
        <v>0</v>
      </c>
      <c r="C69">
        <f t="shared" si="16"/>
        <v>0</v>
      </c>
      <c r="D69">
        <f t="shared" si="3"/>
        <v>0</v>
      </c>
      <c r="E69">
        <f t="shared" si="4"/>
        <v>0</v>
      </c>
      <c r="F69">
        <f t="shared" si="5"/>
        <v>0</v>
      </c>
      <c r="G69">
        <f t="shared" si="6"/>
        <v>0</v>
      </c>
      <c r="H69">
        <f t="shared" si="7"/>
        <v>0</v>
      </c>
      <c r="I69">
        <f t="shared" si="7"/>
        <v>0</v>
      </c>
      <c r="J69">
        <f t="shared" si="7"/>
        <v>0</v>
      </c>
      <c r="K69">
        <f t="shared" ref="K69:L132" si="17">IF(IF((K$3*10^12-$A70)*(K$3*10^12-$A69)*-1&lt;0,0,1)*IF(ABS(K$3*10^12-$A70)&gt;(K$3*10^12-$A69),$A69,$A70)=K70,0,IF((K$3*10^12-$A70)*(K$3*10^12-$A69)*-1&lt;0,0,1)*IF(ABS(K$3*10^12-$A70)&gt;(K$3*10^12-$A69),$A69,$A70))</f>
        <v>0</v>
      </c>
      <c r="L69">
        <f t="shared" si="8"/>
        <v>0</v>
      </c>
      <c r="M69">
        <f t="shared" si="14"/>
        <v>0</v>
      </c>
      <c r="N69" t="e">
        <f t="shared" si="15"/>
        <v>#REF!</v>
      </c>
    </row>
    <row r="70" spans="1:14">
      <c r="A70">
        <f t="shared" si="13"/>
        <v>100000</v>
      </c>
      <c r="B70">
        <f t="shared" si="11"/>
        <v>0</v>
      </c>
      <c r="C70">
        <f t="shared" si="16"/>
        <v>0</v>
      </c>
      <c r="D70">
        <f t="shared" ref="D70:J70" si="18">IF(IF((D$3*10^12-$A71)*(D$3*10^12-$A70)*-1&lt;0,0,1)*IF(ABS(D$3*10^12-$A71)&gt;(D$3*10^12-$A70),$A70,$A71)=D71,0,IF((D$3*10^12-$A71)*(D$3*10^12-$A70)*-1&lt;0,0,1)*IF(ABS(D$3*10^12-$A71)&gt;(D$3*10^12-$A70),$A70,$A71))</f>
        <v>0</v>
      </c>
      <c r="E70">
        <f t="shared" si="18"/>
        <v>0</v>
      </c>
      <c r="F70">
        <f t="shared" si="18"/>
        <v>0</v>
      </c>
      <c r="G70">
        <f t="shared" si="18"/>
        <v>0</v>
      </c>
      <c r="H70">
        <f t="shared" si="18"/>
        <v>0</v>
      </c>
      <c r="I70">
        <f t="shared" si="18"/>
        <v>0</v>
      </c>
      <c r="J70">
        <f t="shared" si="18"/>
        <v>0</v>
      </c>
      <c r="K70">
        <f t="shared" si="17"/>
        <v>0</v>
      </c>
      <c r="L70">
        <f t="shared" si="17"/>
        <v>0</v>
      </c>
      <c r="M70">
        <f t="shared" ref="M70:M101" si="19">IF(IF((M$3*10^12-$A71)*(M$3*10^12-$A70)*-1&lt;0,0,1)*IF(ABS(M$3*10^12-$A71)&gt;(M$3*10^12-$A70),$A70,$A71)=M71,0,IF((M$3*10^12-$A71)*(M$3*10^12-$A70)*-1&lt;0,0,1)*IF(ABS(M$3*10^12-$A71)&gt;(M$3*10^12-$A70),$A70,$A71))</f>
        <v>0</v>
      </c>
      <c r="N70" t="e">
        <f t="shared" ref="N70:N101" si="20">IF(IF((N$3*10^12-$A71)*(N$3*10^12-$A70)*-1&lt;0,0,1)*IF(ABS(N$3*10^12-$A71)&gt;(N$3*10^12-$A70),$A70,$A71)=N71,0,IF((N$3*10^12-$A71)*(N$3*10^12-$A70)*-1&lt;0,0,1)*IF(ABS(N$3*10^12-$A71)&gt;(N$3*10^12-$A70),$A70,$A71))</f>
        <v>#REF!</v>
      </c>
    </row>
    <row r="71" spans="1:14">
      <c r="A71">
        <f t="shared" si="13"/>
        <v>120000</v>
      </c>
      <c r="B71">
        <f t="shared" ref="B71:B134" si="21">IF(IF((B$3*10^12-$A72)*(B$3*10^12-$A71)*-1&lt;0,0,1)*IF(ABS(B$3*10^12-$A72)&gt;(B$3*10^12-$A71),$A71,$A72)=B72,0,IF((B$3*10^12-$A72)*(B$3*10^12-$A71)*-1&lt;0,0,1)*IF(ABS(B$3*10^12-$A72)&gt;(B$3*10^12-$A71),$A71,$A72))</f>
        <v>0</v>
      </c>
      <c r="C71">
        <f t="shared" ref="C71:F134" si="22">IF(IF((C$3*10^12-$A72)*(C$3*10^12-$A71)*-1&lt;0,0,1)*IF(ABS(C$3*10^12-$A72)&gt;(C$3*10^12-$A71),$A71,$A72)=C72,0,IF((C$3*10^12-$A72)*(C$3*10^12-$A71)*-1&lt;0,0,1)*IF(ABS(C$3*10^12-$A72)&gt;(C$3*10^12-$A71),$A71,$A72))</f>
        <v>0</v>
      </c>
      <c r="D71">
        <f t="shared" si="22"/>
        <v>0</v>
      </c>
      <c r="E71">
        <f t="shared" si="22"/>
        <v>0</v>
      </c>
      <c r="F71">
        <f t="shared" si="22"/>
        <v>0</v>
      </c>
      <c r="G71">
        <f t="shared" ref="G71:G102" si="23">IF(IF((G$3*10^12-$A72)*(G$3*10^12-$A71)*-1&lt;0,0,1)*IF(ABS(G$3*10^12-$A72)&gt;(G$3*10^12-$A71),$A71,$A72)=G72,0,IF((G$3*10^12-$A72)*(G$3*10^12-$A71)*-1&lt;0,0,1)*IF(ABS(G$3*10^12-$A72)&gt;(G$3*10^12-$A71),$A71,$A72))</f>
        <v>0</v>
      </c>
      <c r="H71">
        <f t="shared" ref="H71:H102" si="24">IF(IF((H$3*10^12-$A72)*(H$3*10^12-$A71)*-1&lt;0,0,1)*IF(ABS(H$3*10^12-$A72)&gt;(H$3*10^12-$A71),$A71,$A72)=H72,0,IF((H$3*10^12-$A72)*(H$3*10^12-$A71)*-1&lt;0,0,1)*IF(ABS(H$3*10^12-$A72)&gt;(H$3*10^12-$A71),$A71,$A72))</f>
        <v>0</v>
      </c>
      <c r="I71">
        <f t="shared" ref="I71:I102" si="25">IF(IF((I$3*10^12-$A72)*(I$3*10^12-$A71)*-1&lt;0,0,1)*IF(ABS(I$3*10^12-$A72)&gt;(I$3*10^12-$A71),$A71,$A72)=I72,0,IF((I$3*10^12-$A72)*(I$3*10^12-$A71)*-1&lt;0,0,1)*IF(ABS(I$3*10^12-$A72)&gt;(I$3*10^12-$A71),$A71,$A72))</f>
        <v>0</v>
      </c>
      <c r="J71">
        <f t="shared" ref="J71:J102" si="26">IF(IF((J$3*10^12-$A72)*(J$3*10^12-$A71)*-1&lt;0,0,1)*IF(ABS(J$3*10^12-$A72)&gt;(J$3*10^12-$A71),$A71,$A72)=J72,0,IF((J$3*10^12-$A72)*(J$3*10^12-$A71)*-1&lt;0,0,1)*IF(ABS(J$3*10^12-$A72)&gt;(J$3*10^12-$A71),$A71,$A72))</f>
        <v>0</v>
      </c>
      <c r="K71">
        <f t="shared" si="17"/>
        <v>0</v>
      </c>
      <c r="L71">
        <f t="shared" si="17"/>
        <v>0</v>
      </c>
      <c r="M71">
        <f t="shared" si="19"/>
        <v>0</v>
      </c>
      <c r="N71" t="e">
        <f t="shared" si="20"/>
        <v>#REF!</v>
      </c>
    </row>
    <row r="72" spans="1:14">
      <c r="A72">
        <f t="shared" si="13"/>
        <v>150000</v>
      </c>
      <c r="B72">
        <f t="shared" si="21"/>
        <v>0</v>
      </c>
      <c r="C72">
        <f t="shared" si="22"/>
        <v>0</v>
      </c>
      <c r="D72">
        <f t="shared" si="22"/>
        <v>0</v>
      </c>
      <c r="E72">
        <f t="shared" si="22"/>
        <v>0</v>
      </c>
      <c r="F72">
        <f t="shared" si="22"/>
        <v>0</v>
      </c>
      <c r="G72">
        <f t="shared" si="23"/>
        <v>0</v>
      </c>
      <c r="H72">
        <f t="shared" si="24"/>
        <v>0</v>
      </c>
      <c r="I72">
        <f t="shared" si="25"/>
        <v>0</v>
      </c>
      <c r="J72">
        <f t="shared" si="26"/>
        <v>0</v>
      </c>
      <c r="K72">
        <f t="shared" si="17"/>
        <v>0</v>
      </c>
      <c r="L72">
        <f t="shared" si="17"/>
        <v>0</v>
      </c>
      <c r="M72">
        <f t="shared" si="19"/>
        <v>0</v>
      </c>
      <c r="N72" t="e">
        <f t="shared" si="20"/>
        <v>#REF!</v>
      </c>
    </row>
    <row r="73" spans="1:14">
      <c r="A73">
        <f t="shared" si="13"/>
        <v>180000</v>
      </c>
      <c r="B73">
        <f t="shared" si="21"/>
        <v>0</v>
      </c>
      <c r="C73">
        <f t="shared" si="22"/>
        <v>0</v>
      </c>
      <c r="D73">
        <f t="shared" si="22"/>
        <v>0</v>
      </c>
      <c r="E73">
        <f t="shared" si="22"/>
        <v>0</v>
      </c>
      <c r="F73">
        <f t="shared" si="22"/>
        <v>0</v>
      </c>
      <c r="G73">
        <f t="shared" si="23"/>
        <v>0</v>
      </c>
      <c r="H73">
        <f t="shared" si="24"/>
        <v>0</v>
      </c>
      <c r="I73">
        <f t="shared" si="25"/>
        <v>0</v>
      </c>
      <c r="J73">
        <f t="shared" si="26"/>
        <v>0</v>
      </c>
      <c r="K73">
        <f t="shared" si="17"/>
        <v>0</v>
      </c>
      <c r="L73">
        <f t="shared" si="17"/>
        <v>0</v>
      </c>
      <c r="M73">
        <f t="shared" si="19"/>
        <v>0</v>
      </c>
      <c r="N73" t="e">
        <f t="shared" si="20"/>
        <v>#REF!</v>
      </c>
    </row>
    <row r="74" spans="1:14">
      <c r="A74">
        <f t="shared" si="13"/>
        <v>220000</v>
      </c>
      <c r="B74">
        <f t="shared" si="21"/>
        <v>0</v>
      </c>
      <c r="C74">
        <f t="shared" si="22"/>
        <v>0</v>
      </c>
      <c r="D74">
        <f t="shared" si="22"/>
        <v>0</v>
      </c>
      <c r="E74">
        <f t="shared" si="22"/>
        <v>0</v>
      </c>
      <c r="F74">
        <f t="shared" si="22"/>
        <v>0</v>
      </c>
      <c r="G74">
        <f t="shared" si="23"/>
        <v>0</v>
      </c>
      <c r="H74">
        <f t="shared" si="24"/>
        <v>220000</v>
      </c>
      <c r="I74">
        <f t="shared" si="25"/>
        <v>0</v>
      </c>
      <c r="J74">
        <f t="shared" si="26"/>
        <v>0</v>
      </c>
      <c r="K74">
        <f t="shared" si="17"/>
        <v>0</v>
      </c>
      <c r="L74">
        <f t="shared" si="17"/>
        <v>0</v>
      </c>
      <c r="M74">
        <f t="shared" si="19"/>
        <v>0</v>
      </c>
      <c r="N74" t="e">
        <f t="shared" si="20"/>
        <v>#REF!</v>
      </c>
    </row>
    <row r="75" spans="1:14">
      <c r="A75">
        <f t="shared" si="13"/>
        <v>270000</v>
      </c>
      <c r="B75">
        <f t="shared" si="21"/>
        <v>0</v>
      </c>
      <c r="C75">
        <f t="shared" si="22"/>
        <v>0</v>
      </c>
      <c r="D75">
        <f t="shared" si="22"/>
        <v>0</v>
      </c>
      <c r="E75">
        <f t="shared" si="22"/>
        <v>0</v>
      </c>
      <c r="F75">
        <f t="shared" si="22"/>
        <v>0</v>
      </c>
      <c r="G75">
        <f t="shared" si="23"/>
        <v>0</v>
      </c>
      <c r="H75">
        <f t="shared" si="24"/>
        <v>0</v>
      </c>
      <c r="I75">
        <f t="shared" si="25"/>
        <v>0</v>
      </c>
      <c r="J75">
        <f t="shared" si="26"/>
        <v>0</v>
      </c>
      <c r="K75">
        <f t="shared" si="17"/>
        <v>0</v>
      </c>
      <c r="L75">
        <f t="shared" si="17"/>
        <v>0</v>
      </c>
      <c r="M75">
        <f t="shared" si="19"/>
        <v>0</v>
      </c>
      <c r="N75" t="e">
        <f t="shared" si="20"/>
        <v>#REF!</v>
      </c>
    </row>
    <row r="76" spans="1:14">
      <c r="A76">
        <f t="shared" si="13"/>
        <v>330000</v>
      </c>
      <c r="B76">
        <f t="shared" si="21"/>
        <v>0</v>
      </c>
      <c r="C76">
        <f t="shared" si="22"/>
        <v>0</v>
      </c>
      <c r="D76">
        <f t="shared" si="22"/>
        <v>0</v>
      </c>
      <c r="E76">
        <f t="shared" si="22"/>
        <v>0</v>
      </c>
      <c r="F76">
        <f t="shared" si="22"/>
        <v>0</v>
      </c>
      <c r="G76">
        <f t="shared" si="23"/>
        <v>0</v>
      </c>
      <c r="H76">
        <f t="shared" si="24"/>
        <v>0</v>
      </c>
      <c r="I76">
        <f t="shared" si="25"/>
        <v>0</v>
      </c>
      <c r="J76">
        <f t="shared" si="26"/>
        <v>0</v>
      </c>
      <c r="K76">
        <f t="shared" si="17"/>
        <v>0</v>
      </c>
      <c r="L76">
        <f t="shared" si="17"/>
        <v>0</v>
      </c>
      <c r="M76">
        <f t="shared" si="19"/>
        <v>0</v>
      </c>
      <c r="N76" t="e">
        <f t="shared" si="20"/>
        <v>#REF!</v>
      </c>
    </row>
    <row r="77" spans="1:14">
      <c r="A77">
        <f t="shared" si="13"/>
        <v>390000</v>
      </c>
      <c r="B77">
        <f t="shared" si="21"/>
        <v>0</v>
      </c>
      <c r="C77">
        <f t="shared" si="22"/>
        <v>0</v>
      </c>
      <c r="D77">
        <f t="shared" si="22"/>
        <v>0</v>
      </c>
      <c r="E77">
        <f t="shared" si="22"/>
        <v>0</v>
      </c>
      <c r="F77">
        <f t="shared" si="22"/>
        <v>0</v>
      </c>
      <c r="G77">
        <f t="shared" si="23"/>
        <v>0</v>
      </c>
      <c r="H77">
        <f t="shared" si="24"/>
        <v>0</v>
      </c>
      <c r="I77">
        <f t="shared" si="25"/>
        <v>0</v>
      </c>
      <c r="J77">
        <f t="shared" si="26"/>
        <v>0</v>
      </c>
      <c r="K77">
        <f t="shared" si="17"/>
        <v>0</v>
      </c>
      <c r="L77">
        <f t="shared" si="17"/>
        <v>0</v>
      </c>
      <c r="M77">
        <f t="shared" si="19"/>
        <v>0</v>
      </c>
      <c r="N77" t="e">
        <f t="shared" si="20"/>
        <v>#REF!</v>
      </c>
    </row>
    <row r="78" spans="1:14">
      <c r="A78">
        <f t="shared" si="13"/>
        <v>470000</v>
      </c>
      <c r="B78">
        <f t="shared" si="21"/>
        <v>0</v>
      </c>
      <c r="C78">
        <f t="shared" si="22"/>
        <v>0</v>
      </c>
      <c r="D78">
        <f t="shared" si="22"/>
        <v>0</v>
      </c>
      <c r="E78">
        <f t="shared" si="22"/>
        <v>0</v>
      </c>
      <c r="F78">
        <f t="shared" si="22"/>
        <v>0</v>
      </c>
      <c r="G78">
        <f t="shared" si="23"/>
        <v>0</v>
      </c>
      <c r="H78">
        <f t="shared" si="24"/>
        <v>0</v>
      </c>
      <c r="I78">
        <f t="shared" si="25"/>
        <v>0</v>
      </c>
      <c r="J78">
        <f t="shared" si="26"/>
        <v>0</v>
      </c>
      <c r="K78">
        <f t="shared" si="17"/>
        <v>0</v>
      </c>
      <c r="L78">
        <f t="shared" si="17"/>
        <v>0</v>
      </c>
      <c r="M78">
        <f t="shared" si="19"/>
        <v>0</v>
      </c>
      <c r="N78" t="e">
        <f t="shared" si="20"/>
        <v>#REF!</v>
      </c>
    </row>
    <row r="79" spans="1:14">
      <c r="A79">
        <f t="shared" si="13"/>
        <v>560000</v>
      </c>
      <c r="B79">
        <f t="shared" si="21"/>
        <v>0</v>
      </c>
      <c r="C79">
        <f t="shared" si="22"/>
        <v>0</v>
      </c>
      <c r="D79">
        <f t="shared" si="22"/>
        <v>0</v>
      </c>
      <c r="E79">
        <f t="shared" si="22"/>
        <v>0</v>
      </c>
      <c r="F79">
        <f t="shared" si="22"/>
        <v>0</v>
      </c>
      <c r="G79">
        <f t="shared" si="23"/>
        <v>0</v>
      </c>
      <c r="H79">
        <f t="shared" si="24"/>
        <v>0</v>
      </c>
      <c r="I79">
        <f t="shared" si="25"/>
        <v>0</v>
      </c>
      <c r="J79">
        <f t="shared" si="26"/>
        <v>0</v>
      </c>
      <c r="K79">
        <f t="shared" si="17"/>
        <v>0</v>
      </c>
      <c r="L79">
        <f t="shared" si="17"/>
        <v>0</v>
      </c>
      <c r="M79">
        <f t="shared" si="19"/>
        <v>0</v>
      </c>
      <c r="N79" t="e">
        <f t="shared" si="20"/>
        <v>#REF!</v>
      </c>
    </row>
    <row r="80" spans="1:14">
      <c r="A80">
        <f t="shared" si="13"/>
        <v>680000</v>
      </c>
      <c r="B80">
        <f t="shared" si="21"/>
        <v>0</v>
      </c>
      <c r="C80">
        <f t="shared" si="22"/>
        <v>0</v>
      </c>
      <c r="D80">
        <f t="shared" si="22"/>
        <v>0</v>
      </c>
      <c r="E80">
        <f t="shared" si="22"/>
        <v>0</v>
      </c>
      <c r="F80">
        <f t="shared" si="22"/>
        <v>0</v>
      </c>
      <c r="G80">
        <f t="shared" si="23"/>
        <v>0</v>
      </c>
      <c r="H80">
        <f t="shared" si="24"/>
        <v>0</v>
      </c>
      <c r="I80">
        <f t="shared" si="25"/>
        <v>0</v>
      </c>
      <c r="J80">
        <f t="shared" si="26"/>
        <v>0</v>
      </c>
      <c r="K80">
        <f t="shared" si="17"/>
        <v>0</v>
      </c>
      <c r="L80">
        <f t="shared" si="17"/>
        <v>0</v>
      </c>
      <c r="M80">
        <f t="shared" si="19"/>
        <v>0</v>
      </c>
      <c r="N80" t="e">
        <f t="shared" si="20"/>
        <v>#REF!</v>
      </c>
    </row>
    <row r="81" spans="1:14">
      <c r="A81">
        <f t="shared" si="13"/>
        <v>820000</v>
      </c>
      <c r="B81">
        <f t="shared" si="21"/>
        <v>0</v>
      </c>
      <c r="C81">
        <f t="shared" si="22"/>
        <v>0</v>
      </c>
      <c r="D81">
        <f t="shared" si="22"/>
        <v>0</v>
      </c>
      <c r="E81">
        <f t="shared" si="22"/>
        <v>0</v>
      </c>
      <c r="F81">
        <f t="shared" si="22"/>
        <v>0</v>
      </c>
      <c r="G81">
        <f t="shared" si="23"/>
        <v>0</v>
      </c>
      <c r="H81">
        <f t="shared" si="24"/>
        <v>0</v>
      </c>
      <c r="I81">
        <f t="shared" si="25"/>
        <v>0</v>
      </c>
      <c r="J81">
        <f t="shared" si="26"/>
        <v>0</v>
      </c>
      <c r="K81">
        <f t="shared" si="17"/>
        <v>0</v>
      </c>
      <c r="L81">
        <f t="shared" si="17"/>
        <v>0</v>
      </c>
      <c r="M81">
        <f t="shared" si="19"/>
        <v>0</v>
      </c>
      <c r="N81" t="e">
        <f t="shared" si="20"/>
        <v>#REF!</v>
      </c>
    </row>
    <row r="82" spans="1:14">
      <c r="A82">
        <f t="shared" si="13"/>
        <v>1000000</v>
      </c>
      <c r="B82">
        <f t="shared" si="21"/>
        <v>0</v>
      </c>
      <c r="C82">
        <f t="shared" si="22"/>
        <v>0</v>
      </c>
      <c r="D82">
        <f t="shared" si="22"/>
        <v>0</v>
      </c>
      <c r="E82">
        <f t="shared" si="22"/>
        <v>0</v>
      </c>
      <c r="F82">
        <f t="shared" si="22"/>
        <v>0</v>
      </c>
      <c r="G82">
        <f t="shared" si="23"/>
        <v>0</v>
      </c>
      <c r="H82">
        <f t="shared" si="24"/>
        <v>0</v>
      </c>
      <c r="I82">
        <f t="shared" si="25"/>
        <v>0</v>
      </c>
      <c r="J82">
        <f t="shared" si="26"/>
        <v>0</v>
      </c>
      <c r="K82">
        <f t="shared" si="17"/>
        <v>0</v>
      </c>
      <c r="L82">
        <f t="shared" si="17"/>
        <v>0</v>
      </c>
      <c r="M82">
        <f t="shared" si="19"/>
        <v>0</v>
      </c>
      <c r="N82" t="e">
        <f t="shared" si="20"/>
        <v>#REF!</v>
      </c>
    </row>
    <row r="83" spans="1:14">
      <c r="A83">
        <f t="shared" si="13"/>
        <v>1200000</v>
      </c>
      <c r="B83">
        <f t="shared" si="21"/>
        <v>0</v>
      </c>
      <c r="C83">
        <f t="shared" si="22"/>
        <v>0</v>
      </c>
      <c r="D83">
        <f t="shared" si="22"/>
        <v>0</v>
      </c>
      <c r="E83">
        <f t="shared" si="22"/>
        <v>0</v>
      </c>
      <c r="F83">
        <f t="shared" si="22"/>
        <v>0</v>
      </c>
      <c r="G83">
        <f t="shared" si="23"/>
        <v>0</v>
      </c>
      <c r="H83">
        <f t="shared" si="24"/>
        <v>0</v>
      </c>
      <c r="I83">
        <f t="shared" si="25"/>
        <v>0</v>
      </c>
      <c r="J83">
        <f t="shared" si="26"/>
        <v>0</v>
      </c>
      <c r="K83">
        <f t="shared" si="17"/>
        <v>0</v>
      </c>
      <c r="L83">
        <f t="shared" si="17"/>
        <v>0</v>
      </c>
      <c r="M83">
        <f t="shared" si="19"/>
        <v>0</v>
      </c>
      <c r="N83" t="e">
        <f t="shared" si="20"/>
        <v>#REF!</v>
      </c>
    </row>
    <row r="84" spans="1:14">
      <c r="A84">
        <f t="shared" si="13"/>
        <v>1500000</v>
      </c>
      <c r="B84">
        <f t="shared" si="21"/>
        <v>0</v>
      </c>
      <c r="C84">
        <f t="shared" si="22"/>
        <v>0</v>
      </c>
      <c r="D84">
        <f t="shared" si="22"/>
        <v>0</v>
      </c>
      <c r="E84">
        <f t="shared" si="22"/>
        <v>0</v>
      </c>
      <c r="F84">
        <f t="shared" si="22"/>
        <v>0</v>
      </c>
      <c r="G84">
        <f t="shared" si="23"/>
        <v>0</v>
      </c>
      <c r="H84">
        <f t="shared" si="24"/>
        <v>0</v>
      </c>
      <c r="I84">
        <f t="shared" si="25"/>
        <v>0</v>
      </c>
      <c r="J84">
        <f t="shared" si="26"/>
        <v>0</v>
      </c>
      <c r="K84">
        <f t="shared" si="17"/>
        <v>0</v>
      </c>
      <c r="L84">
        <f t="shared" si="17"/>
        <v>0</v>
      </c>
      <c r="M84">
        <f t="shared" si="19"/>
        <v>0</v>
      </c>
      <c r="N84" t="e">
        <f t="shared" si="20"/>
        <v>#REF!</v>
      </c>
    </row>
    <row r="85" spans="1:14">
      <c r="A85">
        <f t="shared" si="13"/>
        <v>1800000</v>
      </c>
      <c r="B85">
        <f t="shared" si="21"/>
        <v>0</v>
      </c>
      <c r="C85">
        <f t="shared" si="22"/>
        <v>0</v>
      </c>
      <c r="D85">
        <f t="shared" si="22"/>
        <v>0</v>
      </c>
      <c r="E85">
        <f t="shared" si="22"/>
        <v>0</v>
      </c>
      <c r="F85">
        <f t="shared" si="22"/>
        <v>0</v>
      </c>
      <c r="G85">
        <f t="shared" si="23"/>
        <v>0</v>
      </c>
      <c r="H85">
        <f t="shared" si="24"/>
        <v>0</v>
      </c>
      <c r="I85">
        <f t="shared" si="25"/>
        <v>0</v>
      </c>
      <c r="J85">
        <f t="shared" si="26"/>
        <v>0</v>
      </c>
      <c r="K85">
        <f t="shared" si="17"/>
        <v>0</v>
      </c>
      <c r="L85">
        <f t="shared" si="17"/>
        <v>0</v>
      </c>
      <c r="M85">
        <f t="shared" si="19"/>
        <v>0</v>
      </c>
      <c r="N85" t="e">
        <f t="shared" si="20"/>
        <v>#REF!</v>
      </c>
    </row>
    <row r="86" spans="1:14">
      <c r="A86">
        <f t="shared" si="13"/>
        <v>2200000</v>
      </c>
      <c r="B86">
        <f t="shared" si="21"/>
        <v>0</v>
      </c>
      <c r="C86">
        <f t="shared" si="22"/>
        <v>0</v>
      </c>
      <c r="D86">
        <f t="shared" si="22"/>
        <v>0</v>
      </c>
      <c r="E86">
        <f t="shared" si="22"/>
        <v>0</v>
      </c>
      <c r="F86">
        <f t="shared" si="22"/>
        <v>0</v>
      </c>
      <c r="G86">
        <f t="shared" si="23"/>
        <v>0</v>
      </c>
      <c r="H86">
        <f t="shared" si="24"/>
        <v>0</v>
      </c>
      <c r="I86">
        <f t="shared" si="25"/>
        <v>0</v>
      </c>
      <c r="J86">
        <f t="shared" si="26"/>
        <v>0</v>
      </c>
      <c r="K86">
        <f t="shared" si="17"/>
        <v>0</v>
      </c>
      <c r="L86">
        <f t="shared" si="17"/>
        <v>0</v>
      </c>
      <c r="M86">
        <f t="shared" si="19"/>
        <v>0</v>
      </c>
      <c r="N86" t="e">
        <f t="shared" si="20"/>
        <v>#REF!</v>
      </c>
    </row>
    <row r="87" spans="1:14">
      <c r="A87">
        <f t="shared" si="13"/>
        <v>2700000</v>
      </c>
      <c r="B87">
        <f t="shared" si="21"/>
        <v>0</v>
      </c>
      <c r="C87">
        <f t="shared" si="22"/>
        <v>0</v>
      </c>
      <c r="D87">
        <f t="shared" si="22"/>
        <v>0</v>
      </c>
      <c r="E87">
        <f t="shared" si="22"/>
        <v>0</v>
      </c>
      <c r="F87">
        <f t="shared" si="22"/>
        <v>0</v>
      </c>
      <c r="G87">
        <f t="shared" si="23"/>
        <v>0</v>
      </c>
      <c r="H87">
        <f t="shared" si="24"/>
        <v>0</v>
      </c>
      <c r="I87">
        <f t="shared" si="25"/>
        <v>0</v>
      </c>
      <c r="J87">
        <f t="shared" si="26"/>
        <v>0</v>
      </c>
      <c r="K87">
        <f t="shared" si="17"/>
        <v>0</v>
      </c>
      <c r="L87">
        <f t="shared" si="17"/>
        <v>0</v>
      </c>
      <c r="M87">
        <f t="shared" si="19"/>
        <v>0</v>
      </c>
      <c r="N87" t="e">
        <f t="shared" si="20"/>
        <v>#REF!</v>
      </c>
    </row>
    <row r="88" spans="1:14">
      <c r="A88">
        <f t="shared" si="13"/>
        <v>3300000</v>
      </c>
      <c r="B88">
        <f t="shared" si="21"/>
        <v>0</v>
      </c>
      <c r="C88">
        <f t="shared" si="22"/>
        <v>0</v>
      </c>
      <c r="D88">
        <f t="shared" si="22"/>
        <v>0</v>
      </c>
      <c r="E88">
        <f t="shared" si="22"/>
        <v>0</v>
      </c>
      <c r="F88">
        <f t="shared" si="22"/>
        <v>0</v>
      </c>
      <c r="G88">
        <f t="shared" si="23"/>
        <v>0</v>
      </c>
      <c r="H88">
        <f t="shared" si="24"/>
        <v>0</v>
      </c>
      <c r="I88">
        <f t="shared" si="25"/>
        <v>0</v>
      </c>
      <c r="J88">
        <f t="shared" si="26"/>
        <v>0</v>
      </c>
      <c r="K88">
        <f t="shared" si="17"/>
        <v>0</v>
      </c>
      <c r="L88">
        <f t="shared" si="17"/>
        <v>0</v>
      </c>
      <c r="M88">
        <f t="shared" si="19"/>
        <v>0</v>
      </c>
      <c r="N88" t="e">
        <f t="shared" si="20"/>
        <v>#REF!</v>
      </c>
    </row>
    <row r="89" spans="1:14">
      <c r="A89">
        <f t="shared" si="13"/>
        <v>3900000</v>
      </c>
      <c r="B89">
        <f t="shared" si="21"/>
        <v>0</v>
      </c>
      <c r="C89">
        <f t="shared" si="22"/>
        <v>0</v>
      </c>
      <c r="D89">
        <f t="shared" si="22"/>
        <v>0</v>
      </c>
      <c r="E89">
        <f t="shared" si="22"/>
        <v>0</v>
      </c>
      <c r="F89">
        <f t="shared" si="22"/>
        <v>0</v>
      </c>
      <c r="G89">
        <f t="shared" si="23"/>
        <v>0</v>
      </c>
      <c r="H89">
        <f t="shared" si="24"/>
        <v>0</v>
      </c>
      <c r="I89">
        <f t="shared" si="25"/>
        <v>0</v>
      </c>
      <c r="J89">
        <f t="shared" si="26"/>
        <v>0</v>
      </c>
      <c r="K89">
        <f t="shared" si="17"/>
        <v>0</v>
      </c>
      <c r="L89">
        <f t="shared" si="17"/>
        <v>0</v>
      </c>
      <c r="M89">
        <f t="shared" si="19"/>
        <v>0</v>
      </c>
      <c r="N89" t="e">
        <f t="shared" si="20"/>
        <v>#REF!</v>
      </c>
    </row>
    <row r="90" spans="1:14">
      <c r="A90">
        <f t="shared" si="13"/>
        <v>4700000</v>
      </c>
      <c r="B90">
        <f t="shared" si="21"/>
        <v>0</v>
      </c>
      <c r="C90">
        <f t="shared" si="22"/>
        <v>0</v>
      </c>
      <c r="D90">
        <f t="shared" si="22"/>
        <v>0</v>
      </c>
      <c r="E90">
        <f t="shared" si="22"/>
        <v>0</v>
      </c>
      <c r="F90">
        <f t="shared" si="22"/>
        <v>0</v>
      </c>
      <c r="G90">
        <f t="shared" si="23"/>
        <v>0</v>
      </c>
      <c r="H90">
        <f t="shared" si="24"/>
        <v>0</v>
      </c>
      <c r="I90">
        <f t="shared" si="25"/>
        <v>0</v>
      </c>
      <c r="J90">
        <f t="shared" si="26"/>
        <v>0</v>
      </c>
      <c r="K90">
        <f t="shared" si="17"/>
        <v>0</v>
      </c>
      <c r="L90">
        <f t="shared" si="17"/>
        <v>0</v>
      </c>
      <c r="M90">
        <f t="shared" si="19"/>
        <v>0</v>
      </c>
      <c r="N90" t="e">
        <f t="shared" si="20"/>
        <v>#REF!</v>
      </c>
    </row>
    <row r="91" spans="1:14">
      <c r="A91">
        <f t="shared" si="13"/>
        <v>5600000</v>
      </c>
      <c r="B91">
        <f t="shared" si="21"/>
        <v>0</v>
      </c>
      <c r="C91">
        <f t="shared" si="22"/>
        <v>0</v>
      </c>
      <c r="D91">
        <f t="shared" si="22"/>
        <v>0</v>
      </c>
      <c r="E91">
        <f t="shared" si="22"/>
        <v>0</v>
      </c>
      <c r="F91">
        <f t="shared" si="22"/>
        <v>0</v>
      </c>
      <c r="G91">
        <f t="shared" si="23"/>
        <v>0</v>
      </c>
      <c r="H91">
        <f t="shared" si="24"/>
        <v>0</v>
      </c>
      <c r="I91">
        <f t="shared" si="25"/>
        <v>0</v>
      </c>
      <c r="J91">
        <f t="shared" si="26"/>
        <v>0</v>
      </c>
      <c r="K91">
        <f t="shared" si="17"/>
        <v>0</v>
      </c>
      <c r="L91">
        <f t="shared" si="17"/>
        <v>0</v>
      </c>
      <c r="M91">
        <f t="shared" si="19"/>
        <v>0</v>
      </c>
      <c r="N91" t="e">
        <f t="shared" si="20"/>
        <v>#REF!</v>
      </c>
    </row>
    <row r="92" spans="1:14">
      <c r="A92">
        <f t="shared" si="13"/>
        <v>6800000</v>
      </c>
      <c r="B92">
        <f t="shared" si="21"/>
        <v>0</v>
      </c>
      <c r="C92">
        <f t="shared" si="22"/>
        <v>0</v>
      </c>
      <c r="D92">
        <f t="shared" si="22"/>
        <v>0</v>
      </c>
      <c r="E92">
        <f t="shared" si="22"/>
        <v>0</v>
      </c>
      <c r="F92">
        <f t="shared" si="22"/>
        <v>0</v>
      </c>
      <c r="G92">
        <f t="shared" si="23"/>
        <v>0</v>
      </c>
      <c r="H92">
        <f t="shared" si="24"/>
        <v>0</v>
      </c>
      <c r="I92">
        <f t="shared" si="25"/>
        <v>0</v>
      </c>
      <c r="J92">
        <f t="shared" si="26"/>
        <v>0</v>
      </c>
      <c r="K92">
        <f t="shared" si="17"/>
        <v>0</v>
      </c>
      <c r="L92">
        <f t="shared" si="17"/>
        <v>0</v>
      </c>
      <c r="M92">
        <f t="shared" si="19"/>
        <v>0</v>
      </c>
      <c r="N92" t="e">
        <f t="shared" si="20"/>
        <v>#REF!</v>
      </c>
    </row>
    <row r="93" spans="1:14">
      <c r="A93">
        <f t="shared" si="13"/>
        <v>8200000</v>
      </c>
      <c r="B93">
        <f t="shared" si="21"/>
        <v>0</v>
      </c>
      <c r="C93">
        <f t="shared" si="22"/>
        <v>0</v>
      </c>
      <c r="D93">
        <f t="shared" si="22"/>
        <v>0</v>
      </c>
      <c r="E93">
        <f t="shared" si="22"/>
        <v>0</v>
      </c>
      <c r="F93">
        <f t="shared" si="22"/>
        <v>0</v>
      </c>
      <c r="G93">
        <f t="shared" si="23"/>
        <v>0</v>
      </c>
      <c r="H93">
        <f t="shared" si="24"/>
        <v>0</v>
      </c>
      <c r="I93">
        <f t="shared" si="25"/>
        <v>0</v>
      </c>
      <c r="J93">
        <f t="shared" si="26"/>
        <v>0</v>
      </c>
      <c r="K93">
        <f t="shared" si="17"/>
        <v>0</v>
      </c>
      <c r="L93">
        <f t="shared" si="17"/>
        <v>0</v>
      </c>
      <c r="M93">
        <f t="shared" si="19"/>
        <v>0</v>
      </c>
      <c r="N93" t="e">
        <f t="shared" si="20"/>
        <v>#REF!</v>
      </c>
    </row>
    <row r="94" spans="1:14">
      <c r="A94">
        <f t="shared" si="13"/>
        <v>10000000</v>
      </c>
      <c r="B94">
        <f t="shared" si="21"/>
        <v>0</v>
      </c>
      <c r="C94">
        <f t="shared" si="22"/>
        <v>0</v>
      </c>
      <c r="D94">
        <f t="shared" si="22"/>
        <v>0</v>
      </c>
      <c r="E94">
        <f t="shared" si="22"/>
        <v>0</v>
      </c>
      <c r="F94">
        <f t="shared" si="22"/>
        <v>0</v>
      </c>
      <c r="G94">
        <f t="shared" si="23"/>
        <v>0</v>
      </c>
      <c r="H94">
        <f t="shared" si="24"/>
        <v>0</v>
      </c>
      <c r="I94">
        <f t="shared" si="25"/>
        <v>0</v>
      </c>
      <c r="J94">
        <f t="shared" si="26"/>
        <v>0</v>
      </c>
      <c r="K94">
        <f t="shared" si="17"/>
        <v>0</v>
      </c>
      <c r="L94">
        <f t="shared" si="17"/>
        <v>0</v>
      </c>
      <c r="M94">
        <f t="shared" si="19"/>
        <v>0</v>
      </c>
      <c r="N94" t="e">
        <f t="shared" si="20"/>
        <v>#REF!</v>
      </c>
    </row>
    <row r="95" spans="1:14">
      <c r="A95">
        <f t="shared" si="13"/>
        <v>12000000</v>
      </c>
      <c r="B95">
        <f t="shared" si="21"/>
        <v>0</v>
      </c>
      <c r="C95">
        <f t="shared" si="22"/>
        <v>0</v>
      </c>
      <c r="D95">
        <f t="shared" si="22"/>
        <v>0</v>
      </c>
      <c r="E95">
        <f t="shared" si="22"/>
        <v>0</v>
      </c>
      <c r="F95">
        <f t="shared" si="22"/>
        <v>0</v>
      </c>
      <c r="G95">
        <f t="shared" si="23"/>
        <v>0</v>
      </c>
      <c r="H95">
        <f t="shared" si="24"/>
        <v>0</v>
      </c>
      <c r="I95">
        <f t="shared" si="25"/>
        <v>0</v>
      </c>
      <c r="J95">
        <f t="shared" si="26"/>
        <v>0</v>
      </c>
      <c r="K95">
        <f t="shared" si="17"/>
        <v>0</v>
      </c>
      <c r="L95">
        <f t="shared" si="17"/>
        <v>0</v>
      </c>
      <c r="M95">
        <f t="shared" si="19"/>
        <v>0</v>
      </c>
      <c r="N95" t="e">
        <f t="shared" si="20"/>
        <v>#REF!</v>
      </c>
    </row>
    <row r="96" spans="1:14">
      <c r="A96">
        <f t="shared" si="13"/>
        <v>15000000</v>
      </c>
      <c r="B96">
        <f t="shared" si="21"/>
        <v>0</v>
      </c>
      <c r="C96">
        <f t="shared" si="22"/>
        <v>0</v>
      </c>
      <c r="D96">
        <f t="shared" si="22"/>
        <v>0</v>
      </c>
      <c r="E96">
        <f t="shared" si="22"/>
        <v>0</v>
      </c>
      <c r="F96">
        <f t="shared" si="22"/>
        <v>0</v>
      </c>
      <c r="G96">
        <f t="shared" si="23"/>
        <v>0</v>
      </c>
      <c r="H96">
        <f t="shared" si="24"/>
        <v>0</v>
      </c>
      <c r="I96">
        <f t="shared" si="25"/>
        <v>0</v>
      </c>
      <c r="J96">
        <f t="shared" si="26"/>
        <v>0</v>
      </c>
      <c r="K96">
        <f t="shared" si="17"/>
        <v>0</v>
      </c>
      <c r="L96">
        <f t="shared" si="17"/>
        <v>0</v>
      </c>
      <c r="M96">
        <f t="shared" si="19"/>
        <v>0</v>
      </c>
      <c r="N96" t="e">
        <f t="shared" si="20"/>
        <v>#REF!</v>
      </c>
    </row>
    <row r="97" spans="1:14">
      <c r="A97">
        <f t="shared" si="13"/>
        <v>18000000</v>
      </c>
      <c r="B97">
        <f t="shared" si="21"/>
        <v>0</v>
      </c>
      <c r="C97">
        <f t="shared" si="22"/>
        <v>0</v>
      </c>
      <c r="D97">
        <f t="shared" si="22"/>
        <v>0</v>
      </c>
      <c r="E97">
        <f t="shared" si="22"/>
        <v>0</v>
      </c>
      <c r="F97">
        <f t="shared" si="22"/>
        <v>0</v>
      </c>
      <c r="G97">
        <f t="shared" si="23"/>
        <v>0</v>
      </c>
      <c r="H97">
        <f t="shared" si="24"/>
        <v>0</v>
      </c>
      <c r="I97">
        <f t="shared" si="25"/>
        <v>0</v>
      </c>
      <c r="J97">
        <f t="shared" si="26"/>
        <v>0</v>
      </c>
      <c r="K97">
        <f t="shared" si="17"/>
        <v>0</v>
      </c>
      <c r="L97">
        <f t="shared" si="17"/>
        <v>0</v>
      </c>
      <c r="M97">
        <f t="shared" si="19"/>
        <v>0</v>
      </c>
      <c r="N97" t="e">
        <f t="shared" si="20"/>
        <v>#REF!</v>
      </c>
    </row>
    <row r="98" spans="1:14">
      <c r="A98">
        <f t="shared" si="13"/>
        <v>22000000</v>
      </c>
      <c r="B98">
        <f t="shared" si="21"/>
        <v>0</v>
      </c>
      <c r="C98">
        <f t="shared" si="22"/>
        <v>0</v>
      </c>
      <c r="D98">
        <f t="shared" si="22"/>
        <v>0</v>
      </c>
      <c r="E98">
        <f t="shared" si="22"/>
        <v>0</v>
      </c>
      <c r="F98">
        <f t="shared" si="22"/>
        <v>0</v>
      </c>
      <c r="G98">
        <f t="shared" si="23"/>
        <v>0</v>
      </c>
      <c r="H98">
        <f t="shared" si="24"/>
        <v>0</v>
      </c>
      <c r="I98">
        <f t="shared" si="25"/>
        <v>0</v>
      </c>
      <c r="J98">
        <f t="shared" si="26"/>
        <v>0</v>
      </c>
      <c r="K98">
        <f t="shared" si="17"/>
        <v>0</v>
      </c>
      <c r="L98">
        <f t="shared" si="17"/>
        <v>0</v>
      </c>
      <c r="M98">
        <f t="shared" si="19"/>
        <v>0</v>
      </c>
      <c r="N98" t="e">
        <f t="shared" si="20"/>
        <v>#REF!</v>
      </c>
    </row>
    <row r="99" spans="1:14">
      <c r="A99">
        <f t="shared" ref="A99:A159" si="27">A87*10</f>
        <v>27000000</v>
      </c>
      <c r="B99">
        <f t="shared" si="21"/>
        <v>0</v>
      </c>
      <c r="C99">
        <f t="shared" si="22"/>
        <v>0</v>
      </c>
      <c r="D99">
        <f t="shared" si="22"/>
        <v>0</v>
      </c>
      <c r="E99">
        <f t="shared" si="22"/>
        <v>0</v>
      </c>
      <c r="F99">
        <f t="shared" si="22"/>
        <v>0</v>
      </c>
      <c r="G99">
        <f t="shared" si="23"/>
        <v>0</v>
      </c>
      <c r="H99">
        <f t="shared" si="24"/>
        <v>0</v>
      </c>
      <c r="I99">
        <f t="shared" si="25"/>
        <v>0</v>
      </c>
      <c r="J99">
        <f t="shared" si="26"/>
        <v>0</v>
      </c>
      <c r="K99">
        <f t="shared" si="17"/>
        <v>0</v>
      </c>
      <c r="L99">
        <f t="shared" si="17"/>
        <v>0</v>
      </c>
      <c r="M99">
        <f t="shared" si="19"/>
        <v>0</v>
      </c>
      <c r="N99" t="e">
        <f t="shared" si="20"/>
        <v>#REF!</v>
      </c>
    </row>
    <row r="100" spans="1:14">
      <c r="A100">
        <f t="shared" si="27"/>
        <v>33000000</v>
      </c>
      <c r="B100">
        <f t="shared" si="21"/>
        <v>0</v>
      </c>
      <c r="C100">
        <f t="shared" si="22"/>
        <v>0</v>
      </c>
      <c r="D100">
        <f t="shared" si="22"/>
        <v>0</v>
      </c>
      <c r="E100">
        <f t="shared" si="22"/>
        <v>0</v>
      </c>
      <c r="F100">
        <f t="shared" si="22"/>
        <v>0</v>
      </c>
      <c r="G100">
        <f t="shared" si="23"/>
        <v>0</v>
      </c>
      <c r="H100">
        <f t="shared" si="24"/>
        <v>0</v>
      </c>
      <c r="I100">
        <f t="shared" si="25"/>
        <v>0</v>
      </c>
      <c r="J100">
        <f t="shared" si="26"/>
        <v>0</v>
      </c>
      <c r="K100">
        <f t="shared" si="17"/>
        <v>0</v>
      </c>
      <c r="L100">
        <f t="shared" si="17"/>
        <v>0</v>
      </c>
      <c r="M100">
        <f t="shared" si="19"/>
        <v>0</v>
      </c>
      <c r="N100" t="e">
        <f t="shared" si="20"/>
        <v>#REF!</v>
      </c>
    </row>
    <row r="101" spans="1:14">
      <c r="A101">
        <f t="shared" si="27"/>
        <v>39000000</v>
      </c>
      <c r="B101">
        <f t="shared" si="21"/>
        <v>0</v>
      </c>
      <c r="C101">
        <f t="shared" si="22"/>
        <v>0</v>
      </c>
      <c r="D101">
        <f t="shared" si="22"/>
        <v>0</v>
      </c>
      <c r="E101">
        <f t="shared" si="22"/>
        <v>0</v>
      </c>
      <c r="F101">
        <f t="shared" si="22"/>
        <v>0</v>
      </c>
      <c r="G101">
        <f t="shared" si="23"/>
        <v>0</v>
      </c>
      <c r="H101">
        <f t="shared" si="24"/>
        <v>0</v>
      </c>
      <c r="I101">
        <f t="shared" si="25"/>
        <v>0</v>
      </c>
      <c r="J101">
        <f t="shared" si="26"/>
        <v>0</v>
      </c>
      <c r="K101">
        <f t="shared" si="17"/>
        <v>0</v>
      </c>
      <c r="L101">
        <f t="shared" si="17"/>
        <v>0</v>
      </c>
      <c r="M101">
        <f t="shared" si="19"/>
        <v>0</v>
      </c>
      <c r="N101" t="e">
        <f t="shared" si="20"/>
        <v>#REF!</v>
      </c>
    </row>
    <row r="102" spans="1:14">
      <c r="A102">
        <f t="shared" si="27"/>
        <v>47000000</v>
      </c>
      <c r="B102">
        <f t="shared" si="21"/>
        <v>0</v>
      </c>
      <c r="C102">
        <f t="shared" si="22"/>
        <v>0</v>
      </c>
      <c r="D102">
        <f t="shared" si="22"/>
        <v>0</v>
      </c>
      <c r="E102">
        <f t="shared" si="22"/>
        <v>0</v>
      </c>
      <c r="F102">
        <f t="shared" si="22"/>
        <v>0</v>
      </c>
      <c r="G102">
        <f t="shared" si="23"/>
        <v>0</v>
      </c>
      <c r="H102">
        <f t="shared" si="24"/>
        <v>0</v>
      </c>
      <c r="I102">
        <f t="shared" si="25"/>
        <v>0</v>
      </c>
      <c r="J102">
        <f t="shared" si="26"/>
        <v>0</v>
      </c>
      <c r="K102">
        <f t="shared" si="17"/>
        <v>0</v>
      </c>
      <c r="L102">
        <f t="shared" si="17"/>
        <v>0</v>
      </c>
      <c r="M102">
        <f t="shared" ref="M102:M133" si="28">IF(IF((M$3*10^12-$A103)*(M$3*10^12-$A102)*-1&lt;0,0,1)*IF(ABS(M$3*10^12-$A103)&gt;(M$3*10^12-$A102),$A102,$A103)=M103,0,IF((M$3*10^12-$A103)*(M$3*10^12-$A102)*-1&lt;0,0,1)*IF(ABS(M$3*10^12-$A103)&gt;(M$3*10^12-$A102),$A102,$A103))</f>
        <v>0</v>
      </c>
      <c r="N102" t="e">
        <f t="shared" ref="N102:N133" si="29">IF(IF((N$3*10^12-$A103)*(N$3*10^12-$A102)*-1&lt;0,0,1)*IF(ABS(N$3*10^12-$A103)&gt;(N$3*10^12-$A102),$A102,$A103)=N103,0,IF((N$3*10^12-$A103)*(N$3*10^12-$A102)*-1&lt;0,0,1)*IF(ABS(N$3*10^12-$A103)&gt;(N$3*10^12-$A102),$A102,$A103))</f>
        <v>#REF!</v>
      </c>
    </row>
    <row r="103" spans="1:14">
      <c r="A103">
        <f t="shared" si="27"/>
        <v>56000000</v>
      </c>
      <c r="B103">
        <f t="shared" si="21"/>
        <v>0</v>
      </c>
      <c r="C103">
        <f t="shared" si="22"/>
        <v>0</v>
      </c>
      <c r="D103">
        <f t="shared" si="22"/>
        <v>0</v>
      </c>
      <c r="E103">
        <f t="shared" si="22"/>
        <v>0</v>
      </c>
      <c r="F103">
        <f t="shared" si="22"/>
        <v>0</v>
      </c>
      <c r="G103">
        <f t="shared" ref="G103:G134" si="30">IF(IF((G$3*10^12-$A104)*(G$3*10^12-$A103)*-1&lt;0,0,1)*IF(ABS(G$3*10^12-$A104)&gt;(G$3*10^12-$A103),$A103,$A104)=G104,0,IF((G$3*10^12-$A104)*(G$3*10^12-$A103)*-1&lt;0,0,1)*IF(ABS(G$3*10^12-$A104)&gt;(G$3*10^12-$A103),$A103,$A104))</f>
        <v>0</v>
      </c>
      <c r="H103">
        <f t="shared" ref="H103:H134" si="31">IF(IF((H$3*10^12-$A104)*(H$3*10^12-$A103)*-1&lt;0,0,1)*IF(ABS(H$3*10^12-$A104)&gt;(H$3*10^12-$A103),$A103,$A104)=H104,0,IF((H$3*10^12-$A104)*(H$3*10^12-$A103)*-1&lt;0,0,1)*IF(ABS(H$3*10^12-$A104)&gt;(H$3*10^12-$A103),$A103,$A104))</f>
        <v>0</v>
      </c>
      <c r="I103">
        <f t="shared" ref="I103:I134" si="32">IF(IF((I$3*10^12-$A104)*(I$3*10^12-$A103)*-1&lt;0,0,1)*IF(ABS(I$3*10^12-$A104)&gt;(I$3*10^12-$A103),$A103,$A104)=I104,0,IF((I$3*10^12-$A104)*(I$3*10^12-$A103)*-1&lt;0,0,1)*IF(ABS(I$3*10^12-$A104)&gt;(I$3*10^12-$A103),$A103,$A104))</f>
        <v>0</v>
      </c>
      <c r="J103">
        <f t="shared" ref="J103:J134" si="33">IF(IF((J$3*10^12-$A104)*(J$3*10^12-$A103)*-1&lt;0,0,1)*IF(ABS(J$3*10^12-$A104)&gt;(J$3*10^12-$A103),$A103,$A104)=J104,0,IF((J$3*10^12-$A104)*(J$3*10^12-$A103)*-1&lt;0,0,1)*IF(ABS(J$3*10^12-$A104)&gt;(J$3*10^12-$A103),$A103,$A104))</f>
        <v>0</v>
      </c>
      <c r="K103">
        <f t="shared" si="17"/>
        <v>0</v>
      </c>
      <c r="L103">
        <f t="shared" si="17"/>
        <v>0</v>
      </c>
      <c r="M103">
        <f t="shared" si="28"/>
        <v>0</v>
      </c>
      <c r="N103" t="e">
        <f t="shared" si="29"/>
        <v>#REF!</v>
      </c>
    </row>
    <row r="104" spans="1:14">
      <c r="A104">
        <f t="shared" si="27"/>
        <v>68000000</v>
      </c>
      <c r="B104">
        <f t="shared" si="21"/>
        <v>0</v>
      </c>
      <c r="C104">
        <f t="shared" si="22"/>
        <v>0</v>
      </c>
      <c r="D104">
        <f t="shared" si="22"/>
        <v>0</v>
      </c>
      <c r="E104">
        <f t="shared" si="22"/>
        <v>0</v>
      </c>
      <c r="F104">
        <f t="shared" si="22"/>
        <v>0</v>
      </c>
      <c r="G104">
        <f t="shared" si="30"/>
        <v>0</v>
      </c>
      <c r="H104">
        <f t="shared" si="31"/>
        <v>0</v>
      </c>
      <c r="I104">
        <f t="shared" si="32"/>
        <v>0</v>
      </c>
      <c r="J104">
        <f t="shared" si="33"/>
        <v>0</v>
      </c>
      <c r="K104">
        <f t="shared" si="17"/>
        <v>0</v>
      </c>
      <c r="L104">
        <f t="shared" si="17"/>
        <v>0</v>
      </c>
      <c r="M104">
        <f t="shared" si="28"/>
        <v>0</v>
      </c>
      <c r="N104" t="e">
        <f t="shared" si="29"/>
        <v>#REF!</v>
      </c>
    </row>
    <row r="105" spans="1:14">
      <c r="A105">
        <f t="shared" si="27"/>
        <v>82000000</v>
      </c>
      <c r="B105">
        <f t="shared" si="21"/>
        <v>0</v>
      </c>
      <c r="C105">
        <f t="shared" si="22"/>
        <v>0</v>
      </c>
      <c r="D105">
        <f t="shared" si="22"/>
        <v>0</v>
      </c>
      <c r="E105">
        <f t="shared" si="22"/>
        <v>0</v>
      </c>
      <c r="F105">
        <f t="shared" si="22"/>
        <v>0</v>
      </c>
      <c r="G105">
        <f t="shared" si="30"/>
        <v>0</v>
      </c>
      <c r="H105">
        <f t="shared" si="31"/>
        <v>0</v>
      </c>
      <c r="I105">
        <f t="shared" si="32"/>
        <v>0</v>
      </c>
      <c r="J105">
        <f t="shared" si="33"/>
        <v>0</v>
      </c>
      <c r="K105">
        <f t="shared" si="17"/>
        <v>0</v>
      </c>
      <c r="L105">
        <f t="shared" si="17"/>
        <v>0</v>
      </c>
      <c r="M105">
        <f t="shared" si="28"/>
        <v>0</v>
      </c>
      <c r="N105" t="e">
        <f t="shared" si="29"/>
        <v>#REF!</v>
      </c>
    </row>
    <row r="106" spans="1:14">
      <c r="A106">
        <f t="shared" si="27"/>
        <v>100000000</v>
      </c>
      <c r="B106">
        <f t="shared" si="21"/>
        <v>0</v>
      </c>
      <c r="C106">
        <f t="shared" si="22"/>
        <v>0</v>
      </c>
      <c r="D106">
        <f t="shared" si="22"/>
        <v>0</v>
      </c>
      <c r="E106">
        <f t="shared" si="22"/>
        <v>0</v>
      </c>
      <c r="F106">
        <f t="shared" si="22"/>
        <v>0</v>
      </c>
      <c r="G106">
        <f t="shared" si="30"/>
        <v>100000000</v>
      </c>
      <c r="H106">
        <f t="shared" si="31"/>
        <v>0</v>
      </c>
      <c r="I106">
        <f t="shared" si="32"/>
        <v>0</v>
      </c>
      <c r="J106">
        <f t="shared" si="33"/>
        <v>0</v>
      </c>
      <c r="K106">
        <f t="shared" si="17"/>
        <v>0</v>
      </c>
      <c r="L106">
        <f t="shared" si="17"/>
        <v>0</v>
      </c>
      <c r="M106">
        <f t="shared" si="28"/>
        <v>0</v>
      </c>
      <c r="N106" t="e">
        <f t="shared" si="29"/>
        <v>#REF!</v>
      </c>
    </row>
    <row r="107" spans="1:14">
      <c r="A107">
        <f t="shared" si="27"/>
        <v>120000000</v>
      </c>
      <c r="B107">
        <f t="shared" si="21"/>
        <v>0</v>
      </c>
      <c r="C107">
        <f t="shared" si="22"/>
        <v>0</v>
      </c>
      <c r="D107">
        <f t="shared" si="22"/>
        <v>0</v>
      </c>
      <c r="E107">
        <f t="shared" si="22"/>
        <v>0</v>
      </c>
      <c r="F107">
        <f t="shared" si="22"/>
        <v>120000000</v>
      </c>
      <c r="G107">
        <f t="shared" si="30"/>
        <v>0</v>
      </c>
      <c r="H107">
        <f t="shared" si="31"/>
        <v>0</v>
      </c>
      <c r="I107">
        <f t="shared" si="32"/>
        <v>0</v>
      </c>
      <c r="J107">
        <f t="shared" si="33"/>
        <v>0</v>
      </c>
      <c r="K107">
        <f t="shared" si="17"/>
        <v>0</v>
      </c>
      <c r="L107">
        <f t="shared" si="17"/>
        <v>0</v>
      </c>
      <c r="M107">
        <f t="shared" si="28"/>
        <v>0</v>
      </c>
      <c r="N107" t="e">
        <f t="shared" si="29"/>
        <v>#REF!</v>
      </c>
    </row>
    <row r="108" spans="1:14">
      <c r="A108">
        <f t="shared" si="27"/>
        <v>150000000</v>
      </c>
      <c r="B108">
        <f t="shared" si="21"/>
        <v>0</v>
      </c>
      <c r="C108">
        <f t="shared" si="22"/>
        <v>0</v>
      </c>
      <c r="D108">
        <f t="shared" si="22"/>
        <v>0</v>
      </c>
      <c r="E108">
        <f t="shared" si="22"/>
        <v>0</v>
      </c>
      <c r="F108">
        <f t="shared" si="22"/>
        <v>0</v>
      </c>
      <c r="G108">
        <f t="shared" si="30"/>
        <v>0</v>
      </c>
      <c r="H108">
        <f t="shared" si="31"/>
        <v>0</v>
      </c>
      <c r="I108">
        <f t="shared" si="32"/>
        <v>0</v>
      </c>
      <c r="J108">
        <f t="shared" si="33"/>
        <v>0</v>
      </c>
      <c r="K108">
        <f t="shared" si="17"/>
        <v>0</v>
      </c>
      <c r="L108">
        <f t="shared" si="17"/>
        <v>0</v>
      </c>
      <c r="M108">
        <f t="shared" si="28"/>
        <v>0</v>
      </c>
      <c r="N108" t="e">
        <f t="shared" si="29"/>
        <v>#REF!</v>
      </c>
    </row>
    <row r="109" spans="1:14">
      <c r="A109">
        <f t="shared" si="27"/>
        <v>180000000</v>
      </c>
      <c r="B109">
        <f t="shared" si="21"/>
        <v>0</v>
      </c>
      <c r="C109">
        <f t="shared" si="22"/>
        <v>0</v>
      </c>
      <c r="D109">
        <f t="shared" si="22"/>
        <v>0</v>
      </c>
      <c r="E109">
        <f t="shared" si="22"/>
        <v>0</v>
      </c>
      <c r="F109">
        <f t="shared" si="22"/>
        <v>0</v>
      </c>
      <c r="G109">
        <f t="shared" si="30"/>
        <v>0</v>
      </c>
      <c r="H109">
        <f t="shared" si="31"/>
        <v>0</v>
      </c>
      <c r="I109">
        <f t="shared" si="32"/>
        <v>0</v>
      </c>
      <c r="J109">
        <f t="shared" si="33"/>
        <v>0</v>
      </c>
      <c r="K109">
        <f t="shared" si="17"/>
        <v>0</v>
      </c>
      <c r="L109">
        <f t="shared" si="17"/>
        <v>0</v>
      </c>
      <c r="M109">
        <f t="shared" si="28"/>
        <v>0</v>
      </c>
      <c r="N109" t="e">
        <f t="shared" si="29"/>
        <v>#REF!</v>
      </c>
    </row>
    <row r="110" spans="1:14">
      <c r="A110">
        <f t="shared" si="27"/>
        <v>220000000</v>
      </c>
      <c r="B110">
        <f t="shared" si="21"/>
        <v>0</v>
      </c>
      <c r="C110">
        <f t="shared" si="22"/>
        <v>0</v>
      </c>
      <c r="D110">
        <f t="shared" si="22"/>
        <v>0</v>
      </c>
      <c r="E110">
        <f t="shared" si="22"/>
        <v>0</v>
      </c>
      <c r="F110">
        <f t="shared" si="22"/>
        <v>0</v>
      </c>
      <c r="G110">
        <f t="shared" si="30"/>
        <v>0</v>
      </c>
      <c r="H110">
        <f t="shared" si="31"/>
        <v>0</v>
      </c>
      <c r="I110">
        <f t="shared" si="32"/>
        <v>0</v>
      </c>
      <c r="J110">
        <f t="shared" si="33"/>
        <v>0</v>
      </c>
      <c r="K110">
        <f t="shared" si="17"/>
        <v>0</v>
      </c>
      <c r="L110">
        <f t="shared" si="17"/>
        <v>0</v>
      </c>
      <c r="M110">
        <f t="shared" si="28"/>
        <v>0</v>
      </c>
      <c r="N110" t="e">
        <f t="shared" si="29"/>
        <v>#REF!</v>
      </c>
    </row>
    <row r="111" spans="1:14">
      <c r="A111">
        <f t="shared" si="27"/>
        <v>270000000</v>
      </c>
      <c r="B111">
        <f t="shared" si="21"/>
        <v>0</v>
      </c>
      <c r="C111">
        <f t="shared" si="22"/>
        <v>0</v>
      </c>
      <c r="D111">
        <f t="shared" si="22"/>
        <v>0</v>
      </c>
      <c r="E111">
        <f t="shared" si="22"/>
        <v>0</v>
      </c>
      <c r="F111">
        <f t="shared" si="22"/>
        <v>0</v>
      </c>
      <c r="G111">
        <f t="shared" si="30"/>
        <v>0</v>
      </c>
      <c r="H111">
        <f t="shared" si="31"/>
        <v>0</v>
      </c>
      <c r="I111">
        <f t="shared" si="32"/>
        <v>0</v>
      </c>
      <c r="J111">
        <f t="shared" si="33"/>
        <v>0</v>
      </c>
      <c r="K111">
        <f t="shared" si="17"/>
        <v>0</v>
      </c>
      <c r="L111">
        <f t="shared" si="17"/>
        <v>0</v>
      </c>
      <c r="M111">
        <f t="shared" si="28"/>
        <v>0</v>
      </c>
      <c r="N111" t="e">
        <f t="shared" si="29"/>
        <v>#REF!</v>
      </c>
    </row>
    <row r="112" spans="1:14">
      <c r="A112">
        <f t="shared" si="27"/>
        <v>330000000</v>
      </c>
      <c r="B112">
        <f t="shared" si="21"/>
        <v>0</v>
      </c>
      <c r="C112">
        <f t="shared" si="22"/>
        <v>0</v>
      </c>
      <c r="D112">
        <f t="shared" si="22"/>
        <v>0</v>
      </c>
      <c r="E112">
        <f t="shared" si="22"/>
        <v>0</v>
      </c>
      <c r="F112">
        <f t="shared" si="22"/>
        <v>0</v>
      </c>
      <c r="G112">
        <f t="shared" si="30"/>
        <v>0</v>
      </c>
      <c r="H112">
        <f t="shared" si="31"/>
        <v>0</v>
      </c>
      <c r="I112">
        <f t="shared" si="32"/>
        <v>0</v>
      </c>
      <c r="J112">
        <f t="shared" si="33"/>
        <v>0</v>
      </c>
      <c r="K112">
        <f t="shared" si="17"/>
        <v>0</v>
      </c>
      <c r="L112">
        <f t="shared" si="17"/>
        <v>0</v>
      </c>
      <c r="M112">
        <f t="shared" si="28"/>
        <v>0</v>
      </c>
      <c r="N112" t="e">
        <f t="shared" si="29"/>
        <v>#REF!</v>
      </c>
    </row>
    <row r="113" spans="1:14">
      <c r="A113">
        <f t="shared" si="27"/>
        <v>390000000</v>
      </c>
      <c r="B113">
        <f t="shared" si="21"/>
        <v>0</v>
      </c>
      <c r="C113">
        <f t="shared" si="22"/>
        <v>0</v>
      </c>
      <c r="D113">
        <f t="shared" si="22"/>
        <v>0</v>
      </c>
      <c r="E113">
        <f t="shared" si="22"/>
        <v>0</v>
      </c>
      <c r="F113">
        <f t="shared" si="22"/>
        <v>0</v>
      </c>
      <c r="G113">
        <f t="shared" si="30"/>
        <v>0</v>
      </c>
      <c r="H113">
        <f t="shared" si="31"/>
        <v>0</v>
      </c>
      <c r="I113">
        <f t="shared" si="32"/>
        <v>0</v>
      </c>
      <c r="J113">
        <f t="shared" si="33"/>
        <v>0</v>
      </c>
      <c r="K113">
        <f t="shared" si="17"/>
        <v>0</v>
      </c>
      <c r="L113">
        <f t="shared" si="17"/>
        <v>0</v>
      </c>
      <c r="M113">
        <f t="shared" si="28"/>
        <v>0</v>
      </c>
      <c r="N113" t="e">
        <f t="shared" si="29"/>
        <v>#REF!</v>
      </c>
    </row>
    <row r="114" spans="1:14">
      <c r="A114">
        <f t="shared" si="27"/>
        <v>470000000</v>
      </c>
      <c r="B114">
        <f t="shared" si="21"/>
        <v>0</v>
      </c>
      <c r="C114">
        <f t="shared" si="22"/>
        <v>0</v>
      </c>
      <c r="D114">
        <f t="shared" si="22"/>
        <v>0</v>
      </c>
      <c r="E114">
        <f t="shared" si="22"/>
        <v>0</v>
      </c>
      <c r="F114">
        <f t="shared" si="22"/>
        <v>0</v>
      </c>
      <c r="G114">
        <f t="shared" si="30"/>
        <v>0</v>
      </c>
      <c r="H114">
        <f t="shared" si="31"/>
        <v>0</v>
      </c>
      <c r="I114">
        <f t="shared" si="32"/>
        <v>0</v>
      </c>
      <c r="J114">
        <f t="shared" si="33"/>
        <v>0</v>
      </c>
      <c r="K114">
        <f t="shared" si="17"/>
        <v>0</v>
      </c>
      <c r="L114">
        <f t="shared" si="17"/>
        <v>0</v>
      </c>
      <c r="M114">
        <f t="shared" si="28"/>
        <v>0</v>
      </c>
      <c r="N114" t="e">
        <f t="shared" si="29"/>
        <v>#REF!</v>
      </c>
    </row>
    <row r="115" spans="1:14">
      <c r="A115">
        <f t="shared" si="27"/>
        <v>560000000</v>
      </c>
      <c r="B115">
        <f t="shared" si="21"/>
        <v>0</v>
      </c>
      <c r="C115">
        <f t="shared" si="22"/>
        <v>0</v>
      </c>
      <c r="D115">
        <f t="shared" si="22"/>
        <v>0</v>
      </c>
      <c r="E115">
        <f t="shared" si="22"/>
        <v>0</v>
      </c>
      <c r="F115">
        <f t="shared" si="22"/>
        <v>0</v>
      </c>
      <c r="G115">
        <f t="shared" si="30"/>
        <v>0</v>
      </c>
      <c r="H115">
        <f t="shared" si="31"/>
        <v>0</v>
      </c>
      <c r="I115">
        <f t="shared" si="32"/>
        <v>0</v>
      </c>
      <c r="J115">
        <f t="shared" si="33"/>
        <v>0</v>
      </c>
      <c r="K115">
        <f t="shared" si="17"/>
        <v>0</v>
      </c>
      <c r="L115">
        <f t="shared" si="17"/>
        <v>0</v>
      </c>
      <c r="M115">
        <f t="shared" si="28"/>
        <v>0</v>
      </c>
      <c r="N115" t="e">
        <f t="shared" si="29"/>
        <v>#REF!</v>
      </c>
    </row>
    <row r="116" spans="1:14">
      <c r="A116">
        <f t="shared" si="27"/>
        <v>680000000</v>
      </c>
      <c r="B116">
        <f t="shared" si="21"/>
        <v>0</v>
      </c>
      <c r="C116">
        <f t="shared" si="22"/>
        <v>0</v>
      </c>
      <c r="D116">
        <f t="shared" si="22"/>
        <v>0</v>
      </c>
      <c r="E116">
        <f t="shared" si="22"/>
        <v>0</v>
      </c>
      <c r="F116">
        <f t="shared" si="22"/>
        <v>0</v>
      </c>
      <c r="G116">
        <f t="shared" si="30"/>
        <v>0</v>
      </c>
      <c r="H116">
        <f t="shared" si="31"/>
        <v>0</v>
      </c>
      <c r="I116">
        <f t="shared" si="32"/>
        <v>0</v>
      </c>
      <c r="J116">
        <f t="shared" si="33"/>
        <v>0</v>
      </c>
      <c r="K116">
        <f t="shared" si="17"/>
        <v>0</v>
      </c>
      <c r="L116">
        <f t="shared" si="17"/>
        <v>0</v>
      </c>
      <c r="M116">
        <f t="shared" si="28"/>
        <v>0</v>
      </c>
      <c r="N116" t="e">
        <f t="shared" si="29"/>
        <v>#REF!</v>
      </c>
    </row>
    <row r="117" spans="1:14">
      <c r="A117">
        <f t="shared" si="27"/>
        <v>820000000</v>
      </c>
      <c r="B117">
        <f t="shared" si="21"/>
        <v>0</v>
      </c>
      <c r="C117">
        <f t="shared" si="22"/>
        <v>0</v>
      </c>
      <c r="D117">
        <f t="shared" si="22"/>
        <v>0</v>
      </c>
      <c r="E117">
        <f t="shared" si="22"/>
        <v>0</v>
      </c>
      <c r="F117">
        <f t="shared" si="22"/>
        <v>0</v>
      </c>
      <c r="G117">
        <f t="shared" si="30"/>
        <v>0</v>
      </c>
      <c r="H117">
        <f t="shared" si="31"/>
        <v>0</v>
      </c>
      <c r="I117">
        <f t="shared" si="32"/>
        <v>0</v>
      </c>
      <c r="J117">
        <f t="shared" si="33"/>
        <v>0</v>
      </c>
      <c r="K117">
        <f t="shared" si="17"/>
        <v>0</v>
      </c>
      <c r="L117">
        <f t="shared" si="17"/>
        <v>0</v>
      </c>
      <c r="M117">
        <f t="shared" si="28"/>
        <v>0</v>
      </c>
      <c r="N117" t="e">
        <f t="shared" si="29"/>
        <v>#REF!</v>
      </c>
    </row>
    <row r="118" spans="1:14">
      <c r="A118">
        <f t="shared" si="27"/>
        <v>1000000000</v>
      </c>
      <c r="B118">
        <f t="shared" si="21"/>
        <v>0</v>
      </c>
      <c r="C118">
        <f t="shared" si="22"/>
        <v>0</v>
      </c>
      <c r="D118">
        <f t="shared" si="22"/>
        <v>0</v>
      </c>
      <c r="E118">
        <f t="shared" si="22"/>
        <v>0</v>
      </c>
      <c r="F118">
        <f t="shared" si="22"/>
        <v>0</v>
      </c>
      <c r="G118">
        <f t="shared" si="30"/>
        <v>0</v>
      </c>
      <c r="H118">
        <f t="shared" si="31"/>
        <v>0</v>
      </c>
      <c r="I118">
        <f t="shared" si="32"/>
        <v>0</v>
      </c>
      <c r="J118">
        <f t="shared" si="33"/>
        <v>0</v>
      </c>
      <c r="K118">
        <f t="shared" si="17"/>
        <v>0</v>
      </c>
      <c r="L118">
        <f t="shared" si="17"/>
        <v>0</v>
      </c>
      <c r="M118">
        <f t="shared" si="28"/>
        <v>0</v>
      </c>
      <c r="N118" t="e">
        <f t="shared" si="29"/>
        <v>#REF!</v>
      </c>
    </row>
    <row r="119" spans="1:14">
      <c r="A119">
        <f t="shared" si="27"/>
        <v>1200000000</v>
      </c>
      <c r="B119">
        <f t="shared" si="21"/>
        <v>0</v>
      </c>
      <c r="C119">
        <f t="shared" si="22"/>
        <v>0</v>
      </c>
      <c r="D119">
        <f t="shared" si="22"/>
        <v>0</v>
      </c>
      <c r="E119">
        <f t="shared" si="22"/>
        <v>0</v>
      </c>
      <c r="F119">
        <f t="shared" si="22"/>
        <v>0</v>
      </c>
      <c r="G119">
        <f t="shared" si="30"/>
        <v>0</v>
      </c>
      <c r="H119">
        <f t="shared" si="31"/>
        <v>0</v>
      </c>
      <c r="I119">
        <f t="shared" si="32"/>
        <v>0</v>
      </c>
      <c r="J119">
        <f t="shared" si="33"/>
        <v>0</v>
      </c>
      <c r="K119">
        <f t="shared" si="17"/>
        <v>0</v>
      </c>
      <c r="L119">
        <f t="shared" si="17"/>
        <v>0</v>
      </c>
      <c r="M119">
        <f t="shared" si="28"/>
        <v>0</v>
      </c>
      <c r="N119" t="e">
        <f t="shared" si="29"/>
        <v>#REF!</v>
      </c>
    </row>
    <row r="120" spans="1:14">
      <c r="A120">
        <f t="shared" si="27"/>
        <v>1500000000</v>
      </c>
      <c r="B120">
        <f t="shared" si="21"/>
        <v>0</v>
      </c>
      <c r="C120">
        <f t="shared" si="22"/>
        <v>0</v>
      </c>
      <c r="D120">
        <f t="shared" si="22"/>
        <v>0</v>
      </c>
      <c r="E120">
        <f t="shared" si="22"/>
        <v>0</v>
      </c>
      <c r="F120">
        <f t="shared" si="22"/>
        <v>0</v>
      </c>
      <c r="G120">
        <f t="shared" si="30"/>
        <v>0</v>
      </c>
      <c r="H120">
        <f t="shared" si="31"/>
        <v>0</v>
      </c>
      <c r="I120">
        <f t="shared" si="32"/>
        <v>0</v>
      </c>
      <c r="J120">
        <f t="shared" si="33"/>
        <v>0</v>
      </c>
      <c r="K120">
        <f t="shared" si="17"/>
        <v>0</v>
      </c>
      <c r="L120">
        <f t="shared" si="17"/>
        <v>0</v>
      </c>
      <c r="M120">
        <f t="shared" si="28"/>
        <v>0</v>
      </c>
      <c r="N120" t="e">
        <f t="shared" si="29"/>
        <v>#REF!</v>
      </c>
    </row>
    <row r="121" spans="1:14">
      <c r="A121">
        <f t="shared" si="27"/>
        <v>1800000000</v>
      </c>
      <c r="B121">
        <f t="shared" si="21"/>
        <v>0</v>
      </c>
      <c r="C121">
        <f t="shared" si="22"/>
        <v>0</v>
      </c>
      <c r="D121">
        <f t="shared" si="22"/>
        <v>0</v>
      </c>
      <c r="E121">
        <f t="shared" si="22"/>
        <v>0</v>
      </c>
      <c r="F121">
        <f t="shared" si="22"/>
        <v>0</v>
      </c>
      <c r="G121">
        <f t="shared" si="30"/>
        <v>0</v>
      </c>
      <c r="H121">
        <f t="shared" si="31"/>
        <v>0</v>
      </c>
      <c r="I121">
        <f t="shared" si="32"/>
        <v>0</v>
      </c>
      <c r="J121">
        <f t="shared" si="33"/>
        <v>0</v>
      </c>
      <c r="K121">
        <f t="shared" si="17"/>
        <v>0</v>
      </c>
      <c r="L121">
        <f t="shared" si="17"/>
        <v>0</v>
      </c>
      <c r="M121">
        <f t="shared" si="28"/>
        <v>0</v>
      </c>
      <c r="N121" t="e">
        <f t="shared" si="29"/>
        <v>#REF!</v>
      </c>
    </row>
    <row r="122" spans="1:14">
      <c r="A122">
        <f t="shared" si="27"/>
        <v>2200000000</v>
      </c>
      <c r="B122">
        <f t="shared" si="21"/>
        <v>0</v>
      </c>
      <c r="C122">
        <f t="shared" si="22"/>
        <v>0</v>
      </c>
      <c r="D122">
        <f t="shared" si="22"/>
        <v>0</v>
      </c>
      <c r="E122">
        <f t="shared" si="22"/>
        <v>0</v>
      </c>
      <c r="F122">
        <f t="shared" si="22"/>
        <v>0</v>
      </c>
      <c r="G122">
        <f t="shared" si="30"/>
        <v>0</v>
      </c>
      <c r="H122">
        <f t="shared" si="31"/>
        <v>0</v>
      </c>
      <c r="I122">
        <f t="shared" si="32"/>
        <v>0</v>
      </c>
      <c r="J122">
        <f t="shared" si="33"/>
        <v>0</v>
      </c>
      <c r="K122">
        <f t="shared" si="17"/>
        <v>0</v>
      </c>
      <c r="L122">
        <f t="shared" si="17"/>
        <v>0</v>
      </c>
      <c r="M122">
        <f t="shared" si="28"/>
        <v>0</v>
      </c>
      <c r="N122" t="e">
        <f t="shared" si="29"/>
        <v>#REF!</v>
      </c>
    </row>
    <row r="123" spans="1:14">
      <c r="A123">
        <f t="shared" si="27"/>
        <v>2700000000</v>
      </c>
      <c r="B123">
        <f t="shared" si="21"/>
        <v>0</v>
      </c>
      <c r="C123">
        <f t="shared" si="22"/>
        <v>0</v>
      </c>
      <c r="D123">
        <f t="shared" si="22"/>
        <v>0</v>
      </c>
      <c r="E123">
        <f t="shared" si="22"/>
        <v>0</v>
      </c>
      <c r="F123">
        <f t="shared" si="22"/>
        <v>0</v>
      </c>
      <c r="G123">
        <f t="shared" si="30"/>
        <v>0</v>
      </c>
      <c r="H123">
        <f t="shared" si="31"/>
        <v>0</v>
      </c>
      <c r="I123">
        <f t="shared" si="32"/>
        <v>0</v>
      </c>
      <c r="J123">
        <f t="shared" si="33"/>
        <v>0</v>
      </c>
      <c r="K123">
        <f t="shared" si="17"/>
        <v>0</v>
      </c>
      <c r="L123">
        <f t="shared" si="17"/>
        <v>0</v>
      </c>
      <c r="M123">
        <f t="shared" si="28"/>
        <v>0</v>
      </c>
      <c r="N123" t="e">
        <f t="shared" si="29"/>
        <v>#REF!</v>
      </c>
    </row>
    <row r="124" spans="1:14">
      <c r="A124">
        <f t="shared" si="27"/>
        <v>3300000000</v>
      </c>
      <c r="B124">
        <f t="shared" si="21"/>
        <v>0</v>
      </c>
      <c r="C124">
        <f t="shared" si="22"/>
        <v>0</v>
      </c>
      <c r="D124">
        <f t="shared" si="22"/>
        <v>0</v>
      </c>
      <c r="E124">
        <f t="shared" si="22"/>
        <v>0</v>
      </c>
      <c r="F124">
        <f t="shared" si="22"/>
        <v>0</v>
      </c>
      <c r="G124">
        <f t="shared" si="30"/>
        <v>0</v>
      </c>
      <c r="H124">
        <f t="shared" si="31"/>
        <v>0</v>
      </c>
      <c r="I124">
        <f t="shared" si="32"/>
        <v>0</v>
      </c>
      <c r="J124">
        <f t="shared" si="33"/>
        <v>0</v>
      </c>
      <c r="K124">
        <f t="shared" si="17"/>
        <v>0</v>
      </c>
      <c r="L124">
        <f t="shared" si="17"/>
        <v>0</v>
      </c>
      <c r="M124">
        <f t="shared" si="28"/>
        <v>0</v>
      </c>
      <c r="N124" t="e">
        <f t="shared" si="29"/>
        <v>#REF!</v>
      </c>
    </row>
    <row r="125" spans="1:14">
      <c r="A125">
        <f t="shared" si="27"/>
        <v>3900000000</v>
      </c>
      <c r="B125">
        <f t="shared" si="21"/>
        <v>0</v>
      </c>
      <c r="C125">
        <f t="shared" si="22"/>
        <v>0</v>
      </c>
      <c r="D125">
        <f t="shared" si="22"/>
        <v>0</v>
      </c>
      <c r="E125">
        <f t="shared" si="22"/>
        <v>0</v>
      </c>
      <c r="F125">
        <f t="shared" si="22"/>
        <v>0</v>
      </c>
      <c r="G125">
        <f t="shared" si="30"/>
        <v>0</v>
      </c>
      <c r="H125">
        <f t="shared" si="31"/>
        <v>0</v>
      </c>
      <c r="I125">
        <f t="shared" si="32"/>
        <v>0</v>
      </c>
      <c r="J125">
        <f t="shared" si="33"/>
        <v>0</v>
      </c>
      <c r="K125">
        <f t="shared" si="17"/>
        <v>0</v>
      </c>
      <c r="L125">
        <f t="shared" si="17"/>
        <v>0</v>
      </c>
      <c r="M125">
        <f t="shared" si="28"/>
        <v>0</v>
      </c>
      <c r="N125" t="e">
        <f t="shared" si="29"/>
        <v>#REF!</v>
      </c>
    </row>
    <row r="126" spans="1:14">
      <c r="A126">
        <f t="shared" si="27"/>
        <v>4700000000</v>
      </c>
      <c r="B126">
        <f t="shared" si="21"/>
        <v>0</v>
      </c>
      <c r="C126">
        <f t="shared" si="22"/>
        <v>0</v>
      </c>
      <c r="D126">
        <f t="shared" si="22"/>
        <v>0</v>
      </c>
      <c r="E126">
        <f t="shared" si="22"/>
        <v>0</v>
      </c>
      <c r="F126">
        <f t="shared" si="22"/>
        <v>0</v>
      </c>
      <c r="G126">
        <f t="shared" si="30"/>
        <v>0</v>
      </c>
      <c r="H126">
        <f t="shared" si="31"/>
        <v>0</v>
      </c>
      <c r="I126">
        <f t="shared" si="32"/>
        <v>0</v>
      </c>
      <c r="J126">
        <f t="shared" si="33"/>
        <v>0</v>
      </c>
      <c r="K126">
        <f t="shared" si="17"/>
        <v>0</v>
      </c>
      <c r="L126">
        <f t="shared" si="17"/>
        <v>0</v>
      </c>
      <c r="M126">
        <f t="shared" si="28"/>
        <v>0</v>
      </c>
      <c r="N126" t="e">
        <f t="shared" si="29"/>
        <v>#REF!</v>
      </c>
    </row>
    <row r="127" spans="1:14">
      <c r="A127">
        <f t="shared" si="27"/>
        <v>5600000000</v>
      </c>
      <c r="B127">
        <f t="shared" si="21"/>
        <v>0</v>
      </c>
      <c r="C127">
        <f t="shared" si="22"/>
        <v>0</v>
      </c>
      <c r="D127">
        <f t="shared" si="22"/>
        <v>0</v>
      </c>
      <c r="E127">
        <f t="shared" si="22"/>
        <v>0</v>
      </c>
      <c r="F127">
        <f t="shared" si="22"/>
        <v>0</v>
      </c>
      <c r="G127">
        <f t="shared" si="30"/>
        <v>0</v>
      </c>
      <c r="H127">
        <f t="shared" si="31"/>
        <v>0</v>
      </c>
      <c r="I127">
        <f t="shared" si="32"/>
        <v>0</v>
      </c>
      <c r="J127">
        <f t="shared" si="33"/>
        <v>0</v>
      </c>
      <c r="K127">
        <f t="shared" si="17"/>
        <v>0</v>
      </c>
      <c r="L127">
        <f t="shared" si="17"/>
        <v>0</v>
      </c>
      <c r="M127">
        <f t="shared" si="28"/>
        <v>0</v>
      </c>
      <c r="N127" t="e">
        <f t="shared" si="29"/>
        <v>#REF!</v>
      </c>
    </row>
    <row r="128" spans="1:14">
      <c r="A128">
        <f t="shared" si="27"/>
        <v>6800000000</v>
      </c>
      <c r="B128">
        <f t="shared" si="21"/>
        <v>0</v>
      </c>
      <c r="C128">
        <f t="shared" si="22"/>
        <v>0</v>
      </c>
      <c r="D128">
        <f t="shared" si="22"/>
        <v>0</v>
      </c>
      <c r="E128">
        <f t="shared" si="22"/>
        <v>0</v>
      </c>
      <c r="F128">
        <f t="shared" si="22"/>
        <v>0</v>
      </c>
      <c r="G128">
        <f t="shared" si="30"/>
        <v>0</v>
      </c>
      <c r="H128">
        <f t="shared" si="31"/>
        <v>0</v>
      </c>
      <c r="I128">
        <f t="shared" si="32"/>
        <v>0</v>
      </c>
      <c r="J128">
        <f t="shared" si="33"/>
        <v>0</v>
      </c>
      <c r="K128">
        <f t="shared" si="17"/>
        <v>0</v>
      </c>
      <c r="L128">
        <f t="shared" si="17"/>
        <v>0</v>
      </c>
      <c r="M128">
        <f t="shared" si="28"/>
        <v>0</v>
      </c>
      <c r="N128" t="e">
        <f t="shared" si="29"/>
        <v>#REF!</v>
      </c>
    </row>
    <row r="129" spans="1:14">
      <c r="A129">
        <f t="shared" si="27"/>
        <v>8200000000</v>
      </c>
      <c r="B129">
        <f t="shared" si="21"/>
        <v>0</v>
      </c>
      <c r="C129">
        <f t="shared" si="22"/>
        <v>0</v>
      </c>
      <c r="D129">
        <f t="shared" si="22"/>
        <v>0</v>
      </c>
      <c r="E129">
        <f t="shared" si="22"/>
        <v>0</v>
      </c>
      <c r="F129">
        <f t="shared" si="22"/>
        <v>0</v>
      </c>
      <c r="G129">
        <f t="shared" si="30"/>
        <v>0</v>
      </c>
      <c r="H129">
        <f t="shared" si="31"/>
        <v>0</v>
      </c>
      <c r="I129">
        <f t="shared" si="32"/>
        <v>0</v>
      </c>
      <c r="J129">
        <f t="shared" si="33"/>
        <v>0</v>
      </c>
      <c r="K129">
        <f t="shared" si="17"/>
        <v>0</v>
      </c>
      <c r="L129">
        <f t="shared" si="17"/>
        <v>0</v>
      </c>
      <c r="M129">
        <f t="shared" si="28"/>
        <v>0</v>
      </c>
      <c r="N129" t="e">
        <f t="shared" si="29"/>
        <v>#REF!</v>
      </c>
    </row>
    <row r="130" spans="1:14">
      <c r="A130">
        <f t="shared" si="27"/>
        <v>10000000000</v>
      </c>
      <c r="B130">
        <f t="shared" si="21"/>
        <v>0</v>
      </c>
      <c r="C130">
        <f t="shared" si="22"/>
        <v>0</v>
      </c>
      <c r="D130">
        <f t="shared" si="22"/>
        <v>0</v>
      </c>
      <c r="E130">
        <f t="shared" si="22"/>
        <v>0</v>
      </c>
      <c r="F130">
        <f t="shared" si="22"/>
        <v>0</v>
      </c>
      <c r="G130">
        <f t="shared" si="30"/>
        <v>0</v>
      </c>
      <c r="H130">
        <f t="shared" si="31"/>
        <v>0</v>
      </c>
      <c r="I130">
        <f t="shared" si="32"/>
        <v>0</v>
      </c>
      <c r="J130">
        <f t="shared" si="33"/>
        <v>0</v>
      </c>
      <c r="K130">
        <f t="shared" si="17"/>
        <v>0</v>
      </c>
      <c r="L130">
        <f t="shared" si="17"/>
        <v>0</v>
      </c>
      <c r="M130">
        <f t="shared" si="28"/>
        <v>0</v>
      </c>
      <c r="N130" t="e">
        <f t="shared" si="29"/>
        <v>#REF!</v>
      </c>
    </row>
    <row r="131" spans="1:14">
      <c r="A131">
        <f t="shared" si="27"/>
        <v>12000000000</v>
      </c>
      <c r="B131">
        <f t="shared" si="21"/>
        <v>0</v>
      </c>
      <c r="C131">
        <f t="shared" si="22"/>
        <v>0</v>
      </c>
      <c r="D131">
        <f t="shared" si="22"/>
        <v>0</v>
      </c>
      <c r="E131">
        <f t="shared" si="22"/>
        <v>0</v>
      </c>
      <c r="F131">
        <f t="shared" si="22"/>
        <v>0</v>
      </c>
      <c r="G131">
        <f t="shared" si="30"/>
        <v>0</v>
      </c>
      <c r="H131">
        <f t="shared" si="31"/>
        <v>0</v>
      </c>
      <c r="I131">
        <f t="shared" si="32"/>
        <v>0</v>
      </c>
      <c r="J131">
        <f t="shared" si="33"/>
        <v>0</v>
      </c>
      <c r="K131">
        <f t="shared" si="17"/>
        <v>0</v>
      </c>
      <c r="L131">
        <f t="shared" si="17"/>
        <v>0</v>
      </c>
      <c r="M131">
        <f t="shared" si="28"/>
        <v>0</v>
      </c>
      <c r="N131" t="e">
        <f t="shared" si="29"/>
        <v>#REF!</v>
      </c>
    </row>
    <row r="132" spans="1:14">
      <c r="A132">
        <f t="shared" si="27"/>
        <v>15000000000</v>
      </c>
      <c r="B132">
        <f t="shared" si="21"/>
        <v>0</v>
      </c>
      <c r="C132">
        <f t="shared" si="22"/>
        <v>0</v>
      </c>
      <c r="D132">
        <f t="shared" si="22"/>
        <v>0</v>
      </c>
      <c r="E132">
        <f t="shared" si="22"/>
        <v>0</v>
      </c>
      <c r="F132">
        <f t="shared" si="22"/>
        <v>0</v>
      </c>
      <c r="G132">
        <f t="shared" si="30"/>
        <v>0</v>
      </c>
      <c r="H132">
        <f t="shared" si="31"/>
        <v>0</v>
      </c>
      <c r="I132">
        <f t="shared" si="32"/>
        <v>0</v>
      </c>
      <c r="J132">
        <f t="shared" si="33"/>
        <v>0</v>
      </c>
      <c r="K132">
        <f t="shared" si="17"/>
        <v>0</v>
      </c>
      <c r="L132">
        <f t="shared" si="17"/>
        <v>0</v>
      </c>
      <c r="M132">
        <f t="shared" si="28"/>
        <v>0</v>
      </c>
      <c r="N132" t="e">
        <f t="shared" si="29"/>
        <v>#REF!</v>
      </c>
    </row>
    <row r="133" spans="1:14">
      <c r="A133">
        <f t="shared" si="27"/>
        <v>18000000000</v>
      </c>
      <c r="B133">
        <f t="shared" si="21"/>
        <v>0</v>
      </c>
      <c r="C133">
        <f t="shared" si="22"/>
        <v>0</v>
      </c>
      <c r="D133">
        <f t="shared" si="22"/>
        <v>0</v>
      </c>
      <c r="E133">
        <f t="shared" si="22"/>
        <v>0</v>
      </c>
      <c r="F133">
        <f t="shared" si="22"/>
        <v>0</v>
      </c>
      <c r="G133">
        <f t="shared" si="30"/>
        <v>0</v>
      </c>
      <c r="H133">
        <f t="shared" si="31"/>
        <v>0</v>
      </c>
      <c r="I133">
        <f t="shared" si="32"/>
        <v>0</v>
      </c>
      <c r="J133">
        <f t="shared" si="33"/>
        <v>0</v>
      </c>
      <c r="K133">
        <f>IF(IF((K$3*10^12-$A134)*(K$3*10^12-$A133)*-1&lt;0,0,1)*IF(ABS(K$3*10^12-$A134)&gt;(K$3*10^12-$A133),$A133,$A134)=K134,0,IF((K$3*10^12-$A134)*(K$3*10^12-$A133)*-1&lt;0,0,1)*IF(ABS(K$3*10^12-$A134)&gt;(K$3*10^12-$A133),$A133,$A134))</f>
        <v>0</v>
      </c>
      <c r="L133">
        <f>IF(IF((L$3*10^12-$A134)*(L$3*10^12-$A133)*-1&lt;0,0,1)*IF(ABS(L$3*10^12-$A134)&gt;(L$3*10^12-$A133),$A133,$A134)=L134,0,IF((L$3*10^12-$A134)*(L$3*10^12-$A133)*-1&lt;0,0,1)*IF(ABS(L$3*10^12-$A134)&gt;(L$3*10^12-$A133),$A133,$A134))</f>
        <v>0</v>
      </c>
      <c r="M133">
        <f t="shared" si="28"/>
        <v>0</v>
      </c>
      <c r="N133" t="e">
        <f t="shared" si="29"/>
        <v>#REF!</v>
      </c>
    </row>
    <row r="134" spans="1:14">
      <c r="A134">
        <f t="shared" si="27"/>
        <v>22000000000</v>
      </c>
      <c r="B134">
        <f t="shared" si="21"/>
        <v>0</v>
      </c>
      <c r="C134">
        <f t="shared" si="22"/>
        <v>0</v>
      </c>
      <c r="D134">
        <f t="shared" si="22"/>
        <v>0</v>
      </c>
      <c r="E134">
        <f t="shared" si="22"/>
        <v>0</v>
      </c>
      <c r="F134">
        <f t="shared" ref="F134:L159" si="34">IF(IF((F$3*10^12-$A135)*(F$3*10^12-$A134)*-1&lt;0,0,1)*IF(ABS(F$3*10^12-$A135)&gt;(F$3*10^12-$A134),$A134,$A135)=F135,0,IF((F$3*10^12-$A135)*(F$3*10^12-$A134)*-1&lt;0,0,1)*IF(ABS(F$3*10^12-$A135)&gt;(F$3*10^12-$A134),$A134,$A135))</f>
        <v>0</v>
      </c>
      <c r="G134">
        <f t="shared" si="30"/>
        <v>0</v>
      </c>
      <c r="H134">
        <f t="shared" si="31"/>
        <v>0</v>
      </c>
      <c r="I134">
        <f t="shared" si="32"/>
        <v>0</v>
      </c>
      <c r="J134">
        <f t="shared" si="33"/>
        <v>0</v>
      </c>
      <c r="K134">
        <f>IF(IF((K$3*10^12-$A135)*(K$3*10^12-$A134)*-1&lt;0,0,1)*IF(ABS(K$3*10^12-$A135)&gt;(K$3*10^12-$A134),$A134,$A135)=K135,0,IF((K$3*10^12-$A135)*(K$3*10^12-$A134)*-1&lt;0,0,1)*IF(ABS(K$3*10^12-$A135)&gt;(K$3*10^12-$A134),$A134,$A135))</f>
        <v>0</v>
      </c>
      <c r="L134">
        <f>IF(IF((L$3*10^12-$A135)*(L$3*10^12-$A134)*-1&lt;0,0,1)*IF(ABS(L$3*10^12-$A135)&gt;(L$3*10^12-$A134),$A134,$A135)=L135,0,IF((L$3*10^12-$A135)*(L$3*10^12-$A134)*-1&lt;0,0,1)*IF(ABS(L$3*10^12-$A135)&gt;(L$3*10^12-$A134),$A134,$A135))</f>
        <v>0</v>
      </c>
      <c r="M134">
        <f t="shared" ref="M134:M159" si="35">IF(IF((M$3*10^12-$A135)*(M$3*10^12-$A134)*-1&lt;0,0,1)*IF(ABS(M$3*10^12-$A135)&gt;(M$3*10^12-$A134),$A134,$A135)=M135,0,IF((M$3*10^12-$A135)*(M$3*10^12-$A134)*-1&lt;0,0,1)*IF(ABS(M$3*10^12-$A135)&gt;(M$3*10^12-$A134),$A134,$A135))</f>
        <v>0</v>
      </c>
      <c r="N134" t="e">
        <f t="shared" ref="N134:N159" si="36">IF(IF((N$3*10^12-$A135)*(N$3*10^12-$A134)*-1&lt;0,0,1)*IF(ABS(N$3*10^12-$A135)&gt;(N$3*10^12-$A134),$A134,$A135)=N135,0,IF((N$3*10^12-$A135)*(N$3*10^12-$A134)*-1&lt;0,0,1)*IF(ABS(N$3*10^12-$A135)&gt;(N$3*10^12-$A134),$A134,$A135))</f>
        <v>#REF!</v>
      </c>
    </row>
    <row r="135" spans="1:14">
      <c r="A135">
        <f t="shared" si="27"/>
        <v>27000000000</v>
      </c>
      <c r="B135">
        <f t="shared" ref="B135:B159" si="37">IF(IF((B$3*10^12-$A136)*(B$3*10^12-$A135)*-1&lt;0,0,1)*IF(ABS(B$3*10^12-$A136)&gt;(B$3*10^12-$A135),$A135,$A136)=B136,0,IF((B$3*10^12-$A136)*(B$3*10^12-$A135)*-1&lt;0,0,1)*IF(ABS(B$3*10^12-$A136)&gt;(B$3*10^12-$A135),$A135,$A136))</f>
        <v>0</v>
      </c>
      <c r="C135">
        <f t="shared" ref="C135:E159" si="38">IF(IF((C$3*10^12-$A136)*(C$3*10^12-$A135)*-1&lt;0,0,1)*IF(ABS(C$3*10^12-$A136)&gt;(C$3*10^12-$A135),$A135,$A136)=C136,0,IF((C$3*10^12-$A136)*(C$3*10^12-$A135)*-1&lt;0,0,1)*IF(ABS(C$3*10^12-$A136)&gt;(C$3*10^12-$A135),$A135,$A136))</f>
        <v>0</v>
      </c>
      <c r="D135">
        <f t="shared" si="38"/>
        <v>0</v>
      </c>
      <c r="E135">
        <f t="shared" si="38"/>
        <v>0</v>
      </c>
      <c r="F135">
        <f t="shared" si="34"/>
        <v>0</v>
      </c>
      <c r="G135">
        <f t="shared" si="34"/>
        <v>0</v>
      </c>
      <c r="H135">
        <f t="shared" si="34"/>
        <v>0</v>
      </c>
      <c r="I135">
        <f t="shared" si="34"/>
        <v>0</v>
      </c>
      <c r="J135">
        <f t="shared" si="34"/>
        <v>0</v>
      </c>
      <c r="K135">
        <f t="shared" si="34"/>
        <v>0</v>
      </c>
      <c r="L135">
        <f t="shared" si="34"/>
        <v>0</v>
      </c>
      <c r="M135">
        <f t="shared" si="35"/>
        <v>0</v>
      </c>
      <c r="N135" t="e">
        <f t="shared" si="36"/>
        <v>#REF!</v>
      </c>
    </row>
    <row r="136" spans="1:14">
      <c r="A136">
        <f t="shared" si="27"/>
        <v>33000000000</v>
      </c>
      <c r="B136">
        <f t="shared" si="37"/>
        <v>0</v>
      </c>
      <c r="C136">
        <f t="shared" si="38"/>
        <v>0</v>
      </c>
      <c r="D136">
        <f t="shared" si="38"/>
        <v>0</v>
      </c>
      <c r="E136">
        <f t="shared" si="38"/>
        <v>0</v>
      </c>
      <c r="F136">
        <f t="shared" si="34"/>
        <v>0</v>
      </c>
      <c r="G136">
        <f t="shared" si="34"/>
        <v>0</v>
      </c>
      <c r="H136">
        <f t="shared" si="34"/>
        <v>0</v>
      </c>
      <c r="I136">
        <f t="shared" si="34"/>
        <v>0</v>
      </c>
      <c r="J136">
        <f t="shared" si="34"/>
        <v>0</v>
      </c>
      <c r="K136">
        <f t="shared" si="34"/>
        <v>0</v>
      </c>
      <c r="L136">
        <f t="shared" si="34"/>
        <v>0</v>
      </c>
      <c r="M136">
        <f t="shared" si="35"/>
        <v>0</v>
      </c>
      <c r="N136" t="e">
        <f t="shared" si="36"/>
        <v>#REF!</v>
      </c>
    </row>
    <row r="137" spans="1:14">
      <c r="A137">
        <f t="shared" si="27"/>
        <v>39000000000</v>
      </c>
      <c r="B137">
        <f t="shared" si="37"/>
        <v>0</v>
      </c>
      <c r="C137">
        <f t="shared" si="38"/>
        <v>0</v>
      </c>
      <c r="D137">
        <f t="shared" si="38"/>
        <v>0</v>
      </c>
      <c r="E137">
        <f t="shared" si="38"/>
        <v>0</v>
      </c>
      <c r="F137">
        <f t="shared" si="34"/>
        <v>0</v>
      </c>
      <c r="G137">
        <f t="shared" si="34"/>
        <v>0</v>
      </c>
      <c r="H137">
        <f t="shared" si="34"/>
        <v>0</v>
      </c>
      <c r="I137">
        <f t="shared" si="34"/>
        <v>0</v>
      </c>
      <c r="J137">
        <f t="shared" si="34"/>
        <v>0</v>
      </c>
      <c r="K137">
        <f t="shared" si="34"/>
        <v>0</v>
      </c>
      <c r="L137">
        <f t="shared" si="34"/>
        <v>0</v>
      </c>
      <c r="M137">
        <f t="shared" si="35"/>
        <v>0</v>
      </c>
      <c r="N137" t="e">
        <f t="shared" si="36"/>
        <v>#REF!</v>
      </c>
    </row>
    <row r="138" spans="1:14">
      <c r="A138">
        <f t="shared" si="27"/>
        <v>47000000000</v>
      </c>
      <c r="B138">
        <f t="shared" si="37"/>
        <v>0</v>
      </c>
      <c r="C138">
        <f t="shared" si="38"/>
        <v>0</v>
      </c>
      <c r="D138">
        <f t="shared" si="38"/>
        <v>0</v>
      </c>
      <c r="E138">
        <f t="shared" si="38"/>
        <v>0</v>
      </c>
      <c r="F138">
        <f t="shared" si="34"/>
        <v>0</v>
      </c>
      <c r="G138">
        <f t="shared" si="34"/>
        <v>0</v>
      </c>
      <c r="H138">
        <f t="shared" si="34"/>
        <v>0</v>
      </c>
      <c r="I138">
        <f t="shared" si="34"/>
        <v>0</v>
      </c>
      <c r="J138">
        <f t="shared" si="34"/>
        <v>0</v>
      </c>
      <c r="K138">
        <f t="shared" si="34"/>
        <v>0</v>
      </c>
      <c r="L138">
        <f t="shared" si="34"/>
        <v>0</v>
      </c>
      <c r="M138">
        <f t="shared" si="35"/>
        <v>0</v>
      </c>
      <c r="N138" t="e">
        <f t="shared" si="36"/>
        <v>#REF!</v>
      </c>
    </row>
    <row r="139" spans="1:14">
      <c r="A139">
        <f t="shared" si="27"/>
        <v>56000000000</v>
      </c>
      <c r="B139">
        <f t="shared" si="37"/>
        <v>0</v>
      </c>
      <c r="C139">
        <f t="shared" si="38"/>
        <v>0</v>
      </c>
      <c r="D139">
        <f t="shared" si="38"/>
        <v>0</v>
      </c>
      <c r="E139">
        <f t="shared" si="38"/>
        <v>0</v>
      </c>
      <c r="F139">
        <f t="shared" si="34"/>
        <v>0</v>
      </c>
      <c r="G139">
        <f t="shared" si="34"/>
        <v>0</v>
      </c>
      <c r="H139">
        <f t="shared" si="34"/>
        <v>0</v>
      </c>
      <c r="I139">
        <f t="shared" si="34"/>
        <v>0</v>
      </c>
      <c r="J139">
        <f t="shared" si="34"/>
        <v>0</v>
      </c>
      <c r="K139">
        <f t="shared" si="34"/>
        <v>0</v>
      </c>
      <c r="L139">
        <f t="shared" si="34"/>
        <v>0</v>
      </c>
      <c r="M139">
        <f t="shared" si="35"/>
        <v>0</v>
      </c>
      <c r="N139" t="e">
        <f t="shared" si="36"/>
        <v>#REF!</v>
      </c>
    </row>
    <row r="140" spans="1:14">
      <c r="A140">
        <f t="shared" si="27"/>
        <v>68000000000</v>
      </c>
      <c r="B140">
        <f t="shared" si="37"/>
        <v>0</v>
      </c>
      <c r="C140">
        <f t="shared" si="38"/>
        <v>0</v>
      </c>
      <c r="D140">
        <f t="shared" si="38"/>
        <v>0</v>
      </c>
      <c r="E140">
        <f t="shared" si="38"/>
        <v>0</v>
      </c>
      <c r="F140">
        <f t="shared" si="34"/>
        <v>0</v>
      </c>
      <c r="G140">
        <f t="shared" si="34"/>
        <v>0</v>
      </c>
      <c r="H140">
        <f t="shared" si="34"/>
        <v>0</v>
      </c>
      <c r="I140">
        <f t="shared" si="34"/>
        <v>0</v>
      </c>
      <c r="J140">
        <f t="shared" si="34"/>
        <v>0</v>
      </c>
      <c r="K140">
        <f t="shared" si="34"/>
        <v>0</v>
      </c>
      <c r="L140">
        <f t="shared" si="34"/>
        <v>0</v>
      </c>
      <c r="M140">
        <f t="shared" si="35"/>
        <v>0</v>
      </c>
      <c r="N140" t="e">
        <f t="shared" si="36"/>
        <v>#REF!</v>
      </c>
    </row>
    <row r="141" spans="1:14">
      <c r="A141">
        <f t="shared" si="27"/>
        <v>82000000000</v>
      </c>
      <c r="B141">
        <f t="shared" si="37"/>
        <v>0</v>
      </c>
      <c r="C141">
        <f t="shared" si="38"/>
        <v>0</v>
      </c>
      <c r="D141">
        <f t="shared" si="38"/>
        <v>0</v>
      </c>
      <c r="E141">
        <f t="shared" si="38"/>
        <v>0</v>
      </c>
      <c r="F141">
        <f t="shared" si="34"/>
        <v>0</v>
      </c>
      <c r="G141">
        <f t="shared" si="34"/>
        <v>0</v>
      </c>
      <c r="H141">
        <f t="shared" si="34"/>
        <v>0</v>
      </c>
      <c r="I141">
        <f t="shared" si="34"/>
        <v>0</v>
      </c>
      <c r="J141">
        <f t="shared" si="34"/>
        <v>0</v>
      </c>
      <c r="K141">
        <f t="shared" si="34"/>
        <v>0</v>
      </c>
      <c r="L141">
        <f t="shared" si="34"/>
        <v>0</v>
      </c>
      <c r="M141">
        <f t="shared" si="35"/>
        <v>0</v>
      </c>
      <c r="N141" t="e">
        <f t="shared" si="36"/>
        <v>#REF!</v>
      </c>
    </row>
    <row r="142" spans="1:14">
      <c r="A142">
        <f t="shared" si="27"/>
        <v>100000000000</v>
      </c>
      <c r="B142">
        <f t="shared" si="37"/>
        <v>0</v>
      </c>
      <c r="C142">
        <f t="shared" si="38"/>
        <v>0</v>
      </c>
      <c r="D142">
        <f t="shared" si="38"/>
        <v>0</v>
      </c>
      <c r="E142">
        <f t="shared" si="38"/>
        <v>0</v>
      </c>
      <c r="F142">
        <f t="shared" si="34"/>
        <v>0</v>
      </c>
      <c r="G142">
        <f t="shared" si="34"/>
        <v>0</v>
      </c>
      <c r="H142">
        <f t="shared" si="34"/>
        <v>0</v>
      </c>
      <c r="I142">
        <f t="shared" si="34"/>
        <v>0</v>
      </c>
      <c r="J142">
        <f t="shared" si="34"/>
        <v>0</v>
      </c>
      <c r="K142">
        <f t="shared" si="34"/>
        <v>0</v>
      </c>
      <c r="L142">
        <f t="shared" si="34"/>
        <v>0</v>
      </c>
      <c r="M142">
        <f t="shared" si="35"/>
        <v>0</v>
      </c>
      <c r="N142" t="e">
        <f t="shared" si="36"/>
        <v>#REF!</v>
      </c>
    </row>
    <row r="143" spans="1:14">
      <c r="A143">
        <f t="shared" si="27"/>
        <v>120000000000</v>
      </c>
      <c r="B143">
        <f t="shared" si="37"/>
        <v>0</v>
      </c>
      <c r="C143">
        <f t="shared" si="38"/>
        <v>0</v>
      </c>
      <c r="D143">
        <f t="shared" si="38"/>
        <v>0</v>
      </c>
      <c r="E143">
        <f t="shared" si="38"/>
        <v>0</v>
      </c>
      <c r="F143">
        <f t="shared" si="34"/>
        <v>0</v>
      </c>
      <c r="G143">
        <f t="shared" si="34"/>
        <v>0</v>
      </c>
      <c r="H143">
        <f t="shared" si="34"/>
        <v>0</v>
      </c>
      <c r="I143">
        <f t="shared" si="34"/>
        <v>0</v>
      </c>
      <c r="J143">
        <f t="shared" si="34"/>
        <v>0</v>
      </c>
      <c r="K143">
        <f t="shared" si="34"/>
        <v>0</v>
      </c>
      <c r="L143">
        <f t="shared" si="34"/>
        <v>0</v>
      </c>
      <c r="M143">
        <f t="shared" si="35"/>
        <v>0</v>
      </c>
      <c r="N143" t="e">
        <f t="shared" si="36"/>
        <v>#REF!</v>
      </c>
    </row>
    <row r="144" spans="1:14">
      <c r="A144">
        <f t="shared" si="27"/>
        <v>150000000000</v>
      </c>
      <c r="B144">
        <f t="shared" si="37"/>
        <v>0</v>
      </c>
      <c r="C144">
        <f t="shared" si="38"/>
        <v>0</v>
      </c>
      <c r="D144">
        <f t="shared" si="38"/>
        <v>0</v>
      </c>
      <c r="E144">
        <f t="shared" si="38"/>
        <v>0</v>
      </c>
      <c r="F144">
        <f t="shared" si="34"/>
        <v>0</v>
      </c>
      <c r="G144">
        <f t="shared" si="34"/>
        <v>0</v>
      </c>
      <c r="H144">
        <f t="shared" si="34"/>
        <v>0</v>
      </c>
      <c r="I144">
        <f t="shared" si="34"/>
        <v>0</v>
      </c>
      <c r="J144">
        <f t="shared" si="34"/>
        <v>0</v>
      </c>
      <c r="K144">
        <f t="shared" si="34"/>
        <v>0</v>
      </c>
      <c r="L144">
        <f t="shared" si="34"/>
        <v>0</v>
      </c>
      <c r="M144">
        <f t="shared" si="35"/>
        <v>0</v>
      </c>
      <c r="N144" t="e">
        <f t="shared" si="36"/>
        <v>#REF!</v>
      </c>
    </row>
    <row r="145" spans="1:14">
      <c r="A145">
        <f t="shared" si="27"/>
        <v>180000000000</v>
      </c>
      <c r="B145">
        <f t="shared" si="37"/>
        <v>0</v>
      </c>
      <c r="C145">
        <f t="shared" si="38"/>
        <v>0</v>
      </c>
      <c r="D145">
        <f t="shared" si="38"/>
        <v>0</v>
      </c>
      <c r="E145">
        <f t="shared" si="38"/>
        <v>0</v>
      </c>
      <c r="F145">
        <f t="shared" si="34"/>
        <v>0</v>
      </c>
      <c r="G145">
        <f t="shared" si="34"/>
        <v>0</v>
      </c>
      <c r="H145">
        <f t="shared" si="34"/>
        <v>0</v>
      </c>
      <c r="I145">
        <f t="shared" si="34"/>
        <v>0</v>
      </c>
      <c r="J145">
        <f t="shared" si="34"/>
        <v>0</v>
      </c>
      <c r="K145">
        <f t="shared" si="34"/>
        <v>0</v>
      </c>
      <c r="L145">
        <f t="shared" si="34"/>
        <v>0</v>
      </c>
      <c r="M145">
        <f t="shared" si="35"/>
        <v>0</v>
      </c>
      <c r="N145" t="e">
        <f t="shared" si="36"/>
        <v>#REF!</v>
      </c>
    </row>
    <row r="146" spans="1:14">
      <c r="A146">
        <f t="shared" si="27"/>
        <v>220000000000</v>
      </c>
      <c r="B146">
        <f t="shared" si="37"/>
        <v>0</v>
      </c>
      <c r="C146">
        <f t="shared" si="38"/>
        <v>0</v>
      </c>
      <c r="D146">
        <f t="shared" si="38"/>
        <v>0</v>
      </c>
      <c r="E146">
        <f t="shared" si="38"/>
        <v>0</v>
      </c>
      <c r="F146">
        <f t="shared" si="34"/>
        <v>0</v>
      </c>
      <c r="G146">
        <f t="shared" si="34"/>
        <v>0</v>
      </c>
      <c r="H146">
        <f t="shared" si="34"/>
        <v>0</v>
      </c>
      <c r="I146">
        <f t="shared" si="34"/>
        <v>0</v>
      </c>
      <c r="J146">
        <f t="shared" si="34"/>
        <v>0</v>
      </c>
      <c r="K146">
        <f t="shared" si="34"/>
        <v>0</v>
      </c>
      <c r="L146">
        <f t="shared" si="34"/>
        <v>0</v>
      </c>
      <c r="M146">
        <f t="shared" si="35"/>
        <v>0</v>
      </c>
      <c r="N146" t="e">
        <f t="shared" si="36"/>
        <v>#REF!</v>
      </c>
    </row>
    <row r="147" spans="1:14">
      <c r="A147">
        <f t="shared" si="27"/>
        <v>270000000000</v>
      </c>
      <c r="B147">
        <f t="shared" si="37"/>
        <v>0</v>
      </c>
      <c r="C147">
        <f t="shared" si="38"/>
        <v>0</v>
      </c>
      <c r="D147">
        <f t="shared" si="38"/>
        <v>0</v>
      </c>
      <c r="E147">
        <f t="shared" si="38"/>
        <v>0</v>
      </c>
      <c r="F147">
        <f t="shared" si="34"/>
        <v>0</v>
      </c>
      <c r="G147">
        <f t="shared" si="34"/>
        <v>0</v>
      </c>
      <c r="H147">
        <f t="shared" si="34"/>
        <v>0</v>
      </c>
      <c r="I147">
        <f t="shared" si="34"/>
        <v>0</v>
      </c>
      <c r="J147">
        <f t="shared" si="34"/>
        <v>0</v>
      </c>
      <c r="K147">
        <f t="shared" si="34"/>
        <v>0</v>
      </c>
      <c r="L147">
        <f t="shared" si="34"/>
        <v>0</v>
      </c>
      <c r="M147">
        <f t="shared" si="35"/>
        <v>0</v>
      </c>
      <c r="N147" t="e">
        <f t="shared" si="36"/>
        <v>#REF!</v>
      </c>
    </row>
    <row r="148" spans="1:14">
      <c r="A148">
        <f t="shared" si="27"/>
        <v>330000000000</v>
      </c>
      <c r="B148">
        <f t="shared" si="37"/>
        <v>0</v>
      </c>
      <c r="C148">
        <f t="shared" si="38"/>
        <v>0</v>
      </c>
      <c r="D148">
        <f t="shared" si="38"/>
        <v>0</v>
      </c>
      <c r="E148">
        <f t="shared" si="38"/>
        <v>0</v>
      </c>
      <c r="F148">
        <f t="shared" si="34"/>
        <v>0</v>
      </c>
      <c r="G148">
        <f t="shared" si="34"/>
        <v>0</v>
      </c>
      <c r="H148">
        <f t="shared" si="34"/>
        <v>0</v>
      </c>
      <c r="I148">
        <f t="shared" si="34"/>
        <v>0</v>
      </c>
      <c r="J148">
        <f t="shared" si="34"/>
        <v>0</v>
      </c>
      <c r="K148">
        <f t="shared" si="34"/>
        <v>0</v>
      </c>
      <c r="L148">
        <f t="shared" si="34"/>
        <v>0</v>
      </c>
      <c r="M148">
        <f t="shared" si="35"/>
        <v>0</v>
      </c>
      <c r="N148" t="e">
        <f t="shared" si="36"/>
        <v>#REF!</v>
      </c>
    </row>
    <row r="149" spans="1:14">
      <c r="A149">
        <f t="shared" si="27"/>
        <v>390000000000</v>
      </c>
      <c r="B149">
        <f t="shared" si="37"/>
        <v>0</v>
      </c>
      <c r="C149">
        <f t="shared" si="38"/>
        <v>0</v>
      </c>
      <c r="D149">
        <f t="shared" si="38"/>
        <v>0</v>
      </c>
      <c r="E149">
        <f t="shared" si="38"/>
        <v>0</v>
      </c>
      <c r="F149">
        <f t="shared" si="34"/>
        <v>0</v>
      </c>
      <c r="G149">
        <f t="shared" si="34"/>
        <v>0</v>
      </c>
      <c r="H149">
        <f t="shared" si="34"/>
        <v>0</v>
      </c>
      <c r="I149">
        <f t="shared" si="34"/>
        <v>0</v>
      </c>
      <c r="J149">
        <f t="shared" si="34"/>
        <v>0</v>
      </c>
      <c r="K149">
        <f t="shared" si="34"/>
        <v>0</v>
      </c>
      <c r="L149">
        <f t="shared" si="34"/>
        <v>0</v>
      </c>
      <c r="M149">
        <f t="shared" si="35"/>
        <v>0</v>
      </c>
      <c r="N149" t="e">
        <f t="shared" si="36"/>
        <v>#REF!</v>
      </c>
    </row>
    <row r="150" spans="1:14">
      <c r="A150">
        <f t="shared" si="27"/>
        <v>470000000000</v>
      </c>
      <c r="B150">
        <f t="shared" si="37"/>
        <v>0</v>
      </c>
      <c r="C150">
        <f t="shared" si="38"/>
        <v>0</v>
      </c>
      <c r="D150">
        <f t="shared" si="38"/>
        <v>0</v>
      </c>
      <c r="E150">
        <f t="shared" si="38"/>
        <v>0</v>
      </c>
      <c r="F150">
        <f t="shared" si="34"/>
        <v>0</v>
      </c>
      <c r="G150">
        <f t="shared" si="34"/>
        <v>0</v>
      </c>
      <c r="H150">
        <f t="shared" si="34"/>
        <v>0</v>
      </c>
      <c r="I150">
        <f t="shared" si="34"/>
        <v>0</v>
      </c>
      <c r="J150">
        <f t="shared" si="34"/>
        <v>0</v>
      </c>
      <c r="K150">
        <f t="shared" si="34"/>
        <v>0</v>
      </c>
      <c r="L150">
        <f t="shared" si="34"/>
        <v>0</v>
      </c>
      <c r="M150">
        <f t="shared" si="35"/>
        <v>0</v>
      </c>
      <c r="N150" t="e">
        <f t="shared" si="36"/>
        <v>#REF!</v>
      </c>
    </row>
    <row r="151" spans="1:14">
      <c r="A151">
        <f t="shared" si="27"/>
        <v>560000000000</v>
      </c>
      <c r="B151">
        <f t="shared" si="37"/>
        <v>0</v>
      </c>
      <c r="C151">
        <f t="shared" si="38"/>
        <v>0</v>
      </c>
      <c r="D151">
        <f t="shared" si="38"/>
        <v>0</v>
      </c>
      <c r="E151">
        <f t="shared" si="38"/>
        <v>0</v>
      </c>
      <c r="F151">
        <f t="shared" si="34"/>
        <v>0</v>
      </c>
      <c r="G151">
        <f t="shared" si="34"/>
        <v>0</v>
      </c>
      <c r="H151">
        <f t="shared" si="34"/>
        <v>0</v>
      </c>
      <c r="I151">
        <f t="shared" si="34"/>
        <v>0</v>
      </c>
      <c r="J151">
        <f t="shared" si="34"/>
        <v>0</v>
      </c>
      <c r="K151">
        <f t="shared" si="34"/>
        <v>0</v>
      </c>
      <c r="L151">
        <f t="shared" si="34"/>
        <v>0</v>
      </c>
      <c r="M151">
        <f t="shared" si="35"/>
        <v>0</v>
      </c>
      <c r="N151" t="e">
        <f t="shared" si="36"/>
        <v>#REF!</v>
      </c>
    </row>
    <row r="152" spans="1:14">
      <c r="A152">
        <f t="shared" si="27"/>
        <v>680000000000</v>
      </c>
      <c r="B152">
        <f t="shared" si="37"/>
        <v>0</v>
      </c>
      <c r="C152">
        <f t="shared" si="38"/>
        <v>0</v>
      </c>
      <c r="D152">
        <f t="shared" si="38"/>
        <v>0</v>
      </c>
      <c r="E152">
        <f t="shared" si="38"/>
        <v>0</v>
      </c>
      <c r="F152">
        <f t="shared" si="34"/>
        <v>0</v>
      </c>
      <c r="G152">
        <f t="shared" si="34"/>
        <v>0</v>
      </c>
      <c r="H152">
        <f t="shared" si="34"/>
        <v>0</v>
      </c>
      <c r="I152">
        <f t="shared" si="34"/>
        <v>0</v>
      </c>
      <c r="J152">
        <f t="shared" si="34"/>
        <v>0</v>
      </c>
      <c r="K152">
        <f t="shared" si="34"/>
        <v>0</v>
      </c>
      <c r="L152">
        <f t="shared" si="34"/>
        <v>0</v>
      </c>
      <c r="M152">
        <f t="shared" si="35"/>
        <v>0</v>
      </c>
      <c r="N152" t="e">
        <f t="shared" si="36"/>
        <v>#REF!</v>
      </c>
    </row>
    <row r="153" spans="1:14">
      <c r="A153">
        <f t="shared" si="27"/>
        <v>820000000000</v>
      </c>
      <c r="B153">
        <f t="shared" si="37"/>
        <v>0</v>
      </c>
      <c r="C153">
        <f t="shared" si="38"/>
        <v>0</v>
      </c>
      <c r="D153">
        <f t="shared" si="38"/>
        <v>0</v>
      </c>
      <c r="E153">
        <f t="shared" si="38"/>
        <v>0</v>
      </c>
      <c r="F153">
        <f t="shared" si="34"/>
        <v>0</v>
      </c>
      <c r="G153">
        <f t="shared" si="34"/>
        <v>0</v>
      </c>
      <c r="H153">
        <f t="shared" si="34"/>
        <v>0</v>
      </c>
      <c r="I153">
        <f t="shared" si="34"/>
        <v>0</v>
      </c>
      <c r="J153">
        <f t="shared" si="34"/>
        <v>0</v>
      </c>
      <c r="K153">
        <f t="shared" si="34"/>
        <v>0</v>
      </c>
      <c r="L153">
        <f t="shared" si="34"/>
        <v>0</v>
      </c>
      <c r="M153">
        <f t="shared" si="35"/>
        <v>0</v>
      </c>
      <c r="N153" t="e">
        <f t="shared" si="36"/>
        <v>#REF!</v>
      </c>
    </row>
    <row r="154" spans="1:14">
      <c r="A154">
        <f t="shared" si="27"/>
        <v>1000000000000</v>
      </c>
      <c r="B154">
        <f t="shared" si="37"/>
        <v>0</v>
      </c>
      <c r="C154">
        <f t="shared" si="38"/>
        <v>0</v>
      </c>
      <c r="D154">
        <f t="shared" si="38"/>
        <v>0</v>
      </c>
      <c r="E154">
        <f t="shared" si="38"/>
        <v>0</v>
      </c>
      <c r="F154">
        <f t="shared" si="34"/>
        <v>0</v>
      </c>
      <c r="G154">
        <f t="shared" si="34"/>
        <v>0</v>
      </c>
      <c r="H154">
        <f t="shared" si="34"/>
        <v>0</v>
      </c>
      <c r="I154">
        <f t="shared" si="34"/>
        <v>0</v>
      </c>
      <c r="J154">
        <f t="shared" si="34"/>
        <v>0</v>
      </c>
      <c r="K154">
        <f t="shared" si="34"/>
        <v>0</v>
      </c>
      <c r="L154">
        <f t="shared" si="34"/>
        <v>0</v>
      </c>
      <c r="M154">
        <f t="shared" si="35"/>
        <v>0</v>
      </c>
      <c r="N154" t="e">
        <f t="shared" si="36"/>
        <v>#REF!</v>
      </c>
    </row>
    <row r="155" spans="1:14">
      <c r="A155">
        <f t="shared" si="27"/>
        <v>1200000000000</v>
      </c>
      <c r="B155">
        <f t="shared" si="37"/>
        <v>0</v>
      </c>
      <c r="C155">
        <f t="shared" si="38"/>
        <v>0</v>
      </c>
      <c r="D155">
        <f t="shared" si="38"/>
        <v>0</v>
      </c>
      <c r="E155">
        <f t="shared" si="38"/>
        <v>0</v>
      </c>
      <c r="F155">
        <f t="shared" si="34"/>
        <v>0</v>
      </c>
      <c r="G155">
        <f t="shared" si="34"/>
        <v>0</v>
      </c>
      <c r="H155">
        <f t="shared" si="34"/>
        <v>0</v>
      </c>
      <c r="I155">
        <f t="shared" si="34"/>
        <v>0</v>
      </c>
      <c r="J155">
        <f t="shared" si="34"/>
        <v>0</v>
      </c>
      <c r="K155">
        <f t="shared" si="34"/>
        <v>0</v>
      </c>
      <c r="L155">
        <f t="shared" si="34"/>
        <v>0</v>
      </c>
      <c r="M155">
        <f t="shared" si="35"/>
        <v>0</v>
      </c>
      <c r="N155" t="e">
        <f t="shared" si="36"/>
        <v>#REF!</v>
      </c>
    </row>
    <row r="156" spans="1:14">
      <c r="A156">
        <f t="shared" si="27"/>
        <v>1500000000000</v>
      </c>
      <c r="B156">
        <f t="shared" si="37"/>
        <v>0</v>
      </c>
      <c r="C156">
        <f t="shared" si="38"/>
        <v>0</v>
      </c>
      <c r="D156">
        <f t="shared" si="38"/>
        <v>0</v>
      </c>
      <c r="E156">
        <f t="shared" si="38"/>
        <v>0</v>
      </c>
      <c r="F156">
        <f t="shared" si="34"/>
        <v>0</v>
      </c>
      <c r="G156">
        <f t="shared" si="34"/>
        <v>0</v>
      </c>
      <c r="H156">
        <f t="shared" si="34"/>
        <v>0</v>
      </c>
      <c r="I156">
        <f t="shared" si="34"/>
        <v>0</v>
      </c>
      <c r="J156">
        <f t="shared" si="34"/>
        <v>0</v>
      </c>
      <c r="K156">
        <f t="shared" si="34"/>
        <v>0</v>
      </c>
      <c r="L156">
        <f t="shared" si="34"/>
        <v>0</v>
      </c>
      <c r="M156">
        <f t="shared" si="35"/>
        <v>0</v>
      </c>
      <c r="N156" t="e">
        <f t="shared" si="36"/>
        <v>#REF!</v>
      </c>
    </row>
    <row r="157" spans="1:14">
      <c r="A157">
        <f t="shared" si="27"/>
        <v>1800000000000</v>
      </c>
      <c r="B157">
        <f t="shared" si="37"/>
        <v>0</v>
      </c>
      <c r="C157">
        <f t="shared" si="38"/>
        <v>0</v>
      </c>
      <c r="D157">
        <f t="shared" si="38"/>
        <v>0</v>
      </c>
      <c r="E157">
        <f t="shared" si="38"/>
        <v>0</v>
      </c>
      <c r="F157">
        <f t="shared" si="34"/>
        <v>0</v>
      </c>
      <c r="G157">
        <f t="shared" si="34"/>
        <v>0</v>
      </c>
      <c r="H157">
        <f t="shared" si="34"/>
        <v>0</v>
      </c>
      <c r="I157">
        <f t="shared" si="34"/>
        <v>0</v>
      </c>
      <c r="J157">
        <f t="shared" si="34"/>
        <v>0</v>
      </c>
      <c r="K157">
        <f t="shared" si="34"/>
        <v>0</v>
      </c>
      <c r="L157">
        <f t="shared" si="34"/>
        <v>0</v>
      </c>
      <c r="M157">
        <f t="shared" si="35"/>
        <v>0</v>
      </c>
      <c r="N157" t="e">
        <f t="shared" si="36"/>
        <v>#REF!</v>
      </c>
    </row>
    <row r="158" spans="1:14">
      <c r="A158">
        <f t="shared" si="27"/>
        <v>2200000000000</v>
      </c>
      <c r="B158">
        <f t="shared" si="37"/>
        <v>0</v>
      </c>
      <c r="C158">
        <f t="shared" si="38"/>
        <v>0</v>
      </c>
      <c r="D158">
        <f t="shared" si="38"/>
        <v>0</v>
      </c>
      <c r="E158">
        <f t="shared" si="38"/>
        <v>0</v>
      </c>
      <c r="F158">
        <f t="shared" si="34"/>
        <v>0</v>
      </c>
      <c r="G158">
        <f t="shared" si="34"/>
        <v>0</v>
      </c>
      <c r="H158">
        <f t="shared" si="34"/>
        <v>0</v>
      </c>
      <c r="I158">
        <f t="shared" si="34"/>
        <v>0</v>
      </c>
      <c r="J158">
        <f t="shared" si="34"/>
        <v>0</v>
      </c>
      <c r="K158">
        <f t="shared" si="34"/>
        <v>0</v>
      </c>
      <c r="L158">
        <f t="shared" si="34"/>
        <v>0</v>
      </c>
      <c r="M158">
        <f t="shared" si="35"/>
        <v>0</v>
      </c>
      <c r="N158" t="e">
        <f t="shared" si="36"/>
        <v>#REF!</v>
      </c>
    </row>
    <row r="159" spans="1:14">
      <c r="A159" s="72">
        <f t="shared" si="27"/>
        <v>2700000000000</v>
      </c>
      <c r="B159">
        <f t="shared" si="37"/>
        <v>2700000000000</v>
      </c>
      <c r="C159">
        <f t="shared" si="38"/>
        <v>2700000000000</v>
      </c>
      <c r="D159">
        <f t="shared" si="38"/>
        <v>2700000000000</v>
      </c>
      <c r="E159">
        <f t="shared" si="38"/>
        <v>2700000000000</v>
      </c>
      <c r="F159">
        <f t="shared" si="34"/>
        <v>2700000000000</v>
      </c>
      <c r="G159">
        <f t="shared" si="34"/>
        <v>2700000000000</v>
      </c>
      <c r="H159">
        <f t="shared" si="34"/>
        <v>2700000000000</v>
      </c>
      <c r="I159">
        <f t="shared" si="34"/>
        <v>2700000000000</v>
      </c>
      <c r="J159">
        <f t="shared" si="34"/>
        <v>2700000000000</v>
      </c>
      <c r="K159">
        <f t="shared" si="34"/>
        <v>0</v>
      </c>
      <c r="L159">
        <f t="shared" si="34"/>
        <v>2700000000000</v>
      </c>
      <c r="M159">
        <f t="shared" si="35"/>
        <v>2700000000000</v>
      </c>
      <c r="N159" t="e">
        <f t="shared" si="36"/>
        <v>#REF!</v>
      </c>
    </row>
  </sheetData>
  <phoneticPr fontId="5" type="noConversion"/>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CC692"/>
  <sheetViews>
    <sheetView topLeftCell="B9" workbookViewId="0">
      <selection activeCell="B691" sqref="B691:B692"/>
    </sheetView>
  </sheetViews>
  <sheetFormatPr baseColWidth="10" defaultColWidth="8.83203125" defaultRowHeight="13"/>
  <cols>
    <col min="1" max="1" width="10.5" customWidth="1"/>
    <col min="2" max="2" width="10" bestFit="1" customWidth="1"/>
    <col min="4" max="4" width="12.5" bestFit="1" customWidth="1"/>
    <col min="7" max="7" width="11.1640625" customWidth="1"/>
    <col min="8" max="8" width="13.1640625" bestFit="1" customWidth="1"/>
    <col min="13" max="14" width="12.5" bestFit="1" customWidth="1"/>
    <col min="16" max="16" width="12.5" bestFit="1" customWidth="1"/>
    <col min="18" max="18" width="13.1640625" bestFit="1" customWidth="1"/>
    <col min="20" max="20" width="13.1640625" bestFit="1" customWidth="1"/>
    <col min="22" max="22" width="13.1640625" bestFit="1" customWidth="1"/>
    <col min="24" max="24" width="13.83203125" bestFit="1" customWidth="1"/>
    <col min="25" max="26" width="12.5" bestFit="1" customWidth="1"/>
    <col min="28" max="28" width="3.1640625" style="6" customWidth="1"/>
    <col min="29" max="32" width="8.5" customWidth="1"/>
    <col min="33" max="33" width="13.1640625" bestFit="1" customWidth="1"/>
    <col min="34" max="34" width="9.5" bestFit="1" customWidth="1"/>
    <col min="35" max="35" width="10" bestFit="1" customWidth="1"/>
    <col min="36" max="39" width="8.83203125" customWidth="1"/>
    <col min="43" max="43" width="12.5" bestFit="1" customWidth="1"/>
    <col min="45" max="46" width="12.5" bestFit="1" customWidth="1"/>
    <col min="47" max="47" width="13.1640625" bestFit="1" customWidth="1"/>
    <col min="49" max="49" width="13.1640625" bestFit="1" customWidth="1"/>
    <col min="50" max="50" width="11" bestFit="1" customWidth="1"/>
    <col min="54" max="54" width="12.5" customWidth="1"/>
    <col min="55" max="55" width="10.1640625" customWidth="1"/>
    <col min="58" max="58" width="11" customWidth="1"/>
    <col min="59" max="59" width="13" customWidth="1"/>
    <col min="60" max="60" width="16.83203125" customWidth="1"/>
    <col min="62" max="62" width="12.33203125" customWidth="1"/>
    <col min="66" max="66" width="13.1640625" bestFit="1" customWidth="1"/>
    <col min="72" max="72" width="10.5" customWidth="1"/>
  </cols>
  <sheetData>
    <row r="1" spans="1:81" ht="38.25" customHeight="1">
      <c r="A1" s="537" t="s">
        <v>45</v>
      </c>
      <c r="B1" s="537"/>
      <c r="C1" s="537"/>
      <c r="D1" s="537"/>
      <c r="E1" s="537"/>
      <c r="F1" s="537"/>
      <c r="G1" s="537"/>
      <c r="AC1" s="8" t="s">
        <v>106</v>
      </c>
      <c r="AD1" s="5"/>
      <c r="AE1" s="5"/>
      <c r="AF1" s="5"/>
      <c r="AG1" s="5"/>
    </row>
    <row r="3" spans="1:81">
      <c r="AT3">
        <f>AT9/10000000000000</f>
        <v>-2.9320364778123242E-5</v>
      </c>
      <c r="AU3">
        <f>AU9/10000000000000</f>
        <v>-7.3402541534609816E-2</v>
      </c>
    </row>
    <row r="4" spans="1:81">
      <c r="AT4">
        <f>AT3*1000</f>
        <v>-2.9320364778123241E-2</v>
      </c>
      <c r="AU4">
        <f>AU3*1000</f>
        <v>-73.40254153460981</v>
      </c>
      <c r="BJ4" s="5" t="s">
        <v>111</v>
      </c>
      <c r="BK4" s="5"/>
    </row>
    <row r="5" spans="1:81">
      <c r="AC5" t="s">
        <v>93</v>
      </c>
      <c r="AD5" t="s">
        <v>94</v>
      </c>
      <c r="AE5" t="s">
        <v>95</v>
      </c>
      <c r="AF5" t="s">
        <v>96</v>
      </c>
      <c r="AJ5" t="s">
        <v>93</v>
      </c>
      <c r="AK5" t="s">
        <v>94</v>
      </c>
      <c r="AL5" t="s">
        <v>95</v>
      </c>
      <c r="AM5" t="s">
        <v>96</v>
      </c>
      <c r="BJ5" t="s">
        <v>84</v>
      </c>
      <c r="BK5">
        <f>SUM(BJ9:BJ626)/1000</f>
        <v>120</v>
      </c>
    </row>
    <row r="6" spans="1:81">
      <c r="C6" s="538" t="s">
        <v>46</v>
      </c>
      <c r="D6" s="538"/>
      <c r="E6" s="538"/>
      <c r="F6" s="538"/>
      <c r="G6" s="538"/>
      <c r="H6" s="538"/>
      <c r="J6" s="7" t="s">
        <v>76</v>
      </c>
      <c r="M6" s="7" t="s">
        <v>37</v>
      </c>
      <c r="N6" s="5"/>
      <c r="O6" s="5"/>
      <c r="P6" s="5"/>
      <c r="Q6" s="5"/>
      <c r="R6" s="5"/>
      <c r="S6" s="5"/>
      <c r="T6" s="5"/>
      <c r="U6" s="5"/>
      <c r="V6" s="5"/>
      <c r="X6" s="7" t="s">
        <v>105</v>
      </c>
      <c r="Y6" s="5"/>
      <c r="Z6" s="5"/>
      <c r="AC6" s="5" t="s">
        <v>86</v>
      </c>
      <c r="AD6" s="5"/>
      <c r="AE6" s="5"/>
      <c r="AF6" s="5"/>
      <c r="AG6" s="5"/>
      <c r="AH6" s="5"/>
      <c r="AJ6" s="5" t="s">
        <v>87</v>
      </c>
      <c r="AK6" s="5"/>
      <c r="AL6" s="5"/>
      <c r="AM6" s="5"/>
      <c r="AN6" s="5"/>
      <c r="AO6" s="5"/>
      <c r="AQ6" s="5" t="s">
        <v>107</v>
      </c>
      <c r="AR6" s="5"/>
      <c r="AT6" s="5" t="s">
        <v>108</v>
      </c>
      <c r="AU6" s="5"/>
      <c r="AV6" s="5"/>
      <c r="AW6" s="5"/>
      <c r="AX6" s="5"/>
      <c r="AY6" s="5"/>
      <c r="BA6" s="5" t="s">
        <v>109</v>
      </c>
      <c r="BB6" s="5"/>
      <c r="BC6" s="5"/>
      <c r="BF6" s="5" t="s">
        <v>346</v>
      </c>
      <c r="BG6" s="5"/>
      <c r="BH6" s="5"/>
      <c r="BJ6" t="s">
        <v>85</v>
      </c>
      <c r="BK6" s="4">
        <f>SUM(BK10:BK627)</f>
        <v>67.316906024278495</v>
      </c>
      <c r="BM6" s="5" t="s">
        <v>347</v>
      </c>
      <c r="BN6" s="5"/>
      <c r="BU6" s="2"/>
    </row>
    <row r="7" spans="1:81">
      <c r="A7" s="2"/>
      <c r="B7" s="2"/>
      <c r="C7" s="2" t="s">
        <v>47</v>
      </c>
      <c r="D7" s="2"/>
      <c r="E7" s="2"/>
      <c r="F7" s="2" t="s">
        <v>48</v>
      </c>
      <c r="G7" s="2"/>
      <c r="H7" s="2"/>
      <c r="I7" s="2"/>
      <c r="J7" s="2"/>
      <c r="M7" s="535" t="s">
        <v>50</v>
      </c>
      <c r="N7" s="535"/>
      <c r="O7" s="535" t="s">
        <v>64</v>
      </c>
      <c r="P7" s="535"/>
      <c r="Q7" s="535" t="s">
        <v>65</v>
      </c>
      <c r="R7" s="535"/>
      <c r="S7" s="535" t="s">
        <v>66</v>
      </c>
      <c r="T7" s="535"/>
      <c r="U7" s="535" t="s">
        <v>67</v>
      </c>
      <c r="V7" s="535"/>
      <c r="AC7" t="s">
        <v>90</v>
      </c>
      <c r="AE7" t="s">
        <v>91</v>
      </c>
      <c r="AG7" t="s">
        <v>92</v>
      </c>
      <c r="AJ7" t="s">
        <v>90</v>
      </c>
      <c r="AL7" t="s">
        <v>91</v>
      </c>
      <c r="AN7" t="s">
        <v>92</v>
      </c>
      <c r="AQ7" t="s">
        <v>83</v>
      </c>
      <c r="AT7" t="s">
        <v>90</v>
      </c>
      <c r="AW7" t="s">
        <v>91</v>
      </c>
      <c r="BU7" s="2"/>
    </row>
    <row r="8" spans="1:81">
      <c r="A8" s="2" t="s">
        <v>44</v>
      </c>
      <c r="B8" s="2"/>
      <c r="C8" s="2" t="s">
        <v>68</v>
      </c>
      <c r="D8" s="2" t="s">
        <v>69</v>
      </c>
      <c r="E8" s="2"/>
      <c r="F8" s="2" t="s">
        <v>68</v>
      </c>
      <c r="G8" s="2"/>
      <c r="H8" s="2" t="s">
        <v>69</v>
      </c>
      <c r="I8" s="2"/>
      <c r="J8" s="2" t="s">
        <v>68</v>
      </c>
      <c r="M8" s="2" t="s">
        <v>68</v>
      </c>
      <c r="N8" s="2" t="s">
        <v>69</v>
      </c>
      <c r="O8" s="2" t="s">
        <v>68</v>
      </c>
      <c r="P8" s="2" t="s">
        <v>69</v>
      </c>
      <c r="Q8" s="2" t="s">
        <v>68</v>
      </c>
      <c r="R8" s="2" t="s">
        <v>69</v>
      </c>
      <c r="S8" s="2" t="s">
        <v>68</v>
      </c>
      <c r="T8" s="2" t="s">
        <v>69</v>
      </c>
      <c r="U8" s="2" t="s">
        <v>68</v>
      </c>
      <c r="V8" s="2" t="s">
        <v>69</v>
      </c>
      <c r="X8" s="2" t="s">
        <v>71</v>
      </c>
      <c r="Y8" s="2" t="s">
        <v>72</v>
      </c>
      <c r="Z8" s="2" t="s">
        <v>73</v>
      </c>
      <c r="AC8" t="s">
        <v>88</v>
      </c>
      <c r="AD8" t="s">
        <v>89</v>
      </c>
      <c r="AE8" t="s">
        <v>88</v>
      </c>
      <c r="AF8" t="s">
        <v>89</v>
      </c>
      <c r="AG8" t="s">
        <v>97</v>
      </c>
      <c r="AH8" t="s">
        <v>98</v>
      </c>
      <c r="AJ8" t="s">
        <v>88</v>
      </c>
      <c r="AK8" t="s">
        <v>89</v>
      </c>
      <c r="AL8" t="s">
        <v>88</v>
      </c>
      <c r="AM8" t="s">
        <v>89</v>
      </c>
      <c r="AN8" t="s">
        <v>100</v>
      </c>
      <c r="AO8" t="s">
        <v>99</v>
      </c>
      <c r="AQ8" t="s">
        <v>88</v>
      </c>
      <c r="AR8" t="s">
        <v>89</v>
      </c>
      <c r="AT8" t="s">
        <v>88</v>
      </c>
      <c r="AU8" t="s">
        <v>89</v>
      </c>
      <c r="AV8" t="s">
        <v>69</v>
      </c>
      <c r="AW8" t="s">
        <v>88</v>
      </c>
      <c r="AX8" t="s">
        <v>89</v>
      </c>
      <c r="AY8" t="s">
        <v>69</v>
      </c>
      <c r="BA8" t="s">
        <v>101</v>
      </c>
      <c r="BB8" t="s">
        <v>103</v>
      </c>
      <c r="BC8" t="s">
        <v>102</v>
      </c>
      <c r="BF8" t="s">
        <v>71</v>
      </c>
      <c r="BG8" t="s">
        <v>72</v>
      </c>
      <c r="BH8" t="s">
        <v>104</v>
      </c>
      <c r="BM8" t="s">
        <v>71</v>
      </c>
      <c r="BN8" t="s">
        <v>348</v>
      </c>
      <c r="BQ8" s="2"/>
      <c r="BR8" s="2"/>
      <c r="BS8" s="2"/>
      <c r="BT8" t="s">
        <v>354</v>
      </c>
      <c r="BY8" s="2"/>
      <c r="BZ8" s="2"/>
      <c r="CA8" s="2"/>
      <c r="CB8" s="2"/>
    </row>
    <row r="9" spans="1:81">
      <c r="A9">
        <v>1</v>
      </c>
      <c r="B9">
        <f>A9/1000</f>
        <v>1E-3</v>
      </c>
      <c r="C9">
        <f t="shared" ref="C9:C72" si="0">SQRT((A9/Fesr)^2+1)</f>
        <v>1.000000000000683</v>
      </c>
      <c r="D9">
        <f t="shared" ref="D9:D72" si="1">ATAN(A9/Fesr)</f>
        <v>1.1686724657994679E-6</v>
      </c>
      <c r="F9">
        <f t="shared" ref="F9:F72" si="2">(Ro/(Ro+Rdcr))/SQRT((A9/(Q*Fo))^2+(1-(A9^2/Fo^2))^2)</f>
        <v>0.99857979446554956</v>
      </c>
      <c r="G9">
        <f t="shared" ref="G9:G72" si="3">-ATAN(A9*Fo/(Q*(Fo^2-A9^2)))</f>
        <v>-1.4515888914243182E-5</v>
      </c>
      <c r="H9">
        <f t="shared" ref="H9:H72" si="4">IF(G9&gt;0,G9-Pi,G9)</f>
        <v>-1.4515888914243182E-5</v>
      </c>
      <c r="J9">
        <f t="shared" ref="J9:J72" si="5">Vin/Vramp</f>
        <v>9</v>
      </c>
      <c r="M9">
        <f t="shared" ref="M9:M72" si="6">1/(2*Pi*_Rfb1*(Cc1ea_u+Cc2ea_u)*A9)</f>
        <v>4220.7208887704564</v>
      </c>
      <c r="N9">
        <f t="shared" ref="N9:N72" si="7">-Pi/2</f>
        <v>-1.5707963250000001</v>
      </c>
      <c r="O9">
        <f t="shared" ref="O9:O72" si="8">SQRT(1+(A9/Fz1_u)^2)</f>
        <v>1.0000000082695248</v>
      </c>
      <c r="P9">
        <f t="shared" ref="P9:P72" si="9">ATAN2(Fz1_u,A9)</f>
        <v>1.2860423601140274E-4</v>
      </c>
      <c r="Q9">
        <f t="shared" ref="Q9:Q72" si="10">SQRT(1+(A9/Fz2_u)^2)</f>
        <v>1.0000000013786579</v>
      </c>
      <c r="R9">
        <f t="shared" ref="R9:R72" si="11">ATAN2(Fz2_u,A9)</f>
        <v>5.2510150300162646E-5</v>
      </c>
      <c r="S9">
        <f t="shared" ref="S9:S72" si="12">1/SQRT(1+(A9/Fp1_u)^2)</f>
        <v>0.99999999999977307</v>
      </c>
      <c r="T9">
        <f t="shared" ref="T9:T72" si="13">-ATAN2(Fp1_u,A9)</f>
        <v>-6.7387162342489809E-7</v>
      </c>
      <c r="U9">
        <f t="shared" ref="U9:U72" si="14">1/SQRT(1+(A9/Fp2_u)^2)</f>
        <v>0.99999999999944844</v>
      </c>
      <c r="V9">
        <f t="shared" ref="V9:V72" si="15">-ATAN2(Fp2_u,A9)</f>
        <v>-1.050443007050722E-6</v>
      </c>
      <c r="X9">
        <f>20*LOG(C9*J9*O9*Q9*F9*M9*S9*U9)</f>
        <v>91.580238430676502</v>
      </c>
      <c r="Y9">
        <f t="shared" ref="Y9:Y72" si="16">(180/Pi)*(D9+H9+N9+P9+R9+T9+V9)</f>
        <v>-89.990486445165999</v>
      </c>
      <c r="Z9">
        <f>Y9+180</f>
        <v>90.009513554834001</v>
      </c>
      <c r="AC9">
        <v>1</v>
      </c>
      <c r="AD9">
        <f t="shared" ref="AD9:AD72" si="17">Rcea1_u*Cc1ea_u*A9*2*Pi</f>
        <v>1.2860423672040003E-4</v>
      </c>
      <c r="AE9">
        <f t="shared" ref="AE9:AE72" si="18">-Rcea1_u*Cc1ea_u*Cc2ea_u*(A9*2*Pi)^2</f>
        <v>-4.5250477982042907E-15</v>
      </c>
      <c r="AF9">
        <f t="shared" ref="AF9:AF72" si="19">(Cc2ea_u+Cc1ea_u)*A9*2*Pi</f>
        <v>4.3077518416800006E-9</v>
      </c>
      <c r="AG9">
        <f>AC9*AE9/(AE9^2+AF9^2)+AD9*AF9/(AE9^2+AF9^2)</f>
        <v>29610.292886199048</v>
      </c>
      <c r="AH9">
        <f>AD9*AE9/(AE9^2+AF9^2)-AC9*AF9/(AE9^2+AF9^2)</f>
        <v>-232139648.913479</v>
      </c>
      <c r="AI9">
        <f>SQRT(AG9^2+AH9^2)</f>
        <v>232139650.80193159</v>
      </c>
      <c r="AJ9">
        <f t="shared" ref="AJ9:AJ72" si="20">_Rfb1</f>
        <v>55000</v>
      </c>
      <c r="AK9">
        <f t="shared" ref="AK9:AK72" si="21">_Rfb1*Rcea2_u*Cc3ea_u*A9*2*Pi</f>
        <v>3.7062939288375008E-2</v>
      </c>
      <c r="AL9">
        <v>1</v>
      </c>
      <c r="AM9">
        <f t="shared" ref="AM9:AM72" si="22">(_Rfb1+Rcea2_u)*Cc3ea_u*A9*2*Pi</f>
        <v>5.2510150348425005E-5</v>
      </c>
      <c r="AN9">
        <f>AJ9*AL9/(AL9^2+AM9^2)+AK9*AM9/(AL9^2+AM9^2)</f>
        <v>54999.999850293803</v>
      </c>
      <c r="AO9">
        <f>AK9*AL9/(AL9^2+AM9^2)-AJ9*AM9/(AL9^2+AM9^2)</f>
        <v>-2.850995322013905</v>
      </c>
      <c r="AP9" s="68">
        <f>SQRT(AN9^2+AO9^2)</f>
        <v>54999.999924186297</v>
      </c>
      <c r="AQ9">
        <f t="shared" ref="AQ9:AQ72" si="23">Eadcg/(1+(Eadcg*A9/GBP)^2)</f>
        <v>3161.9991218211458</v>
      </c>
      <c r="AR9">
        <f t="shared" ref="AR9:AR72" si="24">-(A9*Eadcg*Eadcg/GBP)/(1+(Eadcg*A9/GBP)^2)</f>
        <v>-1.6663735371997439</v>
      </c>
      <c r="AT9">
        <f>-AR9*AH9+AG9*AQ9</f>
        <v>-293203647.78123242</v>
      </c>
      <c r="AU9">
        <f>AQ9*AH9+AG9*AR9</f>
        <v>-734025415346.09814</v>
      </c>
      <c r="AV9">
        <f>ATAN2(AT9,AU9)</f>
        <v>-1.5711957729531045</v>
      </c>
      <c r="AW9">
        <f t="shared" ref="AW9:AW73" si="25">AG9-AH9*AO9/_Rfb2+AG9*AN9/_Rfb2+AN9-AO9*AR9+AQ9*AN9</f>
        <v>174174721.40097493</v>
      </c>
      <c r="AX9">
        <f t="shared" ref="AX9:AX73" si="26">AH9+AH9*AN9/_Rfb2+AG9*AO9/_Rfb2+AO9+AO9*AQ9+AN9*AR9</f>
        <v>-2611671727.772584</v>
      </c>
      <c r="AY9">
        <f>ATAN2(AW9,AX9)</f>
        <v>-1.5042040432905781</v>
      </c>
      <c r="BA9" s="50">
        <f t="shared" ref="BA9:BA72" si="27">SQRT(AT9^2+AU9^2)/SQRT(AW9^2+AX9^2)</f>
        <v>280.432849835154</v>
      </c>
      <c r="BB9" s="68">
        <f>20*LOG(BA9)</f>
        <v>48.956577708468664</v>
      </c>
      <c r="BC9">
        <f>AV9-AY9</f>
        <v>-6.6991729662526422E-2</v>
      </c>
      <c r="BD9">
        <f t="shared" ref="BD9:BD72" si="28">BC9*180/Pi-180</f>
        <v>-183.83834337633007</v>
      </c>
      <c r="BF9">
        <f t="shared" ref="BF9:BF72" si="29">20*LOG(BA9*J9*F9*C9)</f>
        <v>68.029083380773812</v>
      </c>
      <c r="BG9">
        <f t="shared" ref="BG9:BG72" si="30">(180/Pi)*(D9+H9+BC9)</f>
        <v>-3.8391081155016944</v>
      </c>
      <c r="BH9">
        <f>IF(BG9&gt;180,BG9-180,BG9+180)</f>
        <v>176.16089188449831</v>
      </c>
      <c r="BI9">
        <f>IF(BH9&gt;180,BH9-360,BH9)</f>
        <v>176.16089188449831</v>
      </c>
      <c r="BJ9">
        <f t="shared" ref="BJ9:BJ72" si="31">SUM((BF10&lt;0)*(BF9&gt;0))*A9</f>
        <v>0</v>
      </c>
      <c r="BK9">
        <f>IF(BJ9&gt;0,BI9,0)</f>
        <v>0</v>
      </c>
      <c r="BM9">
        <f>20*LOG(J9*F9*C9)</f>
        <v>19.072505672305141</v>
      </c>
      <c r="BN9">
        <f t="shared" ref="BN9:BN72" si="32">(H9+D9)*180/Pi</f>
        <v>-7.6473917161725866E-4</v>
      </c>
      <c r="BQ9" s="75">
        <f>20*LOG(BA9*7)</f>
        <v>65.858538508753796</v>
      </c>
      <c r="BR9" s="75"/>
      <c r="BS9" s="75"/>
      <c r="BT9" s="75" t="s">
        <v>44</v>
      </c>
      <c r="BU9" s="75" t="s">
        <v>68</v>
      </c>
      <c r="BV9" s="75" t="s">
        <v>69</v>
      </c>
      <c r="BW9" s="75"/>
      <c r="BY9" s="75"/>
      <c r="BZ9" s="75"/>
      <c r="CA9" s="75"/>
      <c r="CC9" s="75"/>
    </row>
    <row r="10" spans="1:81">
      <c r="A10">
        <v>2</v>
      </c>
      <c r="B10">
        <f t="shared" ref="B10:B73" si="33">A10/1000</f>
        <v>2E-3</v>
      </c>
      <c r="C10">
        <f t="shared" si="0"/>
        <v>1.0000000000027316</v>
      </c>
      <c r="D10">
        <f t="shared" si="1"/>
        <v>2.3373449315957438E-6</v>
      </c>
      <c r="F10">
        <f t="shared" si="2"/>
        <v>0.99857980085660591</v>
      </c>
      <c r="G10">
        <f t="shared" si="3"/>
        <v>-2.9031778017352634E-5</v>
      </c>
      <c r="H10">
        <f t="shared" si="4"/>
        <v>-2.9031778017352634E-5</v>
      </c>
      <c r="J10">
        <f t="shared" si="5"/>
        <v>9</v>
      </c>
      <c r="M10">
        <f t="shared" si="6"/>
        <v>2110.3604443852282</v>
      </c>
      <c r="N10">
        <f t="shared" si="7"/>
        <v>-1.5707963250000001</v>
      </c>
      <c r="O10">
        <f t="shared" si="8"/>
        <v>1.0000000330780989</v>
      </c>
      <c r="P10">
        <f t="shared" si="9"/>
        <v>2.5720846776882198E-4</v>
      </c>
      <c r="Q10">
        <f t="shared" si="10"/>
        <v>1.0000000055146316</v>
      </c>
      <c r="R10">
        <f t="shared" si="11"/>
        <v>1.0502030031075115E-4</v>
      </c>
      <c r="S10">
        <f t="shared" si="12"/>
        <v>0.99999999999909184</v>
      </c>
      <c r="T10">
        <f t="shared" si="13"/>
        <v>-1.347743246849184E-6</v>
      </c>
      <c r="U10">
        <f t="shared" si="14"/>
        <v>0.9999999999977931</v>
      </c>
      <c r="V10">
        <f t="shared" si="15"/>
        <v>-2.1008860140991261E-6</v>
      </c>
      <c r="X10">
        <f t="shared" ref="X10:X73" si="34">20*LOG(C10*J10*O10*Q10*F10*M10*S10*U10)</f>
        <v>85.559638824394483</v>
      </c>
      <c r="Y10">
        <f t="shared" si="16"/>
        <v>-89.980972890603127</v>
      </c>
      <c r="Z10">
        <f t="shared" ref="Z10:Z73" si="35">Y10+180</f>
        <v>90.019027109396873</v>
      </c>
      <c r="AC10">
        <v>1</v>
      </c>
      <c r="AD10">
        <f t="shared" si="17"/>
        <v>2.5720847344080005E-4</v>
      </c>
      <c r="AE10">
        <f t="shared" si="18"/>
        <v>-1.8100191192817163E-14</v>
      </c>
      <c r="AF10">
        <f t="shared" si="19"/>
        <v>8.6155036833600012E-9</v>
      </c>
      <c r="AG10">
        <f t="shared" ref="AG10:AG73" si="36">AC10*AE10/(AE10^2+AF10^2)+AD10*AF10/(AE10^2+AF10^2)</f>
        <v>29610.292886101033</v>
      </c>
      <c r="AH10">
        <f t="shared" ref="AH10:AH73" si="37">AD10*AE10/(AE10^2+AF10^2)-AC10*AF10/(AE10^2+AF10^2)</f>
        <v>-116069824.50339539</v>
      </c>
      <c r="AJ10">
        <f t="shared" si="20"/>
        <v>55000</v>
      </c>
      <c r="AK10">
        <f t="shared" si="21"/>
        <v>7.4125878576750015E-2</v>
      </c>
      <c r="AL10">
        <v>1</v>
      </c>
      <c r="AM10">
        <f t="shared" si="22"/>
        <v>1.0502030069685001E-4</v>
      </c>
      <c r="AN10">
        <f t="shared" ref="AN10:AN73" si="38">AJ10*AL10/(AL10^2+AM10^2)+AK10*AM10/(AL10^2+AM10^2)</f>
        <v>54999.999401175235</v>
      </c>
      <c r="AO10">
        <f t="shared" ref="AO10:AO73" si="39">AK10*AL10/(AL10^2+AM10^2)-AJ10*AM10/(AL10^2+AM10^2)</f>
        <v>-5.7019905968612434</v>
      </c>
      <c r="AQ10">
        <f t="shared" si="23"/>
        <v>3161.9964872875103</v>
      </c>
      <c r="AR10">
        <f t="shared" si="24"/>
        <v>-3.3327442976010357</v>
      </c>
      <c r="AT10">
        <f t="shared" ref="AT10:AT21" si="40">-AR10*AH10+AG10*AQ10</f>
        <v>-293203403.64383811</v>
      </c>
      <c r="AU10">
        <f t="shared" ref="AU10:AU21" si="41">AQ10*AH10+AG10*AR10</f>
        <v>-367012476043.34882</v>
      </c>
      <c r="AV10">
        <f t="shared" ref="AV10:AV73" si="42">ATAN2(AT10,AU10)</f>
        <v>-1.5715952188228401</v>
      </c>
      <c r="AW10">
        <f t="shared" si="25"/>
        <v>174174560.82710263</v>
      </c>
      <c r="AX10">
        <f t="shared" si="26"/>
        <v>-1305986880.4856954</v>
      </c>
      <c r="AY10">
        <f>ATAN2(AW10,AX10)</f>
        <v>-1.4382124619418106</v>
      </c>
      <c r="BA10">
        <f t="shared" si="27"/>
        <v>278.55682103330867</v>
      </c>
      <c r="BB10">
        <f t="shared" ref="BB10:BB73" si="43">20*LOG(BA10)</f>
        <v>48.898275950280592</v>
      </c>
      <c r="BC10">
        <f t="shared" ref="BC10:BC73" si="44">AV10-AY10</f>
        <v>-0.13338275688102952</v>
      </c>
      <c r="BD10">
        <f t="shared" si="28"/>
        <v>-187.64226903783509</v>
      </c>
      <c r="BF10">
        <f t="shared" si="29"/>
        <v>67.970781678194484</v>
      </c>
      <c r="BG10">
        <f t="shared" si="30"/>
        <v>-7.6437985161891522</v>
      </c>
      <c r="BH10">
        <f t="shared" ref="BH10:BH73" si="45">IF(BG10&gt;180,BG10-180,BG10+180)</f>
        <v>172.35620148381085</v>
      </c>
      <c r="BI10">
        <f t="shared" ref="BI10:BI73" si="46">IF(BH10&gt;180,BH10-360,BH10)</f>
        <v>172.35620148381085</v>
      </c>
      <c r="BJ10">
        <f t="shared" si="31"/>
        <v>0</v>
      </c>
      <c r="BK10">
        <f t="shared" ref="BK10:BK73" si="47">IF(BJ10&gt;0,BI10,0)</f>
        <v>0</v>
      </c>
      <c r="BM10">
        <f t="shared" ref="BM10:BM73" si="48">20*LOG(J10*F10*C10)</f>
        <v>19.072505727913896</v>
      </c>
      <c r="BN10">
        <f t="shared" si="32"/>
        <v>-1.5294783540559405E-3</v>
      </c>
      <c r="BQ10" s="75">
        <f t="shared" ref="BQ10:BQ73" si="49">20*LOG(BA10*7)</f>
        <v>65.80023675056573</v>
      </c>
      <c r="BR10" s="76"/>
      <c r="BS10" s="76"/>
      <c r="BT10" s="76">
        <v>100</v>
      </c>
      <c r="BU10" s="76">
        <v>35.359299999999998</v>
      </c>
      <c r="BV10" s="76">
        <v>-267.66769999999997</v>
      </c>
      <c r="BW10" s="84"/>
      <c r="BY10" s="76"/>
      <c r="BZ10" s="76"/>
      <c r="CA10" s="76"/>
      <c r="CC10" s="76"/>
    </row>
    <row r="11" spans="1:81">
      <c r="A11">
        <v>3</v>
      </c>
      <c r="B11">
        <f t="shared" si="33"/>
        <v>3.0000000000000001E-3</v>
      </c>
      <c r="C11">
        <f t="shared" si="0"/>
        <v>1.0000000000061462</v>
      </c>
      <c r="D11">
        <f t="shared" si="1"/>
        <v>3.5060173973856341E-6</v>
      </c>
      <c r="F11">
        <f t="shared" si="2"/>
        <v>0.99857981150836694</v>
      </c>
      <c r="G11">
        <f t="shared" si="3"/>
        <v>-4.3547667498194652E-5</v>
      </c>
      <c r="H11">
        <f t="shared" si="4"/>
        <v>-4.3547667498194652E-5</v>
      </c>
      <c r="J11">
        <f t="shared" si="5"/>
        <v>9</v>
      </c>
      <c r="M11">
        <f t="shared" si="6"/>
        <v>1406.9069629234857</v>
      </c>
      <c r="N11">
        <f t="shared" si="7"/>
        <v>-1.5707963250000001</v>
      </c>
      <c r="O11">
        <f t="shared" si="8"/>
        <v>1.0000000744257209</v>
      </c>
      <c r="P11">
        <f t="shared" si="9"/>
        <v>3.8581269101827507E-4</v>
      </c>
      <c r="Q11">
        <f t="shared" si="10"/>
        <v>1.0000000124079214</v>
      </c>
      <c r="R11">
        <f t="shared" si="11"/>
        <v>1.575304497421914E-4</v>
      </c>
      <c r="S11">
        <f t="shared" si="12"/>
        <v>0.99999999999795652</v>
      </c>
      <c r="T11">
        <f t="shared" si="13"/>
        <v>-2.0216148702722459E-6</v>
      </c>
      <c r="U11">
        <f t="shared" si="14"/>
        <v>0.99999999999503464</v>
      </c>
      <c r="V11">
        <f t="shared" si="15"/>
        <v>-3.151329021142894E-6</v>
      </c>
      <c r="X11">
        <f t="shared" si="34"/>
        <v>82.037814154943504</v>
      </c>
      <c r="Y11">
        <f t="shared" si="16"/>
        <v>-89.971459336582569</v>
      </c>
      <c r="Z11">
        <f t="shared" si="35"/>
        <v>90.028540663417431</v>
      </c>
      <c r="AC11">
        <v>1</v>
      </c>
      <c r="AD11">
        <f t="shared" si="17"/>
        <v>3.8581271016120011E-4</v>
      </c>
      <c r="AE11">
        <f t="shared" si="18"/>
        <v>-4.0725430183838616E-14</v>
      </c>
      <c r="AF11">
        <f t="shared" si="19"/>
        <v>1.2923255525039999E-8</v>
      </c>
      <c r="AG11">
        <f t="shared" si="36"/>
        <v>29610.292885937677</v>
      </c>
      <c r="AH11">
        <f t="shared" si="37"/>
        <v>-77379883.054103494</v>
      </c>
      <c r="AJ11">
        <f t="shared" si="20"/>
        <v>55000</v>
      </c>
      <c r="AK11">
        <f t="shared" si="21"/>
        <v>0.11118881786512501</v>
      </c>
      <c r="AL11">
        <v>1</v>
      </c>
      <c r="AM11">
        <f t="shared" si="22"/>
        <v>1.5753045104527501E-4</v>
      </c>
      <c r="AN11">
        <f t="shared" si="38"/>
        <v>54999.998652644295</v>
      </c>
      <c r="AO11">
        <f t="shared" si="39"/>
        <v>-8.552985777375449</v>
      </c>
      <c r="AQ11">
        <f t="shared" si="23"/>
        <v>3161.9920964078738</v>
      </c>
      <c r="AR11">
        <f t="shared" si="24"/>
        <v>-4.999109504420848</v>
      </c>
      <c r="AT11">
        <f t="shared" si="40"/>
        <v>-293202996.74908525</v>
      </c>
      <c r="AU11">
        <f t="shared" si="41"/>
        <v>-244674726663.13739</v>
      </c>
      <c r="AV11">
        <f t="shared" si="42"/>
        <v>-1.5719946641156326</v>
      </c>
      <c r="AW11">
        <f t="shared" si="25"/>
        <v>174174293.20457736</v>
      </c>
      <c r="AX11">
        <f t="shared" si="26"/>
        <v>-870825716.16893041</v>
      </c>
      <c r="AY11">
        <f t="shared" ref="AY11:AY74" si="50">ATAN2(AW11,AX11)</f>
        <v>-1.3733906638544702</v>
      </c>
      <c r="BA11">
        <f t="shared" si="27"/>
        <v>275.51207067228034</v>
      </c>
      <c r="BB11">
        <f t="shared" si="43"/>
        <v>48.802812616317013</v>
      </c>
      <c r="BC11">
        <f t="shared" si="44"/>
        <v>-0.19860400026116243</v>
      </c>
      <c r="BD11">
        <f t="shared" si="28"/>
        <v>-191.37917102238231</v>
      </c>
      <c r="BF11">
        <f t="shared" si="29"/>
        <v>67.875318436912181</v>
      </c>
      <c r="BG11">
        <f t="shared" si="30"/>
        <v>-11.381465239940441</v>
      </c>
      <c r="BH11">
        <f t="shared" si="45"/>
        <v>168.61853476005956</v>
      </c>
      <c r="BI11">
        <f t="shared" si="46"/>
        <v>168.61853476005956</v>
      </c>
      <c r="BJ11">
        <f t="shared" si="31"/>
        <v>0</v>
      </c>
      <c r="BK11">
        <f t="shared" si="47"/>
        <v>0</v>
      </c>
      <c r="BM11">
        <f t="shared" si="48"/>
        <v>19.072505820595158</v>
      </c>
      <c r="BN11">
        <f t="shared" si="32"/>
        <v>-2.2942175581374697E-3</v>
      </c>
      <c r="BQ11" s="75">
        <f t="shared" si="49"/>
        <v>65.704773416602151</v>
      </c>
      <c r="BR11" s="77"/>
      <c r="BS11" s="77"/>
      <c r="BT11" s="77">
        <v>102.32899999999999</v>
      </c>
      <c r="BU11" s="77">
        <v>34.936799999999998</v>
      </c>
      <c r="BV11" s="77">
        <v>-265.91489999999999</v>
      </c>
      <c r="BW11" s="84"/>
      <c r="BY11" s="77"/>
      <c r="BZ11" s="77"/>
      <c r="CA11" s="77"/>
      <c r="CC11" s="77"/>
    </row>
    <row r="12" spans="1:81">
      <c r="A12">
        <v>4</v>
      </c>
      <c r="B12">
        <f t="shared" si="33"/>
        <v>4.0000000000000001E-3</v>
      </c>
      <c r="C12">
        <f t="shared" si="0"/>
        <v>1.0000000000109264</v>
      </c>
      <c r="D12">
        <f t="shared" si="1"/>
        <v>4.6746898631659487E-6</v>
      </c>
      <c r="F12">
        <f t="shared" si="2"/>
        <v>0.99857982642083254</v>
      </c>
      <c r="G12">
        <f t="shared" si="3"/>
        <v>-5.8063557545635517E-5</v>
      </c>
      <c r="H12">
        <f t="shared" si="4"/>
        <v>-5.8063557545635517E-5</v>
      </c>
      <c r="J12">
        <f t="shared" si="5"/>
        <v>9</v>
      </c>
      <c r="M12">
        <f t="shared" si="6"/>
        <v>1055.1802221926141</v>
      </c>
      <c r="N12">
        <f t="shared" si="7"/>
        <v>-1.5707963250000001</v>
      </c>
      <c r="O12">
        <f t="shared" si="8"/>
        <v>1.0000001323123888</v>
      </c>
      <c r="P12">
        <f t="shared" si="9"/>
        <v>5.144169015057809E-4</v>
      </c>
      <c r="Q12">
        <f t="shared" si="10"/>
        <v>1.0000000220585268</v>
      </c>
      <c r="R12">
        <f t="shared" si="11"/>
        <v>2.1004059830490924E-4</v>
      </c>
      <c r="S12">
        <f t="shared" si="12"/>
        <v>0.99999999999636713</v>
      </c>
      <c r="T12">
        <f t="shared" si="13"/>
        <v>-2.6954864936934721E-6</v>
      </c>
      <c r="U12">
        <f t="shared" si="14"/>
        <v>0.99999999999117239</v>
      </c>
      <c r="V12">
        <f t="shared" si="15"/>
        <v>-4.2017720281797064E-6</v>
      </c>
      <c r="X12">
        <f t="shared" si="34"/>
        <v>79.539040139105154</v>
      </c>
      <c r="Y12">
        <f t="shared" si="16"/>
        <v>-89.961945783375455</v>
      </c>
      <c r="Z12">
        <f t="shared" si="35"/>
        <v>90.038054216624545</v>
      </c>
      <c r="AC12">
        <v>1</v>
      </c>
      <c r="AD12">
        <f t="shared" si="17"/>
        <v>5.1441694688160011E-4</v>
      </c>
      <c r="AE12">
        <f t="shared" si="18"/>
        <v>-7.2400764771268651E-14</v>
      </c>
      <c r="AF12">
        <f t="shared" si="19"/>
        <v>1.7231007366720002E-8</v>
      </c>
      <c r="AG12">
        <f t="shared" si="36"/>
        <v>29610.292885708954</v>
      </c>
      <c r="AH12">
        <f t="shared" si="37"/>
        <v>-58034912.345009468</v>
      </c>
      <c r="AJ12">
        <f t="shared" si="20"/>
        <v>55000</v>
      </c>
      <c r="AK12">
        <f t="shared" si="21"/>
        <v>0.14825175715350003</v>
      </c>
      <c r="AL12">
        <v>1</v>
      </c>
      <c r="AM12">
        <f t="shared" si="22"/>
        <v>2.1004060139370002E-4</v>
      </c>
      <c r="AN12">
        <f t="shared" si="38"/>
        <v>54999.997604701013</v>
      </c>
      <c r="AO12">
        <f t="shared" si="39"/>
        <v>-11.403980816389961</v>
      </c>
      <c r="AQ12">
        <f t="shared" si="23"/>
        <v>3161.9859491968687</v>
      </c>
      <c r="AR12">
        <f t="shared" si="24"/>
        <v>-6.6654663809069996</v>
      </c>
      <c r="AT12">
        <f t="shared" si="40"/>
        <v>-293202427.09832948</v>
      </c>
      <c r="AU12">
        <f t="shared" si="41"/>
        <v>-183505774764.20361</v>
      </c>
      <c r="AV12">
        <f t="shared" si="42"/>
        <v>-1.5723941085430126</v>
      </c>
      <c r="AW12">
        <f t="shared" si="25"/>
        <v>174173918.53429174</v>
      </c>
      <c r="AX12">
        <f t="shared" si="26"/>
        <v>-653295472.17121911</v>
      </c>
      <c r="AY12">
        <f t="shared" si="50"/>
        <v>-1.3102485371525618</v>
      </c>
      <c r="BA12">
        <f t="shared" si="27"/>
        <v>271.4124106843434</v>
      </c>
      <c r="BB12">
        <f t="shared" si="43"/>
        <v>48.672594049119553</v>
      </c>
      <c r="BC12">
        <f t="shared" si="44"/>
        <v>-0.2621455713904508</v>
      </c>
      <c r="BD12">
        <f t="shared" si="28"/>
        <v>-195.01983487588092</v>
      </c>
      <c r="BF12">
        <f t="shared" si="29"/>
        <v>67.745099999468479</v>
      </c>
      <c r="BG12">
        <f t="shared" si="30"/>
        <v>-15.022893832675596</v>
      </c>
      <c r="BH12">
        <f t="shared" si="45"/>
        <v>164.97710616732439</v>
      </c>
      <c r="BI12">
        <f t="shared" si="46"/>
        <v>164.97710616732439</v>
      </c>
      <c r="BJ12">
        <f t="shared" si="31"/>
        <v>0</v>
      </c>
      <c r="BK12">
        <f t="shared" si="47"/>
        <v>0</v>
      </c>
      <c r="BM12">
        <f t="shared" si="48"/>
        <v>19.072505950348923</v>
      </c>
      <c r="BN12">
        <f t="shared" si="32"/>
        <v>-3.0589567946832704E-3</v>
      </c>
      <c r="BQ12" s="75">
        <f t="shared" si="49"/>
        <v>65.574554849404691</v>
      </c>
      <c r="BR12" s="76"/>
      <c r="BS12" s="76"/>
      <c r="BT12" s="76">
        <v>104.71299999999999</v>
      </c>
      <c r="BU12" s="76">
        <v>34.190800000000003</v>
      </c>
      <c r="BV12" s="76">
        <v>-264.93219999999997</v>
      </c>
      <c r="BW12" s="84"/>
      <c r="BY12" s="76"/>
      <c r="BZ12" s="76"/>
      <c r="CA12" s="76"/>
      <c r="CC12" s="76"/>
    </row>
    <row r="13" spans="1:81">
      <c r="A13">
        <v>5</v>
      </c>
      <c r="B13">
        <f t="shared" si="33"/>
        <v>5.0000000000000001E-3</v>
      </c>
      <c r="C13">
        <f t="shared" si="0"/>
        <v>1.0000000000170726</v>
      </c>
      <c r="D13">
        <f t="shared" si="1"/>
        <v>5.8433623289334925E-6</v>
      </c>
      <c r="F13">
        <f t="shared" si="2"/>
        <v>0.99857984559400337</v>
      </c>
      <c r="G13">
        <f t="shared" si="3"/>
        <v>-7.2579448348541559E-5</v>
      </c>
      <c r="H13">
        <f t="shared" si="4"/>
        <v>-7.2579448348541559E-5</v>
      </c>
      <c r="J13">
        <f t="shared" si="5"/>
        <v>9</v>
      </c>
      <c r="M13">
        <f t="shared" si="6"/>
        <v>844.14417775409129</v>
      </c>
      <c r="N13">
        <f t="shared" si="7"/>
        <v>-1.5707963250000001</v>
      </c>
      <c r="O13">
        <f t="shared" si="8"/>
        <v>1.0000002067381</v>
      </c>
      <c r="P13">
        <f t="shared" si="9"/>
        <v>6.4302109497736118E-4</v>
      </c>
      <c r="Q13">
        <f t="shared" si="10"/>
        <v>1.0000000344664479</v>
      </c>
      <c r="R13">
        <f t="shared" si="11"/>
        <v>2.6255074570933056E-4</v>
      </c>
      <c r="S13">
        <f t="shared" si="12"/>
        <v>0.99999999999432365</v>
      </c>
      <c r="T13">
        <f t="shared" si="13"/>
        <v>-3.3693581171122495E-6</v>
      </c>
      <c r="U13">
        <f t="shared" si="14"/>
        <v>0.99999999998620703</v>
      </c>
      <c r="V13">
        <f t="shared" si="15"/>
        <v>-5.2522150352072468E-6</v>
      </c>
      <c r="X13">
        <f t="shared" si="34"/>
        <v>77.600840799936663</v>
      </c>
      <c r="Y13">
        <f t="shared" si="16"/>
        <v>-89.952432231252942</v>
      </c>
      <c r="Z13">
        <f t="shared" si="35"/>
        <v>90.047567768747058</v>
      </c>
      <c r="AC13">
        <v>1</v>
      </c>
      <c r="AD13">
        <f t="shared" si="17"/>
        <v>6.4302118360200005E-4</v>
      </c>
      <c r="AE13">
        <f t="shared" si="18"/>
        <v>-1.1312619495510727E-13</v>
      </c>
      <c r="AF13">
        <f t="shared" si="19"/>
        <v>2.1538759208400004E-8</v>
      </c>
      <c r="AG13">
        <f t="shared" si="36"/>
        <v>29610.2928854149</v>
      </c>
      <c r="AH13">
        <f t="shared" si="37"/>
        <v>-46427929.931994647</v>
      </c>
      <c r="AJ13">
        <f t="shared" si="20"/>
        <v>55000</v>
      </c>
      <c r="AK13">
        <f t="shared" si="21"/>
        <v>0.18531469644187504</v>
      </c>
      <c r="AL13">
        <v>1</v>
      </c>
      <c r="AM13">
        <f t="shared" si="22"/>
        <v>2.62550751742125E-4</v>
      </c>
      <c r="AN13">
        <f t="shared" si="38"/>
        <v>54999.996257345425</v>
      </c>
      <c r="AO13">
        <f t="shared" si="39"/>
        <v>-14.254975666738227</v>
      </c>
      <c r="AQ13">
        <f t="shared" si="23"/>
        <v>3161.9780456749836</v>
      </c>
      <c r="AR13">
        <f t="shared" si="24"/>
        <v>-8.3318121503535814</v>
      </c>
      <c r="AT13">
        <f t="shared" si="40"/>
        <v>-293201694.69346964</v>
      </c>
      <c r="AU13">
        <f t="shared" si="41"/>
        <v>-146804341858.50156</v>
      </c>
      <c r="AV13">
        <f t="shared" si="42"/>
        <v>-1.5727935518165137</v>
      </c>
      <c r="AW13">
        <f t="shared" si="25"/>
        <v>174173436.81749582</v>
      </c>
      <c r="AX13">
        <f t="shared" si="26"/>
        <v>-522817595.82683945</v>
      </c>
      <c r="AY13">
        <f t="shared" si="50"/>
        <v>-1.249216368575061</v>
      </c>
      <c r="BA13">
        <f t="shared" si="27"/>
        <v>266.40079401165349</v>
      </c>
      <c r="BB13">
        <f t="shared" si="43"/>
        <v>48.510710298431164</v>
      </c>
      <c r="BC13">
        <f t="shared" si="44"/>
        <v>-0.32357718324145268</v>
      </c>
      <c r="BD13">
        <f t="shared" si="28"/>
        <v>-198.53960696765111</v>
      </c>
      <c r="BF13">
        <f t="shared" si="29"/>
        <v>67.583216415606373</v>
      </c>
      <c r="BG13">
        <f t="shared" si="30"/>
        <v>-18.543430663725612</v>
      </c>
      <c r="BH13">
        <f t="shared" si="45"/>
        <v>161.45656933627438</v>
      </c>
      <c r="BI13">
        <f t="shared" si="46"/>
        <v>161.45656933627438</v>
      </c>
      <c r="BJ13">
        <f t="shared" si="31"/>
        <v>0</v>
      </c>
      <c r="BK13">
        <f t="shared" si="47"/>
        <v>0</v>
      </c>
      <c r="BM13">
        <f t="shared" si="48"/>
        <v>19.072506117175198</v>
      </c>
      <c r="BN13">
        <f t="shared" si="32"/>
        <v>-3.8236960745147695E-3</v>
      </c>
      <c r="BQ13" s="75">
        <f t="shared" si="49"/>
        <v>65.412671098716302</v>
      </c>
      <c r="BR13" s="77"/>
      <c r="BS13" s="77"/>
      <c r="BT13" s="77">
        <v>107.152</v>
      </c>
      <c r="BU13" s="77">
        <v>34.477699999999999</v>
      </c>
      <c r="BV13" s="77">
        <v>-262.3057</v>
      </c>
      <c r="BW13" s="84"/>
      <c r="BY13" s="77"/>
      <c r="BZ13" s="77"/>
      <c r="CA13" s="77"/>
      <c r="CC13" s="77"/>
    </row>
    <row r="14" spans="1:81">
      <c r="A14">
        <v>6</v>
      </c>
      <c r="B14">
        <f t="shared" si="33"/>
        <v>6.0000000000000001E-3</v>
      </c>
      <c r="C14">
        <f t="shared" si="0"/>
        <v>1.0000000000245843</v>
      </c>
      <c r="D14">
        <f t="shared" si="1"/>
        <v>7.0120347946850758E-6</v>
      </c>
      <c r="F14">
        <f t="shared" si="2"/>
        <v>0.99857986902787965</v>
      </c>
      <c r="G14">
        <f t="shared" si="3"/>
        <v>-8.709534009577914E-5</v>
      </c>
      <c r="H14">
        <f t="shared" si="4"/>
        <v>-8.709534009577914E-5</v>
      </c>
      <c r="J14">
        <f t="shared" si="5"/>
        <v>9</v>
      </c>
      <c r="M14">
        <f t="shared" si="6"/>
        <v>703.45348146174285</v>
      </c>
      <c r="N14">
        <f t="shared" si="7"/>
        <v>-1.5707963250000001</v>
      </c>
      <c r="O14">
        <f t="shared" si="8"/>
        <v>1.0000002977028504</v>
      </c>
      <c r="P14">
        <f t="shared" si="9"/>
        <v>7.7162526717904079E-4</v>
      </c>
      <c r="Q14">
        <f t="shared" si="10"/>
        <v>1.0000000496316848</v>
      </c>
      <c r="R14">
        <f t="shared" si="11"/>
        <v>3.1506089166588147E-4</v>
      </c>
      <c r="S14">
        <f t="shared" si="12"/>
        <v>0.99999999999182609</v>
      </c>
      <c r="T14">
        <f t="shared" si="13"/>
        <v>-4.0432297405279679E-6</v>
      </c>
      <c r="U14">
        <f t="shared" si="14"/>
        <v>0.99999999998013811</v>
      </c>
      <c r="V14">
        <f t="shared" si="15"/>
        <v>-6.3026580422231964E-6</v>
      </c>
      <c r="X14">
        <f t="shared" si="34"/>
        <v>76.017217004641694</v>
      </c>
      <c r="Y14">
        <f t="shared" si="16"/>
        <v>-89.942918680486159</v>
      </c>
      <c r="Z14">
        <f t="shared" si="35"/>
        <v>90.057081319513841</v>
      </c>
      <c r="AC14">
        <v>1</v>
      </c>
      <c r="AD14">
        <f t="shared" si="17"/>
        <v>7.7162542032240022E-4</v>
      </c>
      <c r="AE14">
        <f t="shared" si="18"/>
        <v>-1.6290172073535446E-13</v>
      </c>
      <c r="AF14">
        <f t="shared" si="19"/>
        <v>2.5846511050079999E-8</v>
      </c>
      <c r="AG14">
        <f t="shared" si="36"/>
        <v>29610.292885055507</v>
      </c>
      <c r="AH14">
        <f t="shared" si="37"/>
        <v>-38689941.667019404</v>
      </c>
      <c r="AJ14">
        <f t="shared" si="20"/>
        <v>55000</v>
      </c>
      <c r="AK14">
        <f t="shared" si="21"/>
        <v>0.22237763573025002</v>
      </c>
      <c r="AL14">
        <v>1</v>
      </c>
      <c r="AM14">
        <f t="shared" si="22"/>
        <v>3.1506090209055003E-4</v>
      </c>
      <c r="AN14">
        <f t="shared" si="38"/>
        <v>54999.994610577582</v>
      </c>
      <c r="AO14">
        <f t="shared" si="39"/>
        <v>-17.105970281253711</v>
      </c>
      <c r="AQ14">
        <f t="shared" si="23"/>
        <v>3161.9683858685576</v>
      </c>
      <c r="AR14">
        <f t="shared" si="24"/>
        <v>-9.9981440361163791</v>
      </c>
      <c r="AT14">
        <f t="shared" si="40"/>
        <v>-293200799.53694642</v>
      </c>
      <c r="AU14">
        <f t="shared" si="41"/>
        <v>-122336668450.18721</v>
      </c>
      <c r="AV14">
        <f t="shared" si="42"/>
        <v>-1.5731929936476736</v>
      </c>
      <c r="AW14">
        <f t="shared" si="25"/>
        <v>174172848.05579644</v>
      </c>
      <c r="AX14">
        <f t="shared" si="26"/>
        <v>-435865902.8009634</v>
      </c>
      <c r="AY14">
        <f t="shared" si="50"/>
        <v>-1.1906331762511211</v>
      </c>
      <c r="BA14">
        <f t="shared" si="27"/>
        <v>260.63671954738487</v>
      </c>
      <c r="BB14">
        <f t="shared" si="43"/>
        <v>48.320712016741524</v>
      </c>
      <c r="BC14">
        <f t="shared" si="44"/>
        <v>-0.38255981739655254</v>
      </c>
      <c r="BD14">
        <f t="shared" si="28"/>
        <v>-201.9190629731641</v>
      </c>
      <c r="BF14">
        <f t="shared" si="29"/>
        <v>67.393218337815512</v>
      </c>
      <c r="BG14">
        <f t="shared" si="30"/>
        <v>-21.923651408572542</v>
      </c>
      <c r="BH14">
        <f t="shared" si="45"/>
        <v>158.07634859142746</v>
      </c>
      <c r="BI14">
        <f t="shared" si="46"/>
        <v>158.07634859142746</v>
      </c>
      <c r="BJ14">
        <f t="shared" si="31"/>
        <v>0</v>
      </c>
      <c r="BK14">
        <f t="shared" si="47"/>
        <v>0</v>
      </c>
      <c r="BM14">
        <f t="shared" si="48"/>
        <v>19.07250632107398</v>
      </c>
      <c r="BN14">
        <f t="shared" si="32"/>
        <v>-4.5884354084533945E-3</v>
      </c>
      <c r="BQ14" s="75">
        <f t="shared" si="49"/>
        <v>65.222672817026663</v>
      </c>
      <c r="BR14" s="77"/>
      <c r="BS14" s="77"/>
      <c r="BT14" s="77">
        <v>109.648</v>
      </c>
      <c r="BU14" s="77">
        <v>34.114400000000003</v>
      </c>
      <c r="BV14" s="77">
        <v>-262.76620000000003</v>
      </c>
      <c r="BW14" s="84"/>
      <c r="BY14" s="77"/>
      <c r="BZ14" s="77"/>
      <c r="CA14" s="77"/>
      <c r="CC14" s="77"/>
    </row>
    <row r="15" spans="1:81">
      <c r="A15">
        <v>7</v>
      </c>
      <c r="B15">
        <f t="shared" si="33"/>
        <v>7.0000000000000001E-3</v>
      </c>
      <c r="C15">
        <f t="shared" si="0"/>
        <v>1.0000000000334621</v>
      </c>
      <c r="D15">
        <f t="shared" si="1"/>
        <v>8.180707260417505E-6</v>
      </c>
      <c r="F15">
        <f t="shared" si="2"/>
        <v>0.99857989672246228</v>
      </c>
      <c r="G15">
        <f t="shared" si="3"/>
        <v>-1.0161123297621464E-4</v>
      </c>
      <c r="H15">
        <f t="shared" si="4"/>
        <v>-1.0161123297621464E-4</v>
      </c>
      <c r="J15">
        <f t="shared" si="5"/>
        <v>9</v>
      </c>
      <c r="M15">
        <f t="shared" si="6"/>
        <v>602.96012696720811</v>
      </c>
      <c r="N15">
        <f t="shared" si="7"/>
        <v>-1.5707963250000001</v>
      </c>
      <c r="O15">
        <f t="shared" si="8"/>
        <v>1.0000004052066356</v>
      </c>
      <c r="P15">
        <f t="shared" si="9"/>
        <v>9.0022941385684875E-4</v>
      </c>
      <c r="Q15">
        <f t="shared" si="10"/>
        <v>1.0000000675542371</v>
      </c>
      <c r="R15">
        <f t="shared" si="11"/>
        <v>3.6757103588498777E-4</v>
      </c>
      <c r="S15">
        <f t="shared" si="12"/>
        <v>0.99999999998887446</v>
      </c>
      <c r="T15">
        <f t="shared" si="13"/>
        <v>-4.7171013639400135E-6</v>
      </c>
      <c r="U15">
        <f t="shared" si="14"/>
        <v>0.99999999997296607</v>
      </c>
      <c r="V15">
        <f t="shared" si="15"/>
        <v>-7.3531010492252369E-6</v>
      </c>
      <c r="X15">
        <f t="shared" si="34"/>
        <v>74.678282542351795</v>
      </c>
      <c r="Y15">
        <f t="shared" si="16"/>
        <v>-89.933405131346248</v>
      </c>
      <c r="Z15">
        <f t="shared" si="35"/>
        <v>90.066594868653752</v>
      </c>
      <c r="AC15">
        <v>1</v>
      </c>
      <c r="AD15">
        <f t="shared" si="17"/>
        <v>9.0022965704280016E-4</v>
      </c>
      <c r="AE15">
        <f t="shared" si="18"/>
        <v>-2.2172734211201026E-13</v>
      </c>
      <c r="AF15">
        <f t="shared" si="19"/>
        <v>3.0154262891760003E-8</v>
      </c>
      <c r="AG15">
        <f t="shared" si="36"/>
        <v>29610.292884630748</v>
      </c>
      <c r="AH15">
        <f t="shared" si="37"/>
        <v>-33162807.200923916</v>
      </c>
      <c r="AJ15">
        <f t="shared" si="20"/>
        <v>55000</v>
      </c>
      <c r="AK15">
        <f t="shared" si="21"/>
        <v>0.25944057501862505</v>
      </c>
      <c r="AL15">
        <v>1</v>
      </c>
      <c r="AM15">
        <f t="shared" si="22"/>
        <v>3.6757105243897506E-4</v>
      </c>
      <c r="AN15">
        <f t="shared" si="38"/>
        <v>54999.992664397512</v>
      </c>
      <c r="AO15">
        <f t="shared" si="39"/>
        <v>-19.956964612769877</v>
      </c>
      <c r="AQ15">
        <f t="shared" si="23"/>
        <v>3161.9569698097835</v>
      </c>
      <c r="AR15">
        <f t="shared" si="24"/>
        <v>-11.664459261628293</v>
      </c>
      <c r="AT15">
        <f t="shared" si="40"/>
        <v>-293199741.63174319</v>
      </c>
      <c r="AU15">
        <f t="shared" si="41"/>
        <v>-104859714755.47453</v>
      </c>
      <c r="AV15">
        <f t="shared" si="42"/>
        <v>-1.5735924337480349</v>
      </c>
      <c r="AW15">
        <f t="shared" si="25"/>
        <v>174172152.25115761</v>
      </c>
      <c r="AX15">
        <f t="shared" si="26"/>
        <v>-373786313.99616438</v>
      </c>
      <c r="AY15">
        <f t="shared" si="50"/>
        <v>-1.1347437221971626</v>
      </c>
      <c r="BA15">
        <f t="shared" si="27"/>
        <v>254.28416118775067</v>
      </c>
      <c r="BB15">
        <f t="shared" si="43"/>
        <v>48.106386195021429</v>
      </c>
      <c r="BC15">
        <f t="shared" si="44"/>
        <v>-0.43884871155087235</v>
      </c>
      <c r="BD15">
        <f t="shared" si="28"/>
        <v>-205.14417904535046</v>
      </c>
      <c r="BF15">
        <f t="shared" si="29"/>
        <v>67.178892757066706</v>
      </c>
      <c r="BG15">
        <f t="shared" si="30"/>
        <v>-25.149532220157777</v>
      </c>
      <c r="BH15">
        <f t="shared" si="45"/>
        <v>154.85046777984223</v>
      </c>
      <c r="BI15">
        <f t="shared" si="46"/>
        <v>154.85046777984223</v>
      </c>
      <c r="BJ15">
        <f t="shared" si="31"/>
        <v>0</v>
      </c>
      <c r="BK15">
        <f t="shared" si="47"/>
        <v>0</v>
      </c>
      <c r="BM15">
        <f t="shared" si="48"/>
        <v>19.07250656204528</v>
      </c>
      <c r="BN15">
        <f t="shared" si="32"/>
        <v>-5.3531748073205754E-3</v>
      </c>
      <c r="BQ15" s="75">
        <f t="shared" si="49"/>
        <v>65.008346995306567</v>
      </c>
      <c r="BR15" s="77"/>
      <c r="BS15" s="77"/>
      <c r="BT15" s="77">
        <v>112.202</v>
      </c>
      <c r="BU15" s="77">
        <v>34.297699999999999</v>
      </c>
      <c r="BV15" s="77">
        <v>-267.01279999999997</v>
      </c>
      <c r="BW15" s="84"/>
      <c r="BY15" s="77"/>
      <c r="BZ15" s="77"/>
      <c r="CA15" s="77"/>
      <c r="CC15" s="77"/>
    </row>
    <row r="16" spans="1:81">
      <c r="A16">
        <v>8</v>
      </c>
      <c r="B16">
        <f t="shared" si="33"/>
        <v>8.0000000000000002E-3</v>
      </c>
      <c r="C16">
        <f t="shared" si="0"/>
        <v>1.0000000000437055</v>
      </c>
      <c r="D16">
        <f t="shared" si="1"/>
        <v>9.3493797261275879E-6</v>
      </c>
      <c r="F16">
        <f t="shared" si="2"/>
        <v>0.99857992867775147</v>
      </c>
      <c r="G16">
        <f t="shared" si="3"/>
        <v>-1.1612712717871447E-4</v>
      </c>
      <c r="H16">
        <f t="shared" si="4"/>
        <v>-1.1612712717871447E-4</v>
      </c>
      <c r="J16">
        <f t="shared" si="5"/>
        <v>9</v>
      </c>
      <c r="M16">
        <f t="shared" si="6"/>
        <v>527.59011109630706</v>
      </c>
      <c r="N16">
        <f t="shared" si="7"/>
        <v>-1.5707963250000001</v>
      </c>
      <c r="O16">
        <f t="shared" si="8"/>
        <v>1.0000005292494505</v>
      </c>
      <c r="P16">
        <f t="shared" si="9"/>
        <v>1.0288335307568194E-3</v>
      </c>
      <c r="Q16">
        <f t="shared" si="10"/>
        <v>1.0000000882341045</v>
      </c>
      <c r="R16">
        <f t="shared" si="11"/>
        <v>4.200811780770757E-4</v>
      </c>
      <c r="S16">
        <f t="shared" si="12"/>
        <v>0.99999999998546873</v>
      </c>
      <c r="T16">
        <f t="shared" si="13"/>
        <v>-5.3909729873477749E-6</v>
      </c>
      <c r="U16">
        <f t="shared" si="14"/>
        <v>0.99999999996469024</v>
      </c>
      <c r="V16">
        <f t="shared" si="15"/>
        <v>-8.4035440562110499E-6</v>
      </c>
      <c r="X16">
        <f t="shared" si="34"/>
        <v>73.518445137785136</v>
      </c>
      <c r="Y16">
        <f t="shared" si="16"/>
        <v>-89.923891584104382</v>
      </c>
      <c r="Z16">
        <f t="shared" si="35"/>
        <v>90.076108415895618</v>
      </c>
      <c r="AC16">
        <v>1</v>
      </c>
      <c r="AD16">
        <f t="shared" si="17"/>
        <v>1.0288338937632002E-3</v>
      </c>
      <c r="AE16">
        <f t="shared" si="18"/>
        <v>-2.8960305908507461E-13</v>
      </c>
      <c r="AF16">
        <f t="shared" si="19"/>
        <v>3.4462014733440005E-8</v>
      </c>
      <c r="AG16">
        <f t="shared" si="36"/>
        <v>29610.292884140654</v>
      </c>
      <c r="AH16">
        <f t="shared" si="37"/>
        <v>-29017456.359128285</v>
      </c>
      <c r="AJ16">
        <f t="shared" si="20"/>
        <v>55000</v>
      </c>
      <c r="AK16">
        <f t="shared" si="21"/>
        <v>0.29650351430700006</v>
      </c>
      <c r="AL16">
        <v>1</v>
      </c>
      <c r="AM16">
        <f t="shared" si="22"/>
        <v>4.2008120278740004E-4</v>
      </c>
      <c r="AN16">
        <f t="shared" si="38"/>
        <v>54999.990418805311</v>
      </c>
      <c r="AO16">
        <f t="shared" si="39"/>
        <v>-22.807958614120214</v>
      </c>
      <c r="AQ16">
        <f t="shared" si="23"/>
        <v>3161.9437975367077</v>
      </c>
      <c r="AR16">
        <f t="shared" si="24"/>
        <v>-13.33075505041476</v>
      </c>
      <c r="AT16">
        <f t="shared" si="40"/>
        <v>-293198520.98138547</v>
      </c>
      <c r="AU16">
        <f t="shared" si="41"/>
        <v>-91751960882.599197</v>
      </c>
      <c r="AV16">
        <f t="shared" si="42"/>
        <v>-1.5739918718291457</v>
      </c>
      <c r="AW16">
        <f t="shared" si="25"/>
        <v>174171349.40590051</v>
      </c>
      <c r="AX16">
        <f t="shared" si="26"/>
        <v>-327251789.77904665</v>
      </c>
      <c r="AY16">
        <f t="shared" si="50"/>
        <v>-1.0817028450746522</v>
      </c>
      <c r="BA16">
        <f t="shared" si="27"/>
        <v>247.50145594022902</v>
      </c>
      <c r="BB16">
        <f t="shared" si="43"/>
        <v>47.871555160741053</v>
      </c>
      <c r="BC16">
        <f t="shared" si="44"/>
        <v>-0.49228902675449349</v>
      </c>
      <c r="BD16">
        <f t="shared" si="28"/>
        <v>-208.2060835658655</v>
      </c>
      <c r="BF16">
        <f t="shared" si="29"/>
        <v>66.944062000830144</v>
      </c>
      <c r="BG16">
        <f t="shared" si="30"/>
        <v>-28.212201480147428</v>
      </c>
      <c r="BH16">
        <f t="shared" si="45"/>
        <v>151.78779851985257</v>
      </c>
      <c r="BI16">
        <f t="shared" si="46"/>
        <v>151.78779851985257</v>
      </c>
      <c r="BJ16">
        <f t="shared" si="31"/>
        <v>0</v>
      </c>
      <c r="BK16">
        <f t="shared" si="47"/>
        <v>0</v>
      </c>
      <c r="BM16">
        <f t="shared" si="48"/>
        <v>19.072506840089087</v>
      </c>
      <c r="BN16">
        <f t="shared" si="32"/>
        <v>-6.1179142819377426E-3</v>
      </c>
      <c r="BQ16" s="75">
        <f t="shared" si="49"/>
        <v>64.773515961026192</v>
      </c>
      <c r="BR16" s="78"/>
      <c r="BS16" s="78"/>
      <c r="BT16" s="78">
        <v>114.815</v>
      </c>
      <c r="BU16" s="78">
        <v>33.346499999999999</v>
      </c>
      <c r="BV16" s="78">
        <v>-266.20479999999998</v>
      </c>
      <c r="BW16" s="84"/>
      <c r="BY16" s="78"/>
      <c r="BZ16" s="78"/>
      <c r="CA16" s="78"/>
      <c r="CC16" s="78"/>
    </row>
    <row r="17" spans="1:81">
      <c r="A17">
        <v>9</v>
      </c>
      <c r="B17">
        <f t="shared" si="33"/>
        <v>8.9999999999999993E-3</v>
      </c>
      <c r="C17">
        <f t="shared" si="0"/>
        <v>1.0000000000553149</v>
      </c>
      <c r="D17">
        <f t="shared" si="1"/>
        <v>1.0518052191812131E-5</v>
      </c>
      <c r="F17">
        <f t="shared" si="2"/>
        <v>0.99857996489374823</v>
      </c>
      <c r="G17">
        <f t="shared" si="3"/>
        <v>-1.3064302289214521E-4</v>
      </c>
      <c r="H17">
        <f t="shared" si="4"/>
        <v>-1.3064302289214521E-4</v>
      </c>
      <c r="J17">
        <f t="shared" si="5"/>
        <v>9</v>
      </c>
      <c r="M17">
        <f t="shared" si="6"/>
        <v>468.9689876411619</v>
      </c>
      <c r="N17">
        <f t="shared" si="7"/>
        <v>-1.5707963250000001</v>
      </c>
      <c r="O17">
        <f t="shared" si="8"/>
        <v>1.0000006698312887</v>
      </c>
      <c r="P17">
        <f t="shared" si="9"/>
        <v>1.1574376136249929E-3</v>
      </c>
      <c r="Q17">
        <f t="shared" si="10"/>
        <v>1.0000001116712873</v>
      </c>
      <c r="R17">
        <f t="shared" si="11"/>
        <v>4.7259131795257124E-4</v>
      </c>
      <c r="S17">
        <f t="shared" si="12"/>
        <v>0.99999999998160893</v>
      </c>
      <c r="T17">
        <f t="shared" si="13"/>
        <v>-6.0648446107506404E-6</v>
      </c>
      <c r="U17">
        <f t="shared" si="14"/>
        <v>0.99999999995531108</v>
      </c>
      <c r="V17">
        <f t="shared" si="15"/>
        <v>-9.453987063178318E-6</v>
      </c>
      <c r="X17">
        <f t="shared" si="34"/>
        <v>72.495396428489201</v>
      </c>
      <c r="Y17">
        <f t="shared" si="16"/>
        <v>-89.914378039031689</v>
      </c>
      <c r="Z17">
        <f t="shared" si="35"/>
        <v>90.085621960968311</v>
      </c>
      <c r="AC17">
        <v>1</v>
      </c>
      <c r="AD17">
        <f t="shared" si="17"/>
        <v>1.1574381304836001E-3</v>
      </c>
      <c r="AE17">
        <f t="shared" si="18"/>
        <v>-3.6652887165454754E-13</v>
      </c>
      <c r="AF17">
        <f t="shared" si="19"/>
        <v>3.8769766575120006E-8</v>
      </c>
      <c r="AG17">
        <f t="shared" si="36"/>
        <v>29610.292883585211</v>
      </c>
      <c r="AH17">
        <f t="shared" si="37"/>
        <v>-25793294.600199223</v>
      </c>
      <c r="AJ17">
        <f t="shared" si="20"/>
        <v>55000</v>
      </c>
      <c r="AK17">
        <f t="shared" si="21"/>
        <v>0.33356645359537507</v>
      </c>
      <c r="AL17">
        <v>1</v>
      </c>
      <c r="AM17">
        <f t="shared" si="22"/>
        <v>4.7259135313582507E-4</v>
      </c>
      <c r="AN17">
        <f t="shared" si="38"/>
        <v>54999.987873801037</v>
      </c>
      <c r="AO17">
        <f t="shared" si="39"/>
        <v>-25.65895223813823</v>
      </c>
      <c r="AQ17">
        <f t="shared" si="23"/>
        <v>3161.9288690932262</v>
      </c>
      <c r="AR17">
        <f t="shared" si="24"/>
        <v>-14.997028626109172</v>
      </c>
      <c r="AT17">
        <f t="shared" si="40"/>
        <v>-293197137.58994108</v>
      </c>
      <c r="AU17">
        <f t="shared" si="41"/>
        <v>-81557006891.806351</v>
      </c>
      <c r="AV17">
        <f t="shared" si="42"/>
        <v>-1.5743913076025613</v>
      </c>
      <c r="AW17">
        <f t="shared" si="25"/>
        <v>174170439.52270308</v>
      </c>
      <c r="AX17">
        <f t="shared" si="26"/>
        <v>-291080641.38911968</v>
      </c>
      <c r="AY17">
        <f t="shared" si="50"/>
        <v>-1.031585031105557</v>
      </c>
      <c r="BA17">
        <f t="shared" si="27"/>
        <v>240.4339033185941</v>
      </c>
      <c r="BB17">
        <f t="shared" si="43"/>
        <v>47.619914140659432</v>
      </c>
      <c r="BC17">
        <f t="shared" si="44"/>
        <v>-0.5428062764970043</v>
      </c>
      <c r="BD17">
        <f t="shared" si="28"/>
        <v>-211.10050877202707</v>
      </c>
      <c r="BF17">
        <f t="shared" si="29"/>
        <v>66.692421295864847</v>
      </c>
      <c r="BG17">
        <f t="shared" si="30"/>
        <v>-31.107391425870194</v>
      </c>
      <c r="BH17">
        <f t="shared" si="45"/>
        <v>148.89260857412981</v>
      </c>
      <c r="BI17">
        <f t="shared" si="46"/>
        <v>148.89260857412981</v>
      </c>
      <c r="BJ17">
        <f t="shared" si="31"/>
        <v>0</v>
      </c>
      <c r="BK17">
        <f t="shared" si="47"/>
        <v>0</v>
      </c>
      <c r="BM17">
        <f t="shared" si="48"/>
        <v>19.072507155205415</v>
      </c>
      <c r="BN17">
        <f t="shared" si="32"/>
        <v>-6.8826538431263368E-3</v>
      </c>
      <c r="BQ17" s="75">
        <f t="shared" si="49"/>
        <v>64.521874940944571</v>
      </c>
      <c r="BR17" s="78"/>
      <c r="BS17" s="78"/>
      <c r="BT17" s="78">
        <v>117.49</v>
      </c>
      <c r="BU17" s="78">
        <v>33.0246</v>
      </c>
      <c r="BV17" s="78">
        <v>-264.9049</v>
      </c>
      <c r="BW17" s="84"/>
      <c r="BY17" s="78"/>
      <c r="BZ17" s="78"/>
      <c r="CA17" s="78"/>
      <c r="CC17" s="78"/>
    </row>
    <row r="18" spans="1:81">
      <c r="A18">
        <v>10</v>
      </c>
      <c r="B18">
        <f t="shared" si="33"/>
        <v>0.01</v>
      </c>
      <c r="C18">
        <f t="shared" si="0"/>
        <v>1.0000000000682898</v>
      </c>
      <c r="D18">
        <f t="shared" si="1"/>
        <v>1.1686724657467944E-5</v>
      </c>
      <c r="F18">
        <f t="shared" si="2"/>
        <v>0.99858000537045366</v>
      </c>
      <c r="G18">
        <f t="shared" si="3"/>
        <v>-1.4515892030537333E-4</v>
      </c>
      <c r="H18">
        <f t="shared" si="4"/>
        <v>-1.4515892030537333E-4</v>
      </c>
      <c r="J18">
        <f t="shared" si="5"/>
        <v>9</v>
      </c>
      <c r="M18">
        <f t="shared" si="6"/>
        <v>422.07208887704564</v>
      </c>
      <c r="N18">
        <f t="shared" si="7"/>
        <v>-1.5707963250000001</v>
      </c>
      <c r="O18">
        <f t="shared" si="8"/>
        <v>1.0000008269521432</v>
      </c>
      <c r="P18">
        <f t="shared" si="9"/>
        <v>1.2860416582074162E-3</v>
      </c>
      <c r="Q18">
        <f t="shared" si="10"/>
        <v>1.000000137865785</v>
      </c>
      <c r="R18">
        <f t="shared" si="11"/>
        <v>5.2510145522190069E-4</v>
      </c>
      <c r="S18">
        <f t="shared" si="12"/>
        <v>0.99999999997729483</v>
      </c>
      <c r="T18">
        <f t="shared" si="13"/>
        <v>-6.7387162341479976E-6</v>
      </c>
      <c r="U18">
        <f t="shared" si="14"/>
        <v>0.99999999994482858</v>
      </c>
      <c r="V18">
        <f t="shared" si="15"/>
        <v>-1.050443007012472E-5</v>
      </c>
      <c r="X18">
        <f t="shared" si="34"/>
        <v>71.580248561591901</v>
      </c>
      <c r="Y18">
        <f t="shared" si="16"/>
        <v>-89.904864496399341</v>
      </c>
      <c r="Z18">
        <f t="shared" si="35"/>
        <v>90.095135503600659</v>
      </c>
      <c r="AC18">
        <v>1</v>
      </c>
      <c r="AD18">
        <f t="shared" si="17"/>
        <v>1.2860423672040001E-3</v>
      </c>
      <c r="AE18">
        <f t="shared" si="18"/>
        <v>-4.5250477982042907E-13</v>
      </c>
      <c r="AF18">
        <f t="shared" si="19"/>
        <v>4.3077518416800007E-8</v>
      </c>
      <c r="AG18">
        <f t="shared" si="36"/>
        <v>29610.292882964426</v>
      </c>
      <c r="AH18">
        <f t="shared" si="37"/>
        <v>-23213965.19927676</v>
      </c>
      <c r="AJ18">
        <f t="shared" si="20"/>
        <v>55000</v>
      </c>
      <c r="AK18">
        <f t="shared" si="21"/>
        <v>0.37062939288375008</v>
      </c>
      <c r="AL18">
        <v>1</v>
      </c>
      <c r="AM18">
        <f t="shared" si="22"/>
        <v>5.2510150348424999E-4</v>
      </c>
      <c r="AN18">
        <f t="shared" si="38"/>
        <v>54999.985029384792</v>
      </c>
      <c r="AO18">
        <f t="shared" si="39"/>
        <v>-28.509945437657443</v>
      </c>
      <c r="AQ18">
        <f t="shared" si="23"/>
        <v>3161.9121845290902</v>
      </c>
      <c r="AR18">
        <f t="shared" si="24"/>
        <v>-16.663277212468305</v>
      </c>
      <c r="AT18">
        <f t="shared" si="40"/>
        <v>-293195591.46202052</v>
      </c>
      <c r="AU18">
        <f t="shared" si="41"/>
        <v>-73401012819.3461</v>
      </c>
      <c r="AV18">
        <f t="shared" si="42"/>
        <v>-1.5747907407798445</v>
      </c>
      <c r="AW18">
        <f t="shared" si="25"/>
        <v>174169422.60460061</v>
      </c>
      <c r="AX18">
        <f t="shared" si="26"/>
        <v>-262163855.50235057</v>
      </c>
      <c r="AY18">
        <f t="shared" si="50"/>
        <v>-0.98439699507822731</v>
      </c>
      <c r="BA18">
        <f t="shared" si="27"/>
        <v>233.20919480972401</v>
      </c>
      <c r="BB18">
        <f t="shared" si="43"/>
        <v>47.354913389698588</v>
      </c>
      <c r="BC18">
        <f t="shared" si="44"/>
        <v>-0.59039374570161718</v>
      </c>
      <c r="BD18">
        <f t="shared" si="28"/>
        <v>-213.82706991827573</v>
      </c>
      <c r="BF18">
        <f t="shared" si="29"/>
        <v>66.427420897092858</v>
      </c>
      <c r="BG18">
        <f t="shared" si="30"/>
        <v>-33.834717311777418</v>
      </c>
      <c r="BH18">
        <f t="shared" si="45"/>
        <v>146.16528268822259</v>
      </c>
      <c r="BI18">
        <f t="shared" si="46"/>
        <v>146.16528268822259</v>
      </c>
      <c r="BJ18">
        <f t="shared" si="31"/>
        <v>0</v>
      </c>
      <c r="BK18">
        <f t="shared" si="47"/>
        <v>0</v>
      </c>
      <c r="BM18">
        <f t="shared" si="48"/>
        <v>19.072507507394263</v>
      </c>
      <c r="BN18">
        <f t="shared" si="32"/>
        <v>-7.647393501707794E-3</v>
      </c>
      <c r="BQ18" s="75">
        <f t="shared" si="49"/>
        <v>64.256874189983719</v>
      </c>
      <c r="BR18" s="78"/>
      <c r="BS18" s="78"/>
      <c r="BT18" s="78">
        <v>120.226</v>
      </c>
      <c r="BU18" s="78">
        <v>33.735999999999997</v>
      </c>
      <c r="BV18" s="78">
        <v>-269.98079999999999</v>
      </c>
      <c r="BW18" s="84"/>
      <c r="BY18" s="78"/>
      <c r="BZ18" s="78"/>
      <c r="CA18" s="78"/>
      <c r="CC18" s="78"/>
    </row>
    <row r="19" spans="1:81">
      <c r="A19">
        <f>A10*10</f>
        <v>20</v>
      </c>
      <c r="B19">
        <f t="shared" si="33"/>
        <v>0.02</v>
      </c>
      <c r="C19">
        <f t="shared" si="0"/>
        <v>1.0000000002731591</v>
      </c>
      <c r="D19">
        <f t="shared" si="1"/>
        <v>2.3373449311743554E-5</v>
      </c>
      <c r="F19">
        <f t="shared" si="2"/>
        <v>0.99858064447674044</v>
      </c>
      <c r="G19">
        <f t="shared" si="3"/>
        <v>-2.9031802947721697E-4</v>
      </c>
      <c r="H19">
        <f t="shared" si="4"/>
        <v>-2.9031802947721697E-4</v>
      </c>
      <c r="J19">
        <f t="shared" si="5"/>
        <v>9</v>
      </c>
      <c r="M19">
        <f t="shared" si="6"/>
        <v>211.03604443852282</v>
      </c>
      <c r="N19">
        <f t="shared" si="7"/>
        <v>-1.5707963250000001</v>
      </c>
      <c r="O19">
        <f t="shared" si="8"/>
        <v>1.0000033078044697</v>
      </c>
      <c r="P19">
        <f t="shared" si="9"/>
        <v>2.5720790624522132E-3</v>
      </c>
      <c r="Q19">
        <f t="shared" si="10"/>
        <v>1.0000005514630259</v>
      </c>
      <c r="R19">
        <f t="shared" si="11"/>
        <v>1.050202620869897E-3</v>
      </c>
      <c r="S19">
        <f t="shared" si="12"/>
        <v>0.99999999990917932</v>
      </c>
      <c r="T19">
        <f t="shared" si="13"/>
        <v>-1.347743246768398E-5</v>
      </c>
      <c r="U19">
        <f t="shared" si="14"/>
        <v>0.99999999977931386</v>
      </c>
      <c r="V19">
        <f t="shared" si="15"/>
        <v>-2.100886013793126E-5</v>
      </c>
      <c r="X19">
        <f t="shared" si="34"/>
        <v>65.559679347984968</v>
      </c>
      <c r="Y19">
        <f t="shared" si="16"/>
        <v>-89.809729263945414</v>
      </c>
      <c r="Z19">
        <f t="shared" si="35"/>
        <v>90.190270736054586</v>
      </c>
      <c r="AC19">
        <v>1</v>
      </c>
      <c r="AD19">
        <f t="shared" si="17"/>
        <v>2.5720847344080002E-3</v>
      </c>
      <c r="AE19">
        <f t="shared" si="18"/>
        <v>-1.8100191192817163E-12</v>
      </c>
      <c r="AF19">
        <f t="shared" si="19"/>
        <v>8.6155036833600015E-8</v>
      </c>
      <c r="AG19">
        <f t="shared" si="36"/>
        <v>29610.292873162562</v>
      </c>
      <c r="AH19">
        <f t="shared" si="37"/>
        <v>-11606983.066197256</v>
      </c>
      <c r="AJ19">
        <f t="shared" si="20"/>
        <v>55000</v>
      </c>
      <c r="AK19">
        <f t="shared" si="21"/>
        <v>0.74125878576750015</v>
      </c>
      <c r="AL19">
        <v>1</v>
      </c>
      <c r="AM19">
        <f t="shared" si="22"/>
        <v>1.0502030069685E-3</v>
      </c>
      <c r="AN19">
        <f t="shared" si="38"/>
        <v>54999.940117588681</v>
      </c>
      <c r="AO19">
        <f t="shared" si="39"/>
        <v>-57.019843708811571</v>
      </c>
      <c r="AQ19">
        <f t="shared" si="23"/>
        <v>3161.6487673797938</v>
      </c>
      <c r="AR19">
        <f t="shared" si="24"/>
        <v>-33.323778008183027</v>
      </c>
      <c r="AT19">
        <f t="shared" si="40"/>
        <v>-293171181.07850778</v>
      </c>
      <c r="AU19">
        <f t="shared" si="41"/>
        <v>-36698190431.067154</v>
      </c>
      <c r="AV19">
        <f t="shared" si="42"/>
        <v>-1.5787848663167743</v>
      </c>
      <c r="AW19">
        <f t="shared" si="25"/>
        <v>174153367.42672929</v>
      </c>
      <c r="AX19">
        <f t="shared" si="26"/>
        <v>-132591884.14683583</v>
      </c>
      <c r="AY19">
        <f t="shared" si="50"/>
        <v>-0.65072641517104424</v>
      </c>
      <c r="BA19">
        <f t="shared" si="27"/>
        <v>167.66615620317273</v>
      </c>
      <c r="BB19">
        <f t="shared" si="43"/>
        <v>44.488908162373477</v>
      </c>
      <c r="BC19">
        <f t="shared" si="44"/>
        <v>-0.92805845114573005</v>
      </c>
      <c r="BD19">
        <f t="shared" si="28"/>
        <v>-233.17383245285839</v>
      </c>
      <c r="BF19">
        <f t="shared" si="29"/>
        <v>63.561421230646005</v>
      </c>
      <c r="BG19">
        <f t="shared" si="30"/>
        <v>-53.189127250683242</v>
      </c>
      <c r="BH19">
        <f t="shared" si="45"/>
        <v>126.81087274931676</v>
      </c>
      <c r="BI19">
        <f t="shared" si="46"/>
        <v>126.81087274931676</v>
      </c>
      <c r="BJ19">
        <f t="shared" si="31"/>
        <v>0</v>
      </c>
      <c r="BK19">
        <f t="shared" si="47"/>
        <v>0</v>
      </c>
      <c r="BM19">
        <f t="shared" si="48"/>
        <v>19.072513068272524</v>
      </c>
      <c r="BN19">
        <f t="shared" si="32"/>
        <v>-1.5294797824850147E-2</v>
      </c>
      <c r="BQ19" s="75">
        <f t="shared" si="49"/>
        <v>61.390868962658615</v>
      </c>
      <c r="BR19" s="78"/>
      <c r="BS19" s="78"/>
      <c r="BT19" s="78">
        <v>123.027</v>
      </c>
      <c r="BU19" s="78">
        <v>32.764899999999997</v>
      </c>
      <c r="BV19" s="78">
        <v>-265.73410000000001</v>
      </c>
      <c r="BW19" s="84"/>
      <c r="BY19" s="78"/>
      <c r="BZ19" s="78"/>
      <c r="CA19" s="78"/>
      <c r="CC19" s="78"/>
    </row>
    <row r="20" spans="1:81">
      <c r="A20">
        <f t="shared" ref="A20:A36" si="51">A11*10</f>
        <v>30</v>
      </c>
      <c r="B20">
        <f t="shared" si="33"/>
        <v>0.03</v>
      </c>
      <c r="C20">
        <f t="shared" si="0"/>
        <v>1.0000000006146079</v>
      </c>
      <c r="D20">
        <f t="shared" si="1"/>
        <v>3.5060173959634491E-5</v>
      </c>
      <c r="F20">
        <f t="shared" si="2"/>
        <v>0.99858170965561088</v>
      </c>
      <c r="G20">
        <f t="shared" si="3"/>
        <v>-4.3547751638279376E-4</v>
      </c>
      <c r="H20">
        <f t="shared" si="4"/>
        <v>-4.3547751638279376E-4</v>
      </c>
      <c r="J20">
        <f t="shared" si="5"/>
        <v>9</v>
      </c>
      <c r="M20">
        <f t="shared" si="6"/>
        <v>140.69069629234855</v>
      </c>
      <c r="N20">
        <f t="shared" si="7"/>
        <v>-1.5707963250000001</v>
      </c>
      <c r="O20">
        <f t="shared" si="8"/>
        <v>1.0000074425446703</v>
      </c>
      <c r="P20">
        <f t="shared" si="9"/>
        <v>3.8581079588561984E-3</v>
      </c>
      <c r="Q20">
        <f t="shared" si="10"/>
        <v>1.0000012407913805</v>
      </c>
      <c r="R20">
        <f t="shared" si="11"/>
        <v>1.5753032073710432E-3</v>
      </c>
      <c r="S20">
        <f t="shared" si="12"/>
        <v>0.99999999979565368</v>
      </c>
      <c r="T20">
        <f t="shared" si="13"/>
        <v>-2.0216148699995938E-5</v>
      </c>
      <c r="U20">
        <f t="shared" si="14"/>
        <v>0.9999999995034563</v>
      </c>
      <c r="V20">
        <f t="shared" si="15"/>
        <v>-3.1513290201101432E-5</v>
      </c>
      <c r="X20">
        <f t="shared" si="34"/>
        <v>62.037905332755408</v>
      </c>
      <c r="Y20">
        <f t="shared" si="16"/>
        <v>-89.714594573780104</v>
      </c>
      <c r="Z20">
        <f t="shared" si="35"/>
        <v>90.285405426219896</v>
      </c>
      <c r="AC20">
        <v>1</v>
      </c>
      <c r="AD20">
        <f t="shared" si="17"/>
        <v>3.8581271016120008E-3</v>
      </c>
      <c r="AE20">
        <f t="shared" si="18"/>
        <v>-4.0725430183838618E-12</v>
      </c>
      <c r="AF20">
        <f t="shared" si="19"/>
        <v>1.2923255525040002E-7</v>
      </c>
      <c r="AG20">
        <f t="shared" si="36"/>
        <v>29610.292856826109</v>
      </c>
      <c r="AH20">
        <f t="shared" si="37"/>
        <v>-7737989.229196921</v>
      </c>
      <c r="AJ20">
        <f t="shared" si="20"/>
        <v>55000</v>
      </c>
      <c r="AK20">
        <f t="shared" si="21"/>
        <v>1.1118881786512502</v>
      </c>
      <c r="AL20">
        <v>1</v>
      </c>
      <c r="AM20">
        <f t="shared" si="22"/>
        <v>1.5753045104527502E-3</v>
      </c>
      <c r="AN20">
        <f t="shared" si="38"/>
        <v>54999.865264760279</v>
      </c>
      <c r="AO20">
        <f t="shared" si="39"/>
        <v>-85.529647647219164</v>
      </c>
      <c r="AQ20">
        <f t="shared" si="23"/>
        <v>3161.2098363180321</v>
      </c>
      <c r="AR20">
        <f t="shared" si="24"/>
        <v>-49.978727512188087</v>
      </c>
      <c r="AT20">
        <f t="shared" si="40"/>
        <v>-293130506.14302295</v>
      </c>
      <c r="AU20">
        <f t="shared" si="41"/>
        <v>-24462887549.418541</v>
      </c>
      <c r="AV20">
        <f t="shared" si="42"/>
        <v>-1.5827784150551147</v>
      </c>
      <c r="AW20">
        <f t="shared" si="25"/>
        <v>174126614.74646464</v>
      </c>
      <c r="AX20">
        <f t="shared" si="26"/>
        <v>-90071942.478560016</v>
      </c>
      <c r="AY20">
        <f t="shared" si="50"/>
        <v>-0.47737461498750827</v>
      </c>
      <c r="BA20">
        <f t="shared" si="27"/>
        <v>124.79194896126441</v>
      </c>
      <c r="BB20">
        <f t="shared" si="43"/>
        <v>41.92373134883767</v>
      </c>
      <c r="BC20">
        <f t="shared" si="44"/>
        <v>-1.1054038000676065</v>
      </c>
      <c r="BD20">
        <f t="shared" si="28"/>
        <v>-243.33497247396767</v>
      </c>
      <c r="BF20">
        <f t="shared" si="29"/>
        <v>60.99625368524773</v>
      </c>
      <c r="BG20">
        <f t="shared" si="30"/>
        <v>-63.357914697758581</v>
      </c>
      <c r="BH20">
        <f t="shared" si="45"/>
        <v>116.64208530224141</v>
      </c>
      <c r="BI20">
        <f t="shared" si="46"/>
        <v>116.64208530224141</v>
      </c>
      <c r="BJ20">
        <f t="shared" si="31"/>
        <v>0</v>
      </c>
      <c r="BK20">
        <f t="shared" si="47"/>
        <v>0</v>
      </c>
      <c r="BM20">
        <f t="shared" si="48"/>
        <v>19.072522336410064</v>
      </c>
      <c r="BN20">
        <f t="shared" si="32"/>
        <v>-2.2942223790907035E-2</v>
      </c>
      <c r="BQ20" s="75">
        <f t="shared" si="49"/>
        <v>58.825692149122808</v>
      </c>
      <c r="BR20" s="79"/>
      <c r="BS20" s="79"/>
      <c r="BT20" s="79">
        <v>125.893</v>
      </c>
      <c r="BU20" s="79">
        <v>32.247199999999999</v>
      </c>
      <c r="BV20" s="79">
        <v>-266.37110000000001</v>
      </c>
      <c r="BW20" s="84"/>
      <c r="BY20" s="79"/>
      <c r="BZ20" s="79"/>
      <c r="CA20" s="79"/>
      <c r="CC20" s="79"/>
    </row>
    <row r="21" spans="1:81">
      <c r="A21">
        <f t="shared" si="51"/>
        <v>40</v>
      </c>
      <c r="B21">
        <f t="shared" si="33"/>
        <v>0.04</v>
      </c>
      <c r="C21">
        <f t="shared" si="0"/>
        <v>1.0000000010926362</v>
      </c>
      <c r="D21">
        <f t="shared" si="1"/>
        <v>4.6746898597948427E-5</v>
      </c>
      <c r="F21">
        <f t="shared" si="2"/>
        <v>0.99858320090965402</v>
      </c>
      <c r="G21">
        <f t="shared" si="3"/>
        <v>-5.8063756989095122E-4</v>
      </c>
      <c r="H21">
        <f t="shared" si="4"/>
        <v>-5.8063756989095122E-4</v>
      </c>
      <c r="J21">
        <f t="shared" si="5"/>
        <v>9</v>
      </c>
      <c r="M21">
        <f t="shared" si="6"/>
        <v>105.51802221926141</v>
      </c>
      <c r="N21">
        <f t="shared" si="7"/>
        <v>-1.5707963250000001</v>
      </c>
      <c r="O21">
        <f t="shared" si="8"/>
        <v>1.0000132311522303</v>
      </c>
      <c r="P21">
        <f t="shared" si="9"/>
        <v>5.1441240937100301E-3</v>
      </c>
      <c r="Q21">
        <f t="shared" si="10"/>
        <v>1.0000022058502789</v>
      </c>
      <c r="R21">
        <f t="shared" si="11"/>
        <v>2.1004029251543085E-3</v>
      </c>
      <c r="S21">
        <f t="shared" si="12"/>
        <v>0.99999999963671771</v>
      </c>
      <c r="T21">
        <f t="shared" si="13"/>
        <v>-2.6954864930471849E-5</v>
      </c>
      <c r="U21">
        <f t="shared" si="14"/>
        <v>0.99999999911725568</v>
      </c>
      <c r="V21">
        <f t="shared" si="15"/>
        <v>-4.2017720257317067E-5</v>
      </c>
      <c r="X21">
        <f t="shared" si="34"/>
        <v>59.539202232329231</v>
      </c>
      <c r="Y21">
        <f t="shared" si="16"/>
        <v>-89.61946069703562</v>
      </c>
      <c r="Z21">
        <f t="shared" si="35"/>
        <v>90.38053930296438</v>
      </c>
      <c r="AC21">
        <v>1</v>
      </c>
      <c r="AD21">
        <f t="shared" si="17"/>
        <v>5.1441694688160004E-3</v>
      </c>
      <c r="AE21">
        <f t="shared" si="18"/>
        <v>-7.2400764771268651E-12</v>
      </c>
      <c r="AF21">
        <f t="shared" si="19"/>
        <v>1.7231007366720003E-7</v>
      </c>
      <c r="AG21">
        <f t="shared" si="36"/>
        <v>29610.292833955078</v>
      </c>
      <c r="AH21">
        <f t="shared" si="37"/>
        <v>-5803492.4662163788</v>
      </c>
      <c r="AJ21">
        <f t="shared" si="20"/>
        <v>55000</v>
      </c>
      <c r="AK21">
        <f t="shared" si="21"/>
        <v>1.4825175715350003</v>
      </c>
      <c r="AL21">
        <v>1</v>
      </c>
      <c r="AM21">
        <f t="shared" si="22"/>
        <v>2.100406013937E-3</v>
      </c>
      <c r="AN21">
        <f t="shared" si="38"/>
        <v>54999.760471147267</v>
      </c>
      <c r="AO21">
        <f t="shared" si="39"/>
        <v>-114.03931008715719</v>
      </c>
      <c r="AQ21">
        <f t="shared" si="23"/>
        <v>3160.5955375391277</v>
      </c>
      <c r="AR21">
        <f t="shared" si="24"/>
        <v>-66.62535393132481</v>
      </c>
      <c r="AT21">
        <f t="shared" si="40"/>
        <v>-293073580.2032181</v>
      </c>
      <c r="AU21">
        <f t="shared" si="41"/>
        <v>-18344465187.105507</v>
      </c>
      <c r="AV21">
        <f t="shared" si="42"/>
        <v>-1.5867710988391066</v>
      </c>
      <c r="AW21">
        <f t="shared" si="25"/>
        <v>174089173.4828856</v>
      </c>
      <c r="AX21">
        <f t="shared" si="26"/>
        <v>-69314585.162576467</v>
      </c>
      <c r="AY21">
        <f t="shared" si="50"/>
        <v>-0.37891539553192105</v>
      </c>
      <c r="BA21">
        <f t="shared" si="27"/>
        <v>97.911895497746428</v>
      </c>
      <c r="BB21">
        <f t="shared" si="43"/>
        <v>39.816709165009755</v>
      </c>
      <c r="BC21">
        <f t="shared" si="44"/>
        <v>-1.2078557033071855</v>
      </c>
      <c r="BD21">
        <f t="shared" si="28"/>
        <v>-249.20503413938576</v>
      </c>
      <c r="BF21">
        <f t="shared" si="29"/>
        <v>58.889244476827294</v>
      </c>
      <c r="BG21">
        <f t="shared" si="30"/>
        <v>-69.235623821607206</v>
      </c>
      <c r="BH21">
        <f t="shared" si="45"/>
        <v>110.76437617839279</v>
      </c>
      <c r="BI21">
        <f t="shared" si="46"/>
        <v>110.76437617839279</v>
      </c>
      <c r="BJ21">
        <f t="shared" si="31"/>
        <v>0</v>
      </c>
      <c r="BK21">
        <f t="shared" si="47"/>
        <v>0</v>
      </c>
      <c r="BM21">
        <f t="shared" si="48"/>
        <v>19.072535311817539</v>
      </c>
      <c r="BN21">
        <f t="shared" si="32"/>
        <v>-3.0589682221449206E-2</v>
      </c>
      <c r="BQ21" s="75">
        <f t="shared" si="49"/>
        <v>56.718669965294886</v>
      </c>
      <c r="BR21" s="79"/>
      <c r="BS21" s="79"/>
      <c r="BT21" s="79">
        <v>128.82499999999999</v>
      </c>
      <c r="BU21" s="79">
        <v>32.3142</v>
      </c>
      <c r="BV21" s="79">
        <v>-268.05959999999999</v>
      </c>
      <c r="BW21" s="84"/>
      <c r="BY21" s="79"/>
      <c r="BZ21" s="79"/>
      <c r="CA21" s="79"/>
      <c r="CC21" s="79"/>
    </row>
    <row r="22" spans="1:81">
      <c r="A22">
        <f t="shared" si="51"/>
        <v>50</v>
      </c>
      <c r="B22">
        <f t="shared" si="33"/>
        <v>0.05</v>
      </c>
      <c r="C22">
        <f t="shared" si="0"/>
        <v>1.0000000017072441</v>
      </c>
      <c r="D22">
        <f t="shared" si="1"/>
        <v>5.8433623223493023E-5</v>
      </c>
      <c r="F22">
        <f t="shared" si="2"/>
        <v>0.99858511824249441</v>
      </c>
      <c r="G22">
        <f t="shared" si="3"/>
        <v>-7.257983788729141E-4</v>
      </c>
      <c r="H22">
        <f t="shared" si="4"/>
        <v>-7.257983788729141E-4</v>
      </c>
      <c r="J22">
        <f t="shared" si="5"/>
        <v>9</v>
      </c>
      <c r="M22">
        <f t="shared" si="6"/>
        <v>84.414417775409134</v>
      </c>
      <c r="N22">
        <f t="shared" si="7"/>
        <v>-1.5707963250000001</v>
      </c>
      <c r="O22">
        <f t="shared" si="8"/>
        <v>1.0000206735984292</v>
      </c>
      <c r="P22">
        <f t="shared" si="9"/>
        <v>6.4301232135576267E-3</v>
      </c>
      <c r="Q22">
        <f t="shared" si="10"/>
        <v>1.0000034466389225</v>
      </c>
      <c r="R22">
        <f t="shared" si="11"/>
        <v>2.6255014846515382E-3</v>
      </c>
      <c r="S22">
        <f t="shared" si="12"/>
        <v>0.99999999943237139</v>
      </c>
      <c r="T22">
        <f t="shared" si="13"/>
        <v>-3.3693581158499699E-5</v>
      </c>
      <c r="U22">
        <f t="shared" si="14"/>
        <v>0.99999999862071198</v>
      </c>
      <c r="V22">
        <f t="shared" si="15"/>
        <v>-5.2522150304259967E-5</v>
      </c>
      <c r="X22">
        <f t="shared" si="34"/>
        <v>57.601094069265812</v>
      </c>
      <c r="Y22">
        <f t="shared" si="16"/>
        <v>-89.524327904829576</v>
      </c>
      <c r="Z22">
        <f t="shared" si="35"/>
        <v>90.475672095170424</v>
      </c>
      <c r="AC22">
        <v>1</v>
      </c>
      <c r="AD22">
        <f t="shared" si="17"/>
        <v>6.4302118360200005E-3</v>
      </c>
      <c r="AE22">
        <f t="shared" si="18"/>
        <v>-1.1312619495510725E-11</v>
      </c>
      <c r="AF22">
        <f t="shared" si="19"/>
        <v>2.1538759208400002E-7</v>
      </c>
      <c r="AG22">
        <f t="shared" si="36"/>
        <v>29610.292804549466</v>
      </c>
      <c r="AH22">
        <f t="shared" si="37"/>
        <v>-4642794.5328437528</v>
      </c>
      <c r="AJ22">
        <f t="shared" si="20"/>
        <v>55000</v>
      </c>
      <c r="AK22">
        <f t="shared" si="21"/>
        <v>1.8531469644187502</v>
      </c>
      <c r="AL22">
        <v>1</v>
      </c>
      <c r="AM22">
        <f t="shared" si="22"/>
        <v>2.6255075174212504E-3</v>
      </c>
      <c r="AN22">
        <f t="shared" si="38"/>
        <v>54999.625737096358</v>
      </c>
      <c r="AO22">
        <f t="shared" si="39"/>
        <v>-142.54878386368301</v>
      </c>
      <c r="AQ22">
        <f t="shared" si="23"/>
        <v>3159.8060755461115</v>
      </c>
      <c r="AR22">
        <f t="shared" si="24"/>
        <v>-83.260890090640046</v>
      </c>
      <c r="AT22">
        <f t="shared" ref="AT22:AT85" si="52">-AR22*AH22+AG22*AQ22</f>
        <v>-293000422.21001351</v>
      </c>
      <c r="AU22">
        <f t="shared" ref="AU22:AU85" si="53">AQ22*AH22+AG22*AR22</f>
        <v>-14672795751.726711</v>
      </c>
      <c r="AV22">
        <f t="shared" si="42"/>
        <v>-1.5907626298050068</v>
      </c>
      <c r="AW22">
        <f t="shared" si="25"/>
        <v>174041056.11230534</v>
      </c>
      <c r="AX22">
        <f t="shared" si="26"/>
        <v>-57261788.144222595</v>
      </c>
      <c r="AY22">
        <f t="shared" si="50"/>
        <v>-0.31785732199961003</v>
      </c>
      <c r="BA22">
        <f t="shared" si="27"/>
        <v>80.099340115913989</v>
      </c>
      <c r="BB22">
        <f t="shared" si="43"/>
        <v>38.072578764831391</v>
      </c>
      <c r="BC22">
        <f t="shared" si="44"/>
        <v>-1.2729053078053969</v>
      </c>
      <c r="BD22">
        <f t="shared" si="28"/>
        <v>-252.93210194038727</v>
      </c>
      <c r="BF22">
        <f t="shared" si="29"/>
        <v>57.145130759341271</v>
      </c>
      <c r="BG22">
        <f t="shared" si="30"/>
        <v>-72.970339124325463</v>
      </c>
      <c r="BH22">
        <f t="shared" si="45"/>
        <v>107.02966087567454</v>
      </c>
      <c r="BI22">
        <f t="shared" si="46"/>
        <v>107.02966087567454</v>
      </c>
      <c r="BJ22">
        <f t="shared" si="31"/>
        <v>0</v>
      </c>
      <c r="BK22">
        <f t="shared" si="47"/>
        <v>0</v>
      </c>
      <c r="BM22">
        <f t="shared" si="48"/>
        <v>19.07255199450988</v>
      </c>
      <c r="BN22">
        <f t="shared" si="32"/>
        <v>-3.8237183938183643E-2</v>
      </c>
      <c r="BQ22" s="75">
        <f t="shared" si="49"/>
        <v>54.974539565116523</v>
      </c>
      <c r="BR22" s="78"/>
      <c r="BS22" s="78"/>
      <c r="BT22" s="78">
        <v>131.82599999999999</v>
      </c>
      <c r="BU22" s="78">
        <v>32.155799999999999</v>
      </c>
      <c r="BV22" s="78">
        <v>-263.3605</v>
      </c>
      <c r="BW22" s="84"/>
      <c r="BY22" s="78"/>
      <c r="BZ22" s="78"/>
      <c r="CA22" s="78"/>
      <c r="CC22" s="78"/>
    </row>
    <row r="23" spans="1:81">
      <c r="A23">
        <f t="shared" si="51"/>
        <v>60</v>
      </c>
      <c r="B23">
        <f t="shared" si="33"/>
        <v>0.06</v>
      </c>
      <c r="C23">
        <f t="shared" si="0"/>
        <v>1.0000000024584315</v>
      </c>
      <c r="D23">
        <f t="shared" si="1"/>
        <v>7.0120347833075954E-5</v>
      </c>
      <c r="F23">
        <f t="shared" si="2"/>
        <v>0.9985874616587922</v>
      </c>
      <c r="G23">
        <f t="shared" si="3"/>
        <v>-8.709601322030772E-4</v>
      </c>
      <c r="H23">
        <f t="shared" si="4"/>
        <v>-8.709601322030772E-4</v>
      </c>
      <c r="J23">
        <f t="shared" si="5"/>
        <v>9</v>
      </c>
      <c r="M23">
        <f t="shared" si="6"/>
        <v>70.345348146174274</v>
      </c>
      <c r="N23">
        <f t="shared" si="7"/>
        <v>-1.5707963250000001</v>
      </c>
      <c r="O23">
        <f t="shared" si="8"/>
        <v>1.0000297698463425</v>
      </c>
      <c r="P23">
        <f t="shared" si="9"/>
        <v>7.7161010652805765E-3</v>
      </c>
      <c r="Q23">
        <f t="shared" si="10"/>
        <v>1.0000049631562848</v>
      </c>
      <c r="R23">
        <f t="shared" si="11"/>
        <v>3.1505985962984088E-3</v>
      </c>
      <c r="S23">
        <f t="shared" si="12"/>
        <v>0.99999999918261473</v>
      </c>
      <c r="T23">
        <f t="shared" si="13"/>
        <v>-4.043229738346749E-5</v>
      </c>
      <c r="U23">
        <f t="shared" si="14"/>
        <v>0.99999999801382522</v>
      </c>
      <c r="V23">
        <f t="shared" si="15"/>
        <v>-6.3026580339611967E-5</v>
      </c>
      <c r="X23">
        <f t="shared" si="34"/>
        <v>56.017581710128852</v>
      </c>
      <c r="Y23">
        <f t="shared" si="16"/>
        <v>-89.429196468260287</v>
      </c>
      <c r="Z23">
        <f t="shared" si="35"/>
        <v>90.570803531739713</v>
      </c>
      <c r="AC23">
        <v>1</v>
      </c>
      <c r="AD23">
        <f t="shared" si="17"/>
        <v>7.7162542032240015E-3</v>
      </c>
      <c r="AE23">
        <f t="shared" si="18"/>
        <v>-1.6290172073535447E-11</v>
      </c>
      <c r="AF23">
        <f t="shared" si="19"/>
        <v>2.5846511050080003E-7</v>
      </c>
      <c r="AG23">
        <f t="shared" si="36"/>
        <v>29610.292768609284</v>
      </c>
      <c r="AH23">
        <f t="shared" si="37"/>
        <v>-3868996.0142750838</v>
      </c>
      <c r="AJ23">
        <f t="shared" si="20"/>
        <v>55000</v>
      </c>
      <c r="AK23">
        <f t="shared" si="21"/>
        <v>2.2237763573025005</v>
      </c>
      <c r="AL23">
        <v>1</v>
      </c>
      <c r="AM23">
        <f t="shared" si="22"/>
        <v>3.1506090209055004E-3</v>
      </c>
      <c r="AN23">
        <f t="shared" si="38"/>
        <v>54999.461063053372</v>
      </c>
      <c r="AO23">
        <f t="shared" si="39"/>
        <v>-171.05802181289428</v>
      </c>
      <c r="AQ23">
        <f t="shared" si="23"/>
        <v>3158.8417129796253</v>
      </c>
      <c r="AR23">
        <f t="shared" si="24"/>
        <v>-99.882574964415738</v>
      </c>
      <c r="AT23">
        <f t="shared" si="52"/>
        <v>-292911056.50183475</v>
      </c>
      <c r="AU23">
        <f t="shared" si="53"/>
        <v>-12224503549.531227</v>
      </c>
      <c r="AV23">
        <f t="shared" si="42"/>
        <v>-1.5947527204780474</v>
      </c>
      <c r="AW23">
        <f t="shared" si="25"/>
        <v>173982278.65789431</v>
      </c>
      <c r="AX23">
        <f t="shared" si="26"/>
        <v>-49560764.577080488</v>
      </c>
      <c r="AY23">
        <f t="shared" si="50"/>
        <v>-0.27751058759342295</v>
      </c>
      <c r="BA23">
        <f t="shared" si="27"/>
        <v>67.59408932897</v>
      </c>
      <c r="BB23">
        <f t="shared" si="43"/>
        <v>36.598174426512585</v>
      </c>
      <c r="BC23">
        <f t="shared" si="44"/>
        <v>-1.3172421328846244</v>
      </c>
      <c r="BD23">
        <f t="shared" si="28"/>
        <v>-255.47241489733955</v>
      </c>
      <c r="BF23">
        <f t="shared" si="29"/>
        <v>55.670746811018851</v>
      </c>
      <c r="BG23">
        <f t="shared" si="30"/>
        <v>-75.51829963710253</v>
      </c>
      <c r="BH23">
        <f t="shared" si="45"/>
        <v>104.48170036289747</v>
      </c>
      <c r="BI23">
        <f t="shared" si="46"/>
        <v>104.48170036289747</v>
      </c>
      <c r="BJ23">
        <f t="shared" si="31"/>
        <v>0</v>
      </c>
      <c r="BK23">
        <f t="shared" si="47"/>
        <v>0</v>
      </c>
      <c r="BM23">
        <f t="shared" si="48"/>
        <v>19.072572384506266</v>
      </c>
      <c r="BN23">
        <f t="shared" si="32"/>
        <v>-4.5884739762998943E-2</v>
      </c>
      <c r="BQ23" s="75">
        <f t="shared" si="49"/>
        <v>53.500135226797731</v>
      </c>
      <c r="BR23" s="77"/>
      <c r="BS23" s="77"/>
      <c r="BT23" s="77">
        <v>134.89599999999999</v>
      </c>
      <c r="BU23" s="77">
        <v>32.875300000000003</v>
      </c>
      <c r="BV23" s="77">
        <v>-269.46539999999999</v>
      </c>
      <c r="BW23" s="84"/>
      <c r="BY23" s="77"/>
      <c r="BZ23" s="77"/>
      <c r="CA23" s="77"/>
      <c r="CC23" s="77"/>
    </row>
    <row r="24" spans="1:81">
      <c r="A24">
        <f t="shared" si="51"/>
        <v>70</v>
      </c>
      <c r="B24">
        <f t="shared" si="33"/>
        <v>7.0000000000000007E-2</v>
      </c>
      <c r="C24">
        <f t="shared" si="0"/>
        <v>1.0000000033461984</v>
      </c>
      <c r="D24">
        <f t="shared" si="1"/>
        <v>8.1807072423504867E-5</v>
      </c>
      <c r="F24">
        <f t="shared" si="2"/>
        <v>0.99859023116424306</v>
      </c>
      <c r="G24">
        <f t="shared" si="3"/>
        <v>-1.016123018759797E-3</v>
      </c>
      <c r="H24">
        <f t="shared" si="4"/>
        <v>-1.016123018759797E-3</v>
      </c>
      <c r="J24">
        <f t="shared" si="5"/>
        <v>9</v>
      </c>
      <c r="M24">
        <f t="shared" si="6"/>
        <v>60.296012696720815</v>
      </c>
      <c r="N24">
        <f t="shared" si="7"/>
        <v>-1.5707963250000001</v>
      </c>
      <c r="O24">
        <f t="shared" si="8"/>
        <v>1.0000405198508417</v>
      </c>
      <c r="P24">
        <f t="shared" si="9"/>
        <v>9.0020533961825151E-3</v>
      </c>
      <c r="Q24">
        <f t="shared" si="10"/>
        <v>1.0000067554011118</v>
      </c>
      <c r="R24">
        <f t="shared" si="11"/>
        <v>3.6756939705353876E-3</v>
      </c>
      <c r="S24">
        <f t="shared" si="12"/>
        <v>0.99999999888744773</v>
      </c>
      <c r="T24">
        <f t="shared" si="13"/>
        <v>-4.717101360476319E-5</v>
      </c>
      <c r="U24">
        <f t="shared" si="14"/>
        <v>0.99999999729659539</v>
      </c>
      <c r="V24">
        <f t="shared" si="15"/>
        <v>-7.3531010361054867E-5</v>
      </c>
      <c r="X24">
        <f t="shared" si="34"/>
        <v>54.67877894326768</v>
      </c>
      <c r="Y24">
        <f t="shared" si="16"/>
        <v>-89.334066658401781</v>
      </c>
      <c r="Z24">
        <f t="shared" si="35"/>
        <v>90.665933341598219</v>
      </c>
      <c r="AC24">
        <v>1</v>
      </c>
      <c r="AD24">
        <f t="shared" si="17"/>
        <v>9.0022965704280016E-3</v>
      </c>
      <c r="AE24">
        <f t="shared" si="18"/>
        <v>-2.2172734211201028E-11</v>
      </c>
      <c r="AF24">
        <f t="shared" si="19"/>
        <v>3.0154262891759999E-7</v>
      </c>
      <c r="AG24">
        <f t="shared" si="36"/>
        <v>29610.292726134514</v>
      </c>
      <c r="AH24">
        <f t="shared" si="37"/>
        <v>-3316282.8755943896</v>
      </c>
      <c r="AJ24">
        <f t="shared" si="20"/>
        <v>55000</v>
      </c>
      <c r="AK24">
        <f t="shared" si="21"/>
        <v>2.5944057501862501</v>
      </c>
      <c r="AL24">
        <v>1</v>
      </c>
      <c r="AM24">
        <f t="shared" si="22"/>
        <v>3.6757105243897499E-3</v>
      </c>
      <c r="AN24">
        <f t="shared" si="38"/>
        <v>54999.266449563154</v>
      </c>
      <c r="AO24">
        <f t="shared" si="39"/>
        <v>-199.56697677218909</v>
      </c>
      <c r="AQ24">
        <f t="shared" si="23"/>
        <v>3157.7027703996705</v>
      </c>
      <c r="AR24">
        <f t="shared" si="24"/>
        <v>-116.48765520004383</v>
      </c>
      <c r="AT24">
        <f t="shared" si="52"/>
        <v>-292805512.78438896</v>
      </c>
      <c r="AU24">
        <f t="shared" si="53"/>
        <v>-10475284857.262844</v>
      </c>
      <c r="AV24">
        <f t="shared" si="42"/>
        <v>-1.5987410838690732</v>
      </c>
      <c r="AW24">
        <f t="shared" si="25"/>
        <v>173912860.6763646</v>
      </c>
      <c r="AX24">
        <f t="shared" si="26"/>
        <v>-44345938.606596783</v>
      </c>
      <c r="AY24">
        <f t="shared" si="50"/>
        <v>-0.24966904228875733</v>
      </c>
      <c r="BA24">
        <f t="shared" si="27"/>
        <v>58.388179803253209</v>
      </c>
      <c r="BB24">
        <f t="shared" si="43"/>
        <v>35.32649873478271</v>
      </c>
      <c r="BC24">
        <f t="shared" si="44"/>
        <v>-1.3490720415803159</v>
      </c>
      <c r="BD24">
        <f t="shared" si="28"/>
        <v>-257.29613432997331</v>
      </c>
      <c r="BF24">
        <f t="shared" si="29"/>
        <v>54.399095216612857</v>
      </c>
      <c r="BG24">
        <f t="shared" si="30"/>
        <v>-77.349666690491318</v>
      </c>
      <c r="BH24">
        <f t="shared" si="45"/>
        <v>102.65033330950868</v>
      </c>
      <c r="BI24">
        <f t="shared" si="46"/>
        <v>102.65033330950868</v>
      </c>
      <c r="BJ24">
        <f t="shared" si="31"/>
        <v>0</v>
      </c>
      <c r="BK24">
        <f t="shared" si="47"/>
        <v>0</v>
      </c>
      <c r="BM24">
        <f t="shared" si="48"/>
        <v>19.072596481830153</v>
      </c>
      <c r="BN24">
        <f t="shared" si="32"/>
        <v>-5.3532360518010691E-2</v>
      </c>
      <c r="BQ24" s="75">
        <f t="shared" si="49"/>
        <v>52.228459535067842</v>
      </c>
      <c r="BR24" s="77"/>
      <c r="BS24" s="77"/>
      <c r="BT24" s="77">
        <v>138.03800000000001</v>
      </c>
      <c r="BU24" s="77">
        <v>32.538699999999999</v>
      </c>
      <c r="BV24" s="77">
        <v>-267.95069999999998</v>
      </c>
      <c r="BW24" s="84"/>
      <c r="BY24" s="77"/>
      <c r="BZ24" s="77"/>
      <c r="CA24" s="77"/>
      <c r="CC24" s="77"/>
    </row>
    <row r="25" spans="1:81">
      <c r="A25">
        <f t="shared" si="51"/>
        <v>80</v>
      </c>
      <c r="B25">
        <f t="shared" si="33"/>
        <v>0.08</v>
      </c>
      <c r="C25">
        <f t="shared" si="0"/>
        <v>1.000000004370545</v>
      </c>
      <c r="D25">
        <f t="shared" si="1"/>
        <v>9.3493796991587426E-5</v>
      </c>
      <c r="F25">
        <f t="shared" si="2"/>
        <v>0.9985934267655785</v>
      </c>
      <c r="G25">
        <f t="shared" si="3"/>
        <v>-1.1612872274261853E-3</v>
      </c>
      <c r="H25">
        <f t="shared" si="4"/>
        <v>-1.1612872274261853E-3</v>
      </c>
      <c r="J25">
        <f t="shared" si="5"/>
        <v>9</v>
      </c>
      <c r="M25">
        <f t="shared" si="6"/>
        <v>52.759011109630706</v>
      </c>
      <c r="N25">
        <f t="shared" si="7"/>
        <v>-1.5707963250000001</v>
      </c>
      <c r="O25">
        <f t="shared" si="8"/>
        <v>1.0000529235585964</v>
      </c>
      <c r="P25">
        <f t="shared" si="9"/>
        <v>1.0287975954073495E-2</v>
      </c>
      <c r="Q25">
        <f t="shared" si="10"/>
        <v>1.0000088233719209</v>
      </c>
      <c r="R25">
        <f t="shared" si="11"/>
        <v>4.2007873178086909E-3</v>
      </c>
      <c r="S25">
        <f t="shared" si="12"/>
        <v>0.99999999854687061</v>
      </c>
      <c r="T25">
        <f t="shared" si="13"/>
        <v>-5.3909729821774786E-5</v>
      </c>
      <c r="U25">
        <f t="shared" si="14"/>
        <v>0.99999999646902249</v>
      </c>
      <c r="V25">
        <f t="shared" si="15"/>
        <v>-8.4035440366270499E-5</v>
      </c>
      <c r="X25">
        <f t="shared" si="34"/>
        <v>53.519093492476166</v>
      </c>
      <c r="Y25">
        <f t="shared" si="16"/>
        <v>-89.238938746299027</v>
      </c>
      <c r="Z25">
        <f t="shared" si="35"/>
        <v>90.761061253700973</v>
      </c>
      <c r="AC25">
        <v>1</v>
      </c>
      <c r="AD25">
        <f t="shared" si="17"/>
        <v>1.0288338937632001E-2</v>
      </c>
      <c r="AE25">
        <f t="shared" si="18"/>
        <v>-2.896030590850746E-11</v>
      </c>
      <c r="AF25">
        <f t="shared" si="19"/>
        <v>3.4462014733440006E-7</v>
      </c>
      <c r="AG25">
        <f t="shared" si="36"/>
        <v>29610.292677125159</v>
      </c>
      <c r="AH25">
        <f t="shared" si="37"/>
        <v>-2901748.0993436789</v>
      </c>
      <c r="AJ25">
        <f t="shared" si="20"/>
        <v>55000</v>
      </c>
      <c r="AK25">
        <f t="shared" si="21"/>
        <v>2.9650351430700006</v>
      </c>
      <c r="AL25">
        <v>1</v>
      </c>
      <c r="AM25">
        <f t="shared" si="22"/>
        <v>4.2008120278739999E-3</v>
      </c>
      <c r="AN25">
        <f t="shared" si="38"/>
        <v>54999.041897269621</v>
      </c>
      <c r="AO25">
        <f t="shared" si="39"/>
        <v>-228.07560158052624</v>
      </c>
      <c r="AQ25">
        <f t="shared" si="23"/>
        <v>3156.3896260195534</v>
      </c>
      <c r="AR25">
        <f t="shared" si="24"/>
        <v>-133.07338663298438</v>
      </c>
      <c r="AT25">
        <f t="shared" si="52"/>
        <v>-292683826.10600835</v>
      </c>
      <c r="AU25">
        <f t="shared" si="53"/>
        <v>-9162987940.0160847</v>
      </c>
      <c r="AV25">
        <f t="shared" si="42"/>
        <v>-1.6027274335707737</v>
      </c>
      <c r="AW25">
        <f t="shared" si="25"/>
        <v>173832825.24173859</v>
      </c>
      <c r="AX25">
        <f t="shared" si="26"/>
        <v>-40684438.885170691</v>
      </c>
      <c r="AY25">
        <f t="shared" si="50"/>
        <v>-0.22990530423211322</v>
      </c>
      <c r="BA25">
        <f t="shared" si="27"/>
        <v>51.35072441786189</v>
      </c>
      <c r="BB25">
        <f t="shared" si="43"/>
        <v>34.210931493606878</v>
      </c>
      <c r="BC25">
        <f t="shared" si="44"/>
        <v>-1.3728221293386604</v>
      </c>
      <c r="BD25">
        <f t="shared" si="28"/>
        <v>-258.65691412314669</v>
      </c>
      <c r="BF25">
        <f t="shared" si="29"/>
        <v>53.283555780116131</v>
      </c>
      <c r="BG25">
        <f t="shared" si="30"/>
        <v>-78.718094180172301</v>
      </c>
      <c r="BH25">
        <f t="shared" si="45"/>
        <v>101.2819058198277</v>
      </c>
      <c r="BI25">
        <f t="shared" si="46"/>
        <v>101.2819058198277</v>
      </c>
      <c r="BJ25">
        <f t="shared" si="31"/>
        <v>0</v>
      </c>
      <c r="BK25">
        <f t="shared" si="47"/>
        <v>0</v>
      </c>
      <c r="BM25">
        <f t="shared" si="48"/>
        <v>19.07262428650926</v>
      </c>
      <c r="BN25">
        <f t="shared" si="32"/>
        <v>-6.1180057025606936E-2</v>
      </c>
      <c r="BQ25" s="75">
        <f t="shared" si="49"/>
        <v>51.11289229389201</v>
      </c>
      <c r="BR25" s="77"/>
      <c r="BS25" s="77"/>
      <c r="BT25" s="77">
        <v>141.25399999999999</v>
      </c>
      <c r="BU25" s="77">
        <v>32.377000000000002</v>
      </c>
      <c r="BV25" s="77">
        <v>-263.11430000000001</v>
      </c>
      <c r="BW25" s="84"/>
      <c r="BY25" s="77"/>
      <c r="BZ25" s="77"/>
      <c r="CA25" s="77"/>
      <c r="CC25" s="77"/>
    </row>
    <row r="26" spans="1:81">
      <c r="A26">
        <f t="shared" si="51"/>
        <v>90</v>
      </c>
      <c r="B26">
        <f t="shared" si="33"/>
        <v>0.09</v>
      </c>
      <c r="C26">
        <f t="shared" si="0"/>
        <v>1.0000000055314711</v>
      </c>
      <c r="D26">
        <f t="shared" si="1"/>
        <v>1.0518052153413132E-4</v>
      </c>
      <c r="F26">
        <f t="shared" si="2"/>
        <v>0.99859704847056607</v>
      </c>
      <c r="G26">
        <f t="shared" si="3"/>
        <v>-1.3064529470909008E-3</v>
      </c>
      <c r="H26">
        <f t="shared" si="4"/>
        <v>-1.3064529470909008E-3</v>
      </c>
      <c r="J26">
        <f t="shared" si="5"/>
        <v>9</v>
      </c>
      <c r="M26">
        <f t="shared" si="6"/>
        <v>46.896898764116187</v>
      </c>
      <c r="N26">
        <f t="shared" si="7"/>
        <v>-1.5707963250000001</v>
      </c>
      <c r="O26">
        <f t="shared" si="8"/>
        <v>1.0000669809080738</v>
      </c>
      <c r="P26">
        <f t="shared" si="9"/>
        <v>1.1573864487354318E-2</v>
      </c>
      <c r="Q26">
        <f t="shared" si="10"/>
        <v>1.0000111670670011</v>
      </c>
      <c r="R26">
        <f t="shared" si="11"/>
        <v>4.7258783485712415E-3</v>
      </c>
      <c r="S26">
        <f t="shared" si="12"/>
        <v>0.99999999816088314</v>
      </c>
      <c r="T26">
        <f t="shared" si="13"/>
        <v>-6.0648446033890276E-5</v>
      </c>
      <c r="U26">
        <f t="shared" si="14"/>
        <v>0.99999999553110652</v>
      </c>
      <c r="V26">
        <f t="shared" si="15"/>
        <v>-9.4539870352940676E-5</v>
      </c>
      <c r="X26">
        <f t="shared" si="34"/>
        <v>52.496216994235297</v>
      </c>
      <c r="Y26">
        <f t="shared" si="16"/>
        <v>-89.143813002963071</v>
      </c>
      <c r="Z26">
        <f t="shared" si="35"/>
        <v>90.856186997036929</v>
      </c>
      <c r="AC26">
        <v>1</v>
      </c>
      <c r="AD26">
        <f t="shared" si="17"/>
        <v>1.1574381304836002E-2</v>
      </c>
      <c r="AE26">
        <f t="shared" si="18"/>
        <v>-3.665288716545475E-11</v>
      </c>
      <c r="AF26">
        <f t="shared" si="19"/>
        <v>3.8769766575119997E-7</v>
      </c>
      <c r="AG26">
        <f t="shared" si="36"/>
        <v>29610.292621581233</v>
      </c>
      <c r="AH26">
        <f t="shared" si="37"/>
        <v>-2579332.2313796245</v>
      </c>
      <c r="AJ26">
        <f t="shared" si="20"/>
        <v>55000</v>
      </c>
      <c r="AK26">
        <f t="shared" si="21"/>
        <v>3.3356645359537507</v>
      </c>
      <c r="AL26">
        <v>1</v>
      </c>
      <c r="AM26">
        <f t="shared" si="22"/>
        <v>4.7259135313582508E-3</v>
      </c>
      <c r="AN26">
        <f t="shared" si="38"/>
        <v>54998.787406915711</v>
      </c>
      <c r="AO26">
        <f t="shared" si="39"/>
        <v>-256.58384907868498</v>
      </c>
      <c r="AQ26">
        <f t="shared" si="23"/>
        <v>3154.9027153924299</v>
      </c>
      <c r="AR26">
        <f t="shared" si="24"/>
        <v>-149.63703579106294</v>
      </c>
      <c r="AT26">
        <f t="shared" si="52"/>
        <v>-292546036.82860398</v>
      </c>
      <c r="AU26">
        <f t="shared" si="53"/>
        <v>-8141973057.0955915</v>
      </c>
      <c r="AV26">
        <f t="shared" si="42"/>
        <v>-1.6067114838534327</v>
      </c>
      <c r="AW26">
        <f t="shared" si="25"/>
        <v>173742198.92622533</v>
      </c>
      <c r="AX26">
        <f t="shared" si="26"/>
        <v>-38057929.804816477</v>
      </c>
      <c r="AY26">
        <f t="shared" si="50"/>
        <v>-0.21564234042166475</v>
      </c>
      <c r="BA26">
        <f t="shared" si="27"/>
        <v>45.806547828557214</v>
      </c>
      <c r="BB26">
        <f t="shared" si="43"/>
        <v>33.218551255516452</v>
      </c>
      <c r="BC26">
        <f t="shared" si="44"/>
        <v>-1.3910691434317679</v>
      </c>
      <c r="BD26">
        <f t="shared" si="28"/>
        <v>-259.70239102059213</v>
      </c>
      <c r="BF26">
        <f t="shared" si="29"/>
        <v>52.291207054092006</v>
      </c>
      <c r="BG26">
        <f t="shared" si="30"/>
        <v>-79.771218860700614</v>
      </c>
      <c r="BH26">
        <f t="shared" si="45"/>
        <v>100.22878113929939</v>
      </c>
      <c r="BI26">
        <f t="shared" si="46"/>
        <v>100.22878113929939</v>
      </c>
      <c r="BJ26">
        <f t="shared" si="31"/>
        <v>0</v>
      </c>
      <c r="BK26">
        <f t="shared" si="47"/>
        <v>0</v>
      </c>
      <c r="BM26">
        <f t="shared" si="48"/>
        <v>19.072655798575553</v>
      </c>
      <c r="BN26">
        <f t="shared" si="32"/>
        <v>-6.8827840108493535E-2</v>
      </c>
      <c r="BQ26" s="75">
        <f t="shared" si="49"/>
        <v>50.120512055801584</v>
      </c>
      <c r="BR26" s="77"/>
      <c r="BS26" s="77"/>
      <c r="BT26" s="77">
        <v>144.54400000000001</v>
      </c>
      <c r="BU26" s="77">
        <v>31.499099999999999</v>
      </c>
      <c r="BV26" s="77">
        <v>-266.2885</v>
      </c>
      <c r="BW26" s="84"/>
      <c r="BY26" s="77"/>
      <c r="BZ26" s="77"/>
      <c r="CA26" s="77"/>
      <c r="CC26" s="77"/>
    </row>
    <row r="27" spans="1:81">
      <c r="A27">
        <f t="shared" si="51"/>
        <v>100</v>
      </c>
      <c r="B27">
        <f t="shared" si="33"/>
        <v>0.1</v>
      </c>
      <c r="C27">
        <f t="shared" si="0"/>
        <v>1.0000000068289765</v>
      </c>
      <c r="D27">
        <f t="shared" si="1"/>
        <v>1.168672460479442E-4</v>
      </c>
      <c r="F27">
        <f t="shared" si="2"/>
        <v>0.99860109628800819</v>
      </c>
      <c r="G27">
        <f t="shared" si="3"/>
        <v>-1.4516203666489417E-3</v>
      </c>
      <c r="H27">
        <f t="shared" si="4"/>
        <v>-1.4516203666489417E-3</v>
      </c>
      <c r="J27">
        <f t="shared" si="5"/>
        <v>9</v>
      </c>
      <c r="M27">
        <f t="shared" si="6"/>
        <v>42.207208887704567</v>
      </c>
      <c r="N27">
        <f t="shared" si="7"/>
        <v>-1.5707963250000001</v>
      </c>
      <c r="O27">
        <f t="shared" si="8"/>
        <v>1.0000826918295429</v>
      </c>
      <c r="P27">
        <f t="shared" si="9"/>
        <v>1.2859714745100852E-2</v>
      </c>
      <c r="Q27">
        <f t="shared" si="10"/>
        <v>1.0000137864844145</v>
      </c>
      <c r="R27">
        <f t="shared" si="11"/>
        <v>5.2509667732836248E-3</v>
      </c>
      <c r="S27">
        <f t="shared" si="12"/>
        <v>0.99999999772948533</v>
      </c>
      <c r="T27">
        <f t="shared" si="13"/>
        <v>-6.7387162240497631E-5</v>
      </c>
      <c r="U27">
        <f t="shared" si="14"/>
        <v>0.99999999448284749</v>
      </c>
      <c r="V27">
        <f t="shared" si="15"/>
        <v>-1.0504430031874723E-4</v>
      </c>
      <c r="X27">
        <f t="shared" si="34"/>
        <v>51.581261594464436</v>
      </c>
      <c r="Y27">
        <f t="shared" si="16"/>
        <v>-89.048689699366221</v>
      </c>
      <c r="Z27">
        <f t="shared" si="35"/>
        <v>90.951310300633779</v>
      </c>
      <c r="AC27">
        <v>1</v>
      </c>
      <c r="AD27">
        <f t="shared" si="17"/>
        <v>1.2860423672040001E-2</v>
      </c>
      <c r="AE27">
        <f t="shared" si="18"/>
        <v>-4.5250477982042901E-11</v>
      </c>
      <c r="AF27">
        <f t="shared" si="19"/>
        <v>4.3077518416800004E-7</v>
      </c>
      <c r="AG27">
        <f t="shared" si="36"/>
        <v>29610.292559502719</v>
      </c>
      <c r="AH27">
        <f t="shared" si="37"/>
        <v>-2321399.5992162265</v>
      </c>
      <c r="AJ27">
        <f t="shared" si="20"/>
        <v>55000</v>
      </c>
      <c r="AK27">
        <f t="shared" si="21"/>
        <v>3.7062939288375003</v>
      </c>
      <c r="AL27">
        <v>1</v>
      </c>
      <c r="AM27">
        <f t="shared" si="22"/>
        <v>5.2510150348425008E-3</v>
      </c>
      <c r="AN27">
        <f t="shared" si="38"/>
        <v>54998.502979343444</v>
      </c>
      <c r="AO27">
        <f t="shared" si="39"/>
        <v>-285.09167210952501</v>
      </c>
      <c r="AQ27">
        <f t="shared" si="23"/>
        <v>3153.2425310509375</v>
      </c>
      <c r="AR27">
        <f t="shared" si="24"/>
        <v>-166.17588138638442</v>
      </c>
      <c r="AT27">
        <f t="shared" si="52"/>
        <v>-292392190.59427088</v>
      </c>
      <c r="AU27">
        <f t="shared" si="53"/>
        <v>-7324856464.2773895</v>
      </c>
      <c r="AV27">
        <f t="shared" si="42"/>
        <v>-1.6106929497601179</v>
      </c>
      <c r="AW27">
        <f t="shared" si="25"/>
        <v>173641011.77823532</v>
      </c>
      <c r="AX27">
        <f t="shared" si="26"/>
        <v>-36155344.044537827</v>
      </c>
      <c r="AY27">
        <f t="shared" si="50"/>
        <v>-0.20528573321795779</v>
      </c>
      <c r="BA27">
        <f t="shared" si="27"/>
        <v>41.331052930344391</v>
      </c>
      <c r="BB27">
        <f t="shared" si="43"/>
        <v>32.325529386066584</v>
      </c>
      <c r="BC27">
        <f t="shared" si="44"/>
        <v>-1.4054072165421601</v>
      </c>
      <c r="BD27">
        <f t="shared" si="28"/>
        <v>-260.52390209710632</v>
      </c>
      <c r="BF27">
        <f t="shared" si="29"/>
        <v>51.398220404131877</v>
      </c>
      <c r="BG27">
        <f t="shared" si="30"/>
        <v>-80.600377817696042</v>
      </c>
      <c r="BH27">
        <f t="shared" si="45"/>
        <v>99.399622182303958</v>
      </c>
      <c r="BI27">
        <f t="shared" si="46"/>
        <v>99.399622182303958</v>
      </c>
      <c r="BJ27">
        <f t="shared" si="31"/>
        <v>0</v>
      </c>
      <c r="BK27">
        <f t="shared" si="47"/>
        <v>0</v>
      </c>
      <c r="BM27">
        <f t="shared" si="48"/>
        <v>19.072691018065292</v>
      </c>
      <c r="BN27">
        <f t="shared" si="32"/>
        <v>-7.6475720589739588E-2</v>
      </c>
      <c r="BQ27" s="75">
        <f t="shared" si="49"/>
        <v>49.227490186351723</v>
      </c>
      <c r="BR27" s="77"/>
      <c r="BS27" s="77"/>
      <c r="BT27" s="77">
        <v>147.911</v>
      </c>
      <c r="BU27" s="77">
        <v>31.4819</v>
      </c>
      <c r="BV27" s="77">
        <v>-266.34629999999999</v>
      </c>
      <c r="BW27" s="84"/>
      <c r="BY27" s="77"/>
      <c r="BZ27" s="77"/>
      <c r="CA27" s="77"/>
      <c r="CC27" s="77"/>
    </row>
    <row r="28" spans="1:81">
      <c r="A28">
        <f t="shared" si="51"/>
        <v>200</v>
      </c>
      <c r="B28">
        <f t="shared" si="33"/>
        <v>0.2</v>
      </c>
      <c r="C28">
        <f t="shared" si="0"/>
        <v>1.0000000273159062</v>
      </c>
      <c r="D28">
        <f t="shared" si="1"/>
        <v>2.3373448890355372E-4</v>
      </c>
      <c r="F28">
        <f t="shared" si="2"/>
        <v>0.99866501332477631</v>
      </c>
      <c r="G28">
        <f t="shared" si="3"/>
        <v>-2.9034296193820664E-3</v>
      </c>
      <c r="H28">
        <f t="shared" si="4"/>
        <v>-2.9034296193820664E-3</v>
      </c>
      <c r="J28">
        <f t="shared" si="5"/>
        <v>9</v>
      </c>
      <c r="M28">
        <f t="shared" si="6"/>
        <v>21.103604443852284</v>
      </c>
      <c r="N28">
        <f t="shared" si="7"/>
        <v>-1.5707963250000001</v>
      </c>
      <c r="O28">
        <f t="shared" si="8"/>
        <v>1.0003307263041046</v>
      </c>
      <c r="P28">
        <f t="shared" si="9"/>
        <v>2.5715177616134302E-2</v>
      </c>
      <c r="Q28">
        <f t="shared" si="10"/>
        <v>1.0000551447973178</v>
      </c>
      <c r="R28">
        <f t="shared" si="11"/>
        <v>1.0501643996374847E-2</v>
      </c>
      <c r="S28">
        <f t="shared" si="12"/>
        <v>0.99999999091794078</v>
      </c>
      <c r="T28">
        <f t="shared" si="13"/>
        <v>-1.3477432386898105E-4</v>
      </c>
      <c r="U28">
        <f t="shared" si="14"/>
        <v>0.99999997793139039</v>
      </c>
      <c r="V28">
        <f t="shared" si="15"/>
        <v>-2.1008859831931281E-4</v>
      </c>
      <c r="X28">
        <f t="shared" si="34"/>
        <v>45.563730768667796</v>
      </c>
      <c r="Y28">
        <f t="shared" si="16"/>
        <v>-88.097650425566272</v>
      </c>
      <c r="Z28">
        <f t="shared" si="35"/>
        <v>91.902349574433728</v>
      </c>
      <c r="AC28">
        <v>1</v>
      </c>
      <c r="AD28">
        <f t="shared" si="17"/>
        <v>2.5720847344080002E-2</v>
      </c>
      <c r="AE28">
        <f t="shared" si="18"/>
        <v>-1.810019119281716E-10</v>
      </c>
      <c r="AF28">
        <f t="shared" si="19"/>
        <v>8.6155036833600007E-7</v>
      </c>
      <c r="AG28">
        <f t="shared" si="36"/>
        <v>29610.291579315752</v>
      </c>
      <c r="AH28">
        <f t="shared" si="37"/>
        <v>-1160704.4651966209</v>
      </c>
      <c r="AJ28">
        <f t="shared" si="20"/>
        <v>55000</v>
      </c>
      <c r="AK28">
        <f t="shared" si="21"/>
        <v>7.4125878576750006</v>
      </c>
      <c r="AL28">
        <v>1</v>
      </c>
      <c r="AM28">
        <f t="shared" si="22"/>
        <v>1.0502030069685002E-2</v>
      </c>
      <c r="AN28">
        <f t="shared" si="38"/>
        <v>54994.01241265022</v>
      </c>
      <c r="AO28">
        <f t="shared" si="39"/>
        <v>-570.13618415260771</v>
      </c>
      <c r="AQ28">
        <f t="shared" si="23"/>
        <v>3127.2587818312318</v>
      </c>
      <c r="AR28">
        <f t="shared" si="24"/>
        <v>-329.61307560501189</v>
      </c>
      <c r="AT28">
        <f t="shared" si="52"/>
        <v>-289984324.26793015</v>
      </c>
      <c r="AU28">
        <f t="shared" si="53"/>
        <v>-3639583171.1738753</v>
      </c>
      <c r="AV28">
        <f t="shared" si="42"/>
        <v>-1.6503035170441034</v>
      </c>
      <c r="AW28">
        <f t="shared" si="25"/>
        <v>172057332.7477136</v>
      </c>
      <c r="AX28">
        <f t="shared" si="26"/>
        <v>-32970055.307982251</v>
      </c>
      <c r="AY28">
        <f t="shared" si="50"/>
        <v>-0.18932744273022875</v>
      </c>
      <c r="BA28">
        <f t="shared" si="27"/>
        <v>20.841166208887913</v>
      </c>
      <c r="BB28">
        <f t="shared" si="43"/>
        <v>26.378440342371242</v>
      </c>
      <c r="BC28">
        <f t="shared" si="44"/>
        <v>-1.4609760743138747</v>
      </c>
      <c r="BD28">
        <f t="shared" si="28"/>
        <v>-263.70776312342639</v>
      </c>
      <c r="BF28">
        <f t="shared" si="29"/>
        <v>45.451687474645688</v>
      </c>
      <c r="BG28">
        <f t="shared" si="30"/>
        <v>-83.860725387164223</v>
      </c>
      <c r="BH28">
        <f t="shared" si="45"/>
        <v>96.139274612835777</v>
      </c>
      <c r="BI28">
        <f t="shared" si="46"/>
        <v>96.139274612835777</v>
      </c>
      <c r="BJ28">
        <f t="shared" si="31"/>
        <v>0</v>
      </c>
      <c r="BK28">
        <f t="shared" si="47"/>
        <v>0</v>
      </c>
      <c r="BM28">
        <f t="shared" si="48"/>
        <v>19.073247132274446</v>
      </c>
      <c r="BN28">
        <f t="shared" si="32"/>
        <v>-0.15296226373783126</v>
      </c>
      <c r="BQ28" s="75">
        <f t="shared" si="49"/>
        <v>43.280401142656387</v>
      </c>
      <c r="BR28" s="77"/>
      <c r="BS28" s="77"/>
      <c r="BT28" s="77">
        <v>151.35599999999999</v>
      </c>
      <c r="BU28" s="77">
        <v>31.0519</v>
      </c>
      <c r="BV28" s="77">
        <v>-267.0283</v>
      </c>
      <c r="BW28" s="84"/>
      <c r="BY28" s="77"/>
      <c r="BZ28" s="77"/>
      <c r="CA28" s="77"/>
      <c r="CC28" s="77"/>
    </row>
    <row r="29" spans="1:81">
      <c r="A29">
        <f t="shared" si="51"/>
        <v>300</v>
      </c>
      <c r="B29">
        <f t="shared" si="33"/>
        <v>0.3</v>
      </c>
      <c r="C29">
        <f t="shared" si="0"/>
        <v>1.000000061460788</v>
      </c>
      <c r="D29">
        <f t="shared" si="1"/>
        <v>3.5060172537449444E-4</v>
      </c>
      <c r="F29">
        <f t="shared" si="2"/>
        <v>0.99877155898347025</v>
      </c>
      <c r="G29">
        <f t="shared" si="3"/>
        <v>-4.3556167235470665E-3</v>
      </c>
      <c r="H29">
        <f t="shared" si="4"/>
        <v>-4.3556167235470665E-3</v>
      </c>
      <c r="J29">
        <f t="shared" si="5"/>
        <v>9</v>
      </c>
      <c r="M29">
        <f t="shared" si="6"/>
        <v>14.069069629234855</v>
      </c>
      <c r="N29">
        <f t="shared" si="7"/>
        <v>-1.5707963250000001</v>
      </c>
      <c r="O29">
        <f t="shared" si="8"/>
        <v>1.00074398048313</v>
      </c>
      <c r="P29">
        <f t="shared" si="9"/>
        <v>3.8562145167909949E-2</v>
      </c>
      <c r="Q29">
        <f t="shared" si="10"/>
        <v>1.0001240715181619</v>
      </c>
      <c r="R29">
        <f t="shared" si="11"/>
        <v>1.5751742214868535E-2</v>
      </c>
      <c r="S29">
        <f t="shared" si="12"/>
        <v>0.99999997956536713</v>
      </c>
      <c r="T29">
        <f t="shared" si="13"/>
        <v>-2.0216148427343615E-4</v>
      </c>
      <c r="U29">
        <f t="shared" si="14"/>
        <v>0.99999995034563072</v>
      </c>
      <c r="V29">
        <f t="shared" si="15"/>
        <v>-3.1513289168351541E-4</v>
      </c>
      <c r="X29">
        <f t="shared" si="34"/>
        <v>42.047018366135838</v>
      </c>
      <c r="Y29">
        <f t="shared" si="16"/>
        <v>-87.147152721548153</v>
      </c>
      <c r="Z29">
        <f t="shared" si="35"/>
        <v>92.852847278451847</v>
      </c>
      <c r="AC29">
        <v>1</v>
      </c>
      <c r="AD29">
        <f t="shared" si="17"/>
        <v>3.8581271016120008E-2</v>
      </c>
      <c r="AE29">
        <f t="shared" si="18"/>
        <v>-4.0725430183838615E-10</v>
      </c>
      <c r="AF29">
        <f t="shared" si="19"/>
        <v>1.2923255525040001E-6</v>
      </c>
      <c r="AG29">
        <f t="shared" si="36"/>
        <v>29610.289945670964</v>
      </c>
      <c r="AH29">
        <f t="shared" si="37"/>
        <v>-773808.16078452009</v>
      </c>
      <c r="AJ29">
        <f t="shared" si="20"/>
        <v>55000</v>
      </c>
      <c r="AK29">
        <f t="shared" si="21"/>
        <v>11.118881786512501</v>
      </c>
      <c r="AL29">
        <v>1</v>
      </c>
      <c r="AM29">
        <f t="shared" si="22"/>
        <v>1.5753045104527501E-2</v>
      </c>
      <c r="AN29">
        <f t="shared" si="38"/>
        <v>54986.529785340026</v>
      </c>
      <c r="AO29">
        <f t="shared" si="39"/>
        <v>-855.08640206339385</v>
      </c>
      <c r="AQ29">
        <f t="shared" si="23"/>
        <v>3084.8912611440355</v>
      </c>
      <c r="AR29">
        <f t="shared" si="24"/>
        <v>-487.72130838687201</v>
      </c>
      <c r="AT29">
        <f t="shared" si="52"/>
        <v>-286058203.92492372</v>
      </c>
      <c r="AU29">
        <f t="shared" si="53"/>
        <v>-2401555602.3601222</v>
      </c>
      <c r="AV29">
        <f t="shared" si="42"/>
        <v>-1.6893514554356079</v>
      </c>
      <c r="AW29">
        <f t="shared" si="25"/>
        <v>169475137.5600566</v>
      </c>
      <c r="AX29">
        <f t="shared" si="26"/>
        <v>-38164923.786694095</v>
      </c>
      <c r="AY29">
        <f t="shared" si="50"/>
        <v>-0.2214998709614007</v>
      </c>
      <c r="BA29">
        <f t="shared" si="27"/>
        <v>13.922073063887938</v>
      </c>
      <c r="BB29">
        <f t="shared" si="43"/>
        <v>22.874078172693203</v>
      </c>
      <c r="BC29">
        <f t="shared" si="44"/>
        <v>-1.4678515844742073</v>
      </c>
      <c r="BD29">
        <f t="shared" si="28"/>
        <v>-264.10170083806292</v>
      </c>
      <c r="BF29">
        <f t="shared" si="29"/>
        <v>41.948252233056458</v>
      </c>
      <c r="BG29">
        <f t="shared" si="30"/>
        <v>-84.331171294607003</v>
      </c>
      <c r="BH29">
        <f t="shared" si="45"/>
        <v>95.668828705392997</v>
      </c>
      <c r="BI29">
        <f t="shared" si="46"/>
        <v>95.668828705392997</v>
      </c>
      <c r="BJ29">
        <f t="shared" si="31"/>
        <v>0</v>
      </c>
      <c r="BK29">
        <f t="shared" si="47"/>
        <v>0</v>
      </c>
      <c r="BM29">
        <f t="shared" si="48"/>
        <v>19.074174060363255</v>
      </c>
      <c r="BN29">
        <f t="shared" si="32"/>
        <v>-0.22947045654409171</v>
      </c>
      <c r="BQ29" s="75">
        <f t="shared" si="49"/>
        <v>39.776038972978334</v>
      </c>
      <c r="BR29" s="77"/>
      <c r="BS29" s="77"/>
      <c r="BT29" s="77">
        <v>154.88200000000001</v>
      </c>
      <c r="BU29" s="77">
        <v>31.248699999999999</v>
      </c>
      <c r="BV29" s="77">
        <v>-260.69729999999998</v>
      </c>
      <c r="BW29" s="84"/>
      <c r="BY29" s="77"/>
      <c r="BZ29" s="77"/>
      <c r="CA29" s="77"/>
      <c r="CC29" s="77"/>
    </row>
    <row r="30" spans="1:81">
      <c r="A30">
        <f t="shared" si="51"/>
        <v>400</v>
      </c>
      <c r="B30">
        <f t="shared" si="33"/>
        <v>0.4</v>
      </c>
      <c r="C30">
        <f t="shared" si="0"/>
        <v>1.0000001092636206</v>
      </c>
      <c r="D30">
        <f t="shared" si="1"/>
        <v>4.6746895226843329E-4</v>
      </c>
      <c r="F30">
        <f t="shared" si="2"/>
        <v>0.99892075917057788</v>
      </c>
      <c r="G30">
        <f t="shared" si="3"/>
        <v>-5.8083708030860449E-3</v>
      </c>
      <c r="H30">
        <f t="shared" si="4"/>
        <v>-5.8083708030860449E-3</v>
      </c>
      <c r="J30">
        <f t="shared" si="5"/>
        <v>9</v>
      </c>
      <c r="M30">
        <f t="shared" si="6"/>
        <v>10.551802221926142</v>
      </c>
      <c r="N30">
        <f t="shared" si="7"/>
        <v>-1.5707963250000001</v>
      </c>
      <c r="O30">
        <f t="shared" si="8"/>
        <v>1.0013222498039229</v>
      </c>
      <c r="P30">
        <f t="shared" si="9"/>
        <v>5.1396390771261735E-2</v>
      </c>
      <c r="Q30">
        <f t="shared" si="10"/>
        <v>1.0002205609476034</v>
      </c>
      <c r="R30">
        <f t="shared" si="11"/>
        <v>2.1000972165854906E-2</v>
      </c>
      <c r="S30">
        <f t="shared" si="12"/>
        <v>0.99999996367176469</v>
      </c>
      <c r="T30">
        <f t="shared" si="13"/>
        <v>-2.6954864284184875E-4</v>
      </c>
      <c r="U30">
        <f t="shared" si="14"/>
        <v>0.9999999117255709</v>
      </c>
      <c r="V30">
        <f t="shared" si="15"/>
        <v>-4.201771780931742E-4</v>
      </c>
      <c r="X30">
        <f t="shared" si="34"/>
        <v>39.555396561099599</v>
      </c>
      <c r="Y30">
        <f t="shared" si="16"/>
        <v>-86.197466164887572</v>
      </c>
      <c r="Z30">
        <f t="shared" si="35"/>
        <v>93.802533835112428</v>
      </c>
      <c r="AC30">
        <v>1</v>
      </c>
      <c r="AD30">
        <f t="shared" si="17"/>
        <v>5.1441694688160004E-2</v>
      </c>
      <c r="AE30">
        <f t="shared" si="18"/>
        <v>-7.2400764771268642E-10</v>
      </c>
      <c r="AF30">
        <f t="shared" si="19"/>
        <v>1.7231007366720001E-6</v>
      </c>
      <c r="AG30">
        <f t="shared" si="36"/>
        <v>29610.287658568541</v>
      </c>
      <c r="AH30">
        <f t="shared" si="37"/>
        <v>-580361.56377378083</v>
      </c>
      <c r="AJ30">
        <f t="shared" si="20"/>
        <v>55000</v>
      </c>
      <c r="AK30">
        <f t="shared" si="21"/>
        <v>14.825175715350001</v>
      </c>
      <c r="AL30">
        <v>1</v>
      </c>
      <c r="AM30">
        <f t="shared" si="22"/>
        <v>2.1004060139370003E-2</v>
      </c>
      <c r="AN30">
        <f t="shared" si="38"/>
        <v>54976.057571747755</v>
      </c>
      <c r="AO30">
        <f t="shared" si="39"/>
        <v>-1139.8952437471075</v>
      </c>
      <c r="AQ30">
        <f t="shared" si="23"/>
        <v>3027.469430792853</v>
      </c>
      <c r="AR30">
        <f t="shared" si="24"/>
        <v>-638.19055601113348</v>
      </c>
      <c r="AT30">
        <f t="shared" si="52"/>
        <v>-280737028.34898096</v>
      </c>
      <c r="AU30">
        <f t="shared" si="53"/>
        <v>-1775923899.0767298</v>
      </c>
      <c r="AV30">
        <f t="shared" si="42"/>
        <v>-1.7275783941382694</v>
      </c>
      <c r="AW30">
        <f t="shared" si="25"/>
        <v>165975533.8952859</v>
      </c>
      <c r="AX30">
        <f t="shared" si="26"/>
        <v>-45070106.931461491</v>
      </c>
      <c r="AY30">
        <f t="shared" si="50"/>
        <v>-0.26515287056325931</v>
      </c>
      <c r="BA30">
        <f t="shared" si="27"/>
        <v>10.454200378483366</v>
      </c>
      <c r="BB30">
        <f t="shared" si="43"/>
        <v>20.385816401623792</v>
      </c>
      <c r="BC30">
        <f t="shared" si="44"/>
        <v>-1.4624255235750101</v>
      </c>
      <c r="BD30">
        <f t="shared" si="28"/>
        <v>-263.79081044880274</v>
      </c>
      <c r="BF30">
        <f t="shared" si="29"/>
        <v>39.46128831059049</v>
      </c>
      <c r="BG30">
        <f t="shared" si="30"/>
        <v>-84.096821583997837</v>
      </c>
      <c r="BH30">
        <f t="shared" si="45"/>
        <v>95.903178416002163</v>
      </c>
      <c r="BI30">
        <f t="shared" si="46"/>
        <v>95.903178416002163</v>
      </c>
      <c r="BJ30">
        <f t="shared" si="31"/>
        <v>0</v>
      </c>
      <c r="BK30">
        <f t="shared" si="47"/>
        <v>0</v>
      </c>
      <c r="BM30">
        <f t="shared" si="48"/>
        <v>19.075471908966698</v>
      </c>
      <c r="BN30">
        <f t="shared" si="32"/>
        <v>-0.3060111351951279</v>
      </c>
      <c r="BQ30" s="75">
        <f t="shared" si="49"/>
        <v>37.287777201908931</v>
      </c>
      <c r="BR30" s="77"/>
      <c r="BS30" s="77"/>
      <c r="BT30" s="77">
        <v>158.489</v>
      </c>
      <c r="BU30" s="77">
        <v>31.003699999999998</v>
      </c>
      <c r="BV30" s="77">
        <v>-259.86900000000003</v>
      </c>
      <c r="BW30" s="84"/>
      <c r="BY30" s="77"/>
      <c r="BZ30" s="77"/>
      <c r="CA30" s="77"/>
      <c r="CC30" s="77"/>
    </row>
    <row r="31" spans="1:81">
      <c r="A31">
        <f t="shared" si="51"/>
        <v>500</v>
      </c>
      <c r="B31">
        <f t="shared" si="33"/>
        <v>0.5</v>
      </c>
      <c r="C31">
        <f t="shared" si="0"/>
        <v>1.0000001707244019</v>
      </c>
      <c r="D31">
        <f t="shared" si="1"/>
        <v>5.8433616639303875E-4</v>
      </c>
      <c r="F31">
        <f t="shared" si="2"/>
        <v>0.99911265017592821</v>
      </c>
      <c r="G31">
        <f t="shared" si="3"/>
        <v>-7.2618812200013014E-3</v>
      </c>
      <c r="H31">
        <f t="shared" si="4"/>
        <v>-7.2618812200013014E-3</v>
      </c>
      <c r="J31">
        <f t="shared" si="5"/>
        <v>9</v>
      </c>
      <c r="M31">
        <f t="shared" si="6"/>
        <v>8.4414417775409145</v>
      </c>
      <c r="N31">
        <f t="shared" si="7"/>
        <v>-1.5707963250000001</v>
      </c>
      <c r="O31">
        <f t="shared" si="8"/>
        <v>1.0020652485869417</v>
      </c>
      <c r="P31">
        <f t="shared" si="9"/>
        <v>6.4213712917121052E-2</v>
      </c>
      <c r="Q31">
        <f t="shared" si="10"/>
        <v>1.0003446051098608</v>
      </c>
      <c r="R31">
        <f t="shared" si="11"/>
        <v>2.6249044873469286E-2</v>
      </c>
      <c r="S31">
        <f t="shared" si="12"/>
        <v>0.99999994323713415</v>
      </c>
      <c r="T31">
        <f t="shared" si="13"/>
        <v>-3.3693579896220495E-4</v>
      </c>
      <c r="U31">
        <f t="shared" si="14"/>
        <v>0.99999986207121461</v>
      </c>
      <c r="V31">
        <f t="shared" si="15"/>
        <v>-5.2522145523010955E-4</v>
      </c>
      <c r="X31">
        <f t="shared" si="34"/>
        <v>37.626384433555714</v>
      </c>
      <c r="Y31">
        <f t="shared" si="16"/>
        <v>-85.248858891078015</v>
      </c>
      <c r="Z31">
        <f t="shared" si="35"/>
        <v>94.751141108921985</v>
      </c>
      <c r="AC31">
        <v>1</v>
      </c>
      <c r="AD31">
        <f t="shared" si="17"/>
        <v>6.43021183602E-2</v>
      </c>
      <c r="AE31">
        <f t="shared" si="18"/>
        <v>-1.1312619495510726E-9</v>
      </c>
      <c r="AF31">
        <f t="shared" si="19"/>
        <v>2.1538759208400002E-6</v>
      </c>
      <c r="AG31">
        <f t="shared" si="36"/>
        <v>29610.284718008821</v>
      </c>
      <c r="AH31">
        <f t="shared" si="37"/>
        <v>-464294.84972300968</v>
      </c>
      <c r="AJ31">
        <f t="shared" si="20"/>
        <v>55000</v>
      </c>
      <c r="AK31">
        <f t="shared" si="21"/>
        <v>18.531469644187503</v>
      </c>
      <c r="AL31">
        <v>1</v>
      </c>
      <c r="AM31">
        <f t="shared" si="22"/>
        <v>2.6255075174212501E-2</v>
      </c>
      <c r="AN31">
        <f t="shared" si="38"/>
        <v>54962.599233078632</v>
      </c>
      <c r="AO31">
        <f t="shared" si="39"/>
        <v>-1424.5157049904064</v>
      </c>
      <c r="AQ31">
        <f t="shared" si="23"/>
        <v>2956.7090388381312</v>
      </c>
      <c r="AR31">
        <f t="shared" si="24"/>
        <v>-779.09283173384756</v>
      </c>
      <c r="AT31">
        <f t="shared" si="52"/>
        <v>-274179792.76183355</v>
      </c>
      <c r="AU31">
        <f t="shared" si="53"/>
        <v>-1395853939.4314134</v>
      </c>
      <c r="AV31">
        <f t="shared" si="42"/>
        <v>-1.7647514715433334</v>
      </c>
      <c r="AW31">
        <f t="shared" si="25"/>
        <v>161663195.85627857</v>
      </c>
      <c r="AX31">
        <f t="shared" si="26"/>
        <v>-52262211.787490249</v>
      </c>
      <c r="AY31">
        <f t="shared" si="50"/>
        <v>-0.31267394156705702</v>
      </c>
      <c r="BA31">
        <f t="shared" si="27"/>
        <v>8.372684353747351</v>
      </c>
      <c r="BB31">
        <f t="shared" si="43"/>
        <v>18.457294376393946</v>
      </c>
      <c r="BC31">
        <f t="shared" si="44"/>
        <v>-1.4520775299762765</v>
      </c>
      <c r="BD31">
        <f t="shared" si="28"/>
        <v>-263.19791408848937</v>
      </c>
      <c r="BF31">
        <f t="shared" si="29"/>
        <v>37.534435203817061</v>
      </c>
      <c r="BG31">
        <f t="shared" si="30"/>
        <v>-83.580509238006783</v>
      </c>
      <c r="BH31">
        <f t="shared" si="45"/>
        <v>96.419490761993217</v>
      </c>
      <c r="BI31">
        <f t="shared" si="46"/>
        <v>96.419490761993217</v>
      </c>
      <c r="BJ31">
        <f t="shared" si="31"/>
        <v>0</v>
      </c>
      <c r="BK31">
        <f t="shared" si="47"/>
        <v>0</v>
      </c>
      <c r="BM31">
        <f t="shared" si="48"/>
        <v>19.077140827423115</v>
      </c>
      <c r="BN31">
        <f t="shared" si="32"/>
        <v>-0.38259514951739121</v>
      </c>
      <c r="BQ31" s="75">
        <f t="shared" si="49"/>
        <v>35.359255176679078</v>
      </c>
      <c r="BR31" s="77"/>
      <c r="BS31" s="77"/>
      <c r="BT31" s="77">
        <v>162.18100000000001</v>
      </c>
      <c r="BU31" s="77">
        <v>30.429300000000001</v>
      </c>
      <c r="BV31" s="77">
        <v>-262.39859999999999</v>
      </c>
      <c r="BW31" s="84"/>
      <c r="BY31" s="77"/>
      <c r="BZ31" s="77"/>
      <c r="CA31" s="77"/>
      <c r="CC31" s="77"/>
    </row>
    <row r="32" spans="1:81">
      <c r="A32">
        <f t="shared" si="51"/>
        <v>600</v>
      </c>
      <c r="B32">
        <f t="shared" si="33"/>
        <v>0.6</v>
      </c>
      <c r="C32">
        <f t="shared" si="0"/>
        <v>1.0000002458431296</v>
      </c>
      <c r="D32">
        <f t="shared" si="1"/>
        <v>7.0120336455598118E-4</v>
      </c>
      <c r="F32">
        <f t="shared" si="2"/>
        <v>0.99934727869346174</v>
      </c>
      <c r="G32">
        <f t="shared" si="3"/>
        <v>-8.7163376540236696E-3</v>
      </c>
      <c r="H32">
        <f t="shared" si="4"/>
        <v>-8.7163376540236696E-3</v>
      </c>
      <c r="J32">
        <f t="shared" si="5"/>
        <v>9</v>
      </c>
      <c r="M32">
        <f t="shared" si="6"/>
        <v>7.0345348146174276</v>
      </c>
      <c r="N32">
        <f t="shared" si="7"/>
        <v>-1.5707963250000001</v>
      </c>
      <c r="O32">
        <f t="shared" si="8"/>
        <v>1.0029726107391355</v>
      </c>
      <c r="P32">
        <f t="shared" si="9"/>
        <v>7.7009943396935607E-2</v>
      </c>
      <c r="Q32">
        <f t="shared" si="10"/>
        <v>1.0004961937560088</v>
      </c>
      <c r="R32">
        <f t="shared" si="11"/>
        <v>3.1495671744204784E-2</v>
      </c>
      <c r="S32">
        <f t="shared" si="12"/>
        <v>0.99999991826147627</v>
      </c>
      <c r="T32">
        <f t="shared" si="13"/>
        <v>-4.0432295202249083E-4</v>
      </c>
      <c r="U32">
        <f t="shared" si="14"/>
        <v>0.99999980138256717</v>
      </c>
      <c r="V32">
        <f t="shared" si="15"/>
        <v>-6.3026572077614273E-4</v>
      </c>
      <c r="X32">
        <f t="shared" si="34"/>
        <v>36.053976523511515</v>
      </c>
      <c r="Y32">
        <f t="shared" si="16"/>
        <v>-84.301597123930975</v>
      </c>
      <c r="Z32">
        <f t="shared" si="35"/>
        <v>95.698402876069025</v>
      </c>
      <c r="AC32">
        <v>1</v>
      </c>
      <c r="AD32">
        <f t="shared" si="17"/>
        <v>7.7162542032240017E-2</v>
      </c>
      <c r="AE32">
        <f t="shared" si="18"/>
        <v>-1.6290172073535446E-9</v>
      </c>
      <c r="AF32">
        <f t="shared" si="19"/>
        <v>2.5846511050080002E-6</v>
      </c>
      <c r="AG32">
        <f t="shared" si="36"/>
        <v>29610.281123992172</v>
      </c>
      <c r="AH32">
        <f t="shared" si="37"/>
        <v>-386918.07715160464</v>
      </c>
      <c r="AJ32">
        <f t="shared" si="20"/>
        <v>55000</v>
      </c>
      <c r="AK32">
        <f t="shared" si="21"/>
        <v>22.237763573025003</v>
      </c>
      <c r="AL32">
        <v>1</v>
      </c>
      <c r="AM32">
        <f t="shared" si="22"/>
        <v>3.1506090209055003E-2</v>
      </c>
      <c r="AN32">
        <f t="shared" si="38"/>
        <v>54946.159214549989</v>
      </c>
      <c r="AO32">
        <f t="shared" si="39"/>
        <v>-1708.9008852816855</v>
      </c>
      <c r="AQ32">
        <f t="shared" si="23"/>
        <v>2874.5913434763556</v>
      </c>
      <c r="AR32">
        <f t="shared" si="24"/>
        <v>-908.94578280722374</v>
      </c>
      <c r="AT32">
        <f t="shared" si="52"/>
        <v>-266570096.72190183</v>
      </c>
      <c r="AU32">
        <f t="shared" si="53"/>
        <v>-1139145495.3699086</v>
      </c>
      <c r="AV32">
        <f t="shared" si="42"/>
        <v>-1.8006687762534366</v>
      </c>
      <c r="AW32">
        <f t="shared" si="25"/>
        <v>156658995.59391099</v>
      </c>
      <c r="AX32">
        <f t="shared" si="26"/>
        <v>-59215556.530779004</v>
      </c>
      <c r="AY32">
        <f t="shared" si="50"/>
        <v>-0.36138958710269664</v>
      </c>
      <c r="BA32">
        <f t="shared" si="27"/>
        <v>6.9855571629688518</v>
      </c>
      <c r="BB32">
        <f t="shared" si="43"/>
        <v>16.884021016886187</v>
      </c>
      <c r="BC32">
        <f t="shared" si="44"/>
        <v>-1.4392791891507399</v>
      </c>
      <c r="BD32">
        <f t="shared" si="28"/>
        <v>-262.46462317357827</v>
      </c>
      <c r="BF32">
        <f t="shared" si="29"/>
        <v>35.963202024709787</v>
      </c>
      <c r="BG32">
        <f t="shared" si="30"/>
        <v>-82.923856541120102</v>
      </c>
      <c r="BH32">
        <f t="shared" si="45"/>
        <v>97.076143458879898</v>
      </c>
      <c r="BI32">
        <f t="shared" si="46"/>
        <v>97.076143458879898</v>
      </c>
      <c r="BJ32">
        <f t="shared" si="31"/>
        <v>0</v>
      </c>
      <c r="BK32">
        <f t="shared" si="47"/>
        <v>0</v>
      </c>
      <c r="BM32">
        <f t="shared" si="48"/>
        <v>19.079181007823603</v>
      </c>
      <c r="BN32">
        <f t="shared" si="32"/>
        <v>-0.45923336754183702</v>
      </c>
      <c r="BQ32" s="75">
        <f t="shared" si="49"/>
        <v>33.785981817171319</v>
      </c>
      <c r="BR32" s="77"/>
      <c r="BS32" s="77"/>
      <c r="BT32" s="77">
        <v>165.959</v>
      </c>
      <c r="BU32" s="77">
        <v>29.9194</v>
      </c>
      <c r="BV32" s="77">
        <v>-264.8295</v>
      </c>
      <c r="BW32" s="84"/>
      <c r="BY32" s="77"/>
      <c r="BZ32" s="77"/>
      <c r="CA32" s="77"/>
      <c r="CC32" s="77"/>
    </row>
    <row r="33" spans="1:81">
      <c r="A33">
        <f t="shared" si="51"/>
        <v>700</v>
      </c>
      <c r="B33">
        <f t="shared" si="33"/>
        <v>0.7</v>
      </c>
      <c r="C33">
        <f t="shared" si="0"/>
        <v>1.0000003346198003</v>
      </c>
      <c r="D33">
        <f t="shared" si="1"/>
        <v>8.1807054356493401E-4</v>
      </c>
      <c r="F33">
        <f t="shared" si="2"/>
        <v>0.9996247018479707</v>
      </c>
      <c r="G33">
        <f t="shared" si="3"/>
        <v>-1.0171930182551364E-2</v>
      </c>
      <c r="H33">
        <f t="shared" si="4"/>
        <v>-1.0171930182551364E-2</v>
      </c>
      <c r="J33">
        <f t="shared" si="5"/>
        <v>9</v>
      </c>
      <c r="M33">
        <f t="shared" si="6"/>
        <v>6.0296012696720807</v>
      </c>
      <c r="N33">
        <f t="shared" si="7"/>
        <v>-1.5707963250000001</v>
      </c>
      <c r="O33">
        <f t="shared" si="8"/>
        <v>1.0040438906512972</v>
      </c>
      <c r="P33">
        <f t="shared" si="9"/>
        <v>8.9780955319986658E-2</v>
      </c>
      <c r="Q33">
        <f t="shared" si="10"/>
        <v>1.0006753143682077</v>
      </c>
      <c r="R33">
        <f t="shared" si="11"/>
        <v>3.6740564661909329E-2</v>
      </c>
      <c r="S33">
        <f t="shared" si="12"/>
        <v>0.99999988874479218</v>
      </c>
      <c r="T33">
        <f t="shared" si="13"/>
        <v>-4.7171010141069269E-4</v>
      </c>
      <c r="U33">
        <f t="shared" si="14"/>
        <v>0.99999972965963435</v>
      </c>
      <c r="V33">
        <f t="shared" si="15"/>
        <v>-7.3530997241309684E-4</v>
      </c>
      <c r="X33">
        <f t="shared" si="34"/>
        <v>34.72827892962659</v>
      </c>
      <c r="Y33">
        <f t="shared" si="16"/>
        <v>-83.355944715354653</v>
      </c>
      <c r="Z33">
        <f t="shared" si="35"/>
        <v>96.644055284645347</v>
      </c>
      <c r="AC33">
        <v>1</v>
      </c>
      <c r="AD33">
        <f t="shared" si="17"/>
        <v>9.002296570428002E-2</v>
      </c>
      <c r="AE33">
        <f t="shared" si="18"/>
        <v>-2.2172734211201027E-9</v>
      </c>
      <c r="AF33">
        <f t="shared" si="19"/>
        <v>3.0154262891759998E-6</v>
      </c>
      <c r="AG33">
        <f t="shared" si="36"/>
        <v>29610.276876519085</v>
      </c>
      <c r="AH33">
        <f t="shared" si="37"/>
        <v>-331649.84256776172</v>
      </c>
      <c r="AJ33">
        <f t="shared" si="20"/>
        <v>55000</v>
      </c>
      <c r="AK33">
        <f t="shared" si="21"/>
        <v>25.944057501862503</v>
      </c>
      <c r="AL33">
        <v>1</v>
      </c>
      <c r="AM33">
        <f t="shared" si="22"/>
        <v>3.6757105243897505E-2</v>
      </c>
      <c r="AN33">
        <f t="shared" si="38"/>
        <v>54926.742941723838</v>
      </c>
      <c r="AO33">
        <f t="shared" si="39"/>
        <v>-1993.0040135115851</v>
      </c>
      <c r="AQ33">
        <f t="shared" si="23"/>
        <v>2783.2370368820543</v>
      </c>
      <c r="AR33">
        <f t="shared" si="24"/>
        <v>-1026.7361429057898</v>
      </c>
      <c r="AT33">
        <f t="shared" si="52"/>
        <v>-258104460.87827593</v>
      </c>
      <c r="AU33">
        <f t="shared" si="53"/>
        <v>-953462066.58126664</v>
      </c>
      <c r="AV33">
        <f t="shared" si="42"/>
        <v>-1.8351627110575803</v>
      </c>
      <c r="AW33">
        <f t="shared" si="25"/>
        <v>151092311.58491164</v>
      </c>
      <c r="AX33">
        <f t="shared" si="26"/>
        <v>-65681798.626784593</v>
      </c>
      <c r="AY33">
        <f t="shared" si="50"/>
        <v>-0.41006883355316281</v>
      </c>
      <c r="BA33">
        <f t="shared" si="27"/>
        <v>5.9955784279174713</v>
      </c>
      <c r="BB33">
        <f t="shared" si="43"/>
        <v>15.556621766827806</v>
      </c>
      <c r="BC33">
        <f t="shared" si="44"/>
        <v>-1.4250938775044175</v>
      </c>
      <c r="BD33">
        <f t="shared" si="28"/>
        <v>-261.65186468423752</v>
      </c>
      <c r="BF33">
        <f t="shared" si="29"/>
        <v>34.638214451903345</v>
      </c>
      <c r="BG33">
        <f t="shared" si="30"/>
        <v>-82.187801364321587</v>
      </c>
      <c r="BH33">
        <f t="shared" si="45"/>
        <v>97.812198635678413</v>
      </c>
      <c r="BI33">
        <f t="shared" si="46"/>
        <v>97.812198635678413</v>
      </c>
      <c r="BJ33">
        <f t="shared" si="31"/>
        <v>0</v>
      </c>
      <c r="BK33">
        <f t="shared" si="47"/>
        <v>0</v>
      </c>
      <c r="BM33">
        <f t="shared" si="48"/>
        <v>19.081592685075538</v>
      </c>
      <c r="BN33">
        <f t="shared" si="32"/>
        <v>-0.53593668008408324</v>
      </c>
      <c r="BQ33" s="75">
        <f t="shared" si="49"/>
        <v>32.458582567112941</v>
      </c>
      <c r="BR33" s="77"/>
      <c r="BS33" s="77"/>
      <c r="BT33" s="77">
        <v>169.82400000000001</v>
      </c>
      <c r="BU33" s="77">
        <v>29.808900000000001</v>
      </c>
      <c r="BV33" s="77">
        <v>-267.72770000000003</v>
      </c>
      <c r="BW33" s="84"/>
      <c r="BY33" s="77"/>
      <c r="BZ33" s="77"/>
      <c r="CA33" s="77"/>
      <c r="CC33" s="77"/>
    </row>
    <row r="34" spans="1:81">
      <c r="A34">
        <f t="shared" si="51"/>
        <v>800</v>
      </c>
      <c r="B34">
        <f t="shared" si="33"/>
        <v>0.8</v>
      </c>
      <c r="C34">
        <f t="shared" si="0"/>
        <v>1.0000004370544109</v>
      </c>
      <c r="D34">
        <f t="shared" si="1"/>
        <v>9.3493770022757346E-4</v>
      </c>
      <c r="F34">
        <f t="shared" si="2"/>
        <v>0.99994498722783443</v>
      </c>
      <c r="G34">
        <f t="shared" si="3"/>
        <v>-1.162884936092771E-2</v>
      </c>
      <c r="H34">
        <f t="shared" si="4"/>
        <v>-1.162884936092771E-2</v>
      </c>
      <c r="J34">
        <f t="shared" si="5"/>
        <v>9</v>
      </c>
      <c r="M34">
        <f t="shared" si="6"/>
        <v>5.2759011109630709</v>
      </c>
      <c r="N34">
        <f t="shared" si="7"/>
        <v>-1.5707963250000001</v>
      </c>
      <c r="O34">
        <f t="shared" si="8"/>
        <v>1.0052785642843278</v>
      </c>
      <c r="P34">
        <f t="shared" si="9"/>
        <v>0.10252267092964144</v>
      </c>
      <c r="Q34">
        <f t="shared" si="10"/>
        <v>1.000881952164866</v>
      </c>
      <c r="R34">
        <f t="shared" si="11"/>
        <v>4.1983436082389115E-2</v>
      </c>
      <c r="S34">
        <f t="shared" si="12"/>
        <v>0.99999985468708297</v>
      </c>
      <c r="T34">
        <f t="shared" si="13"/>
        <v>-5.3909724651479696E-4</v>
      </c>
      <c r="U34">
        <f t="shared" si="14"/>
        <v>0.99999964690242338</v>
      </c>
      <c r="V34">
        <f t="shared" si="15"/>
        <v>-8.4035420782279638E-4</v>
      </c>
      <c r="X34">
        <f t="shared" si="34"/>
        <v>33.583690348076573</v>
      </c>
      <c r="Y34">
        <f t="shared" si="16"/>
        <v>-82.412162696695034</v>
      </c>
      <c r="Z34">
        <f t="shared" si="35"/>
        <v>97.587837303304966</v>
      </c>
      <c r="AC34">
        <v>1</v>
      </c>
      <c r="AD34">
        <f t="shared" si="17"/>
        <v>0.10288338937632001</v>
      </c>
      <c r="AE34">
        <f t="shared" si="18"/>
        <v>-2.8960305908507457E-9</v>
      </c>
      <c r="AF34">
        <f t="shared" si="19"/>
        <v>3.4462014733440003E-6</v>
      </c>
      <c r="AG34">
        <f t="shared" si="36"/>
        <v>29610.271975590094</v>
      </c>
      <c r="AH34">
        <f t="shared" si="37"/>
        <v>-290199.44422547577</v>
      </c>
      <c r="AJ34">
        <f t="shared" si="20"/>
        <v>55000</v>
      </c>
      <c r="AK34">
        <f t="shared" si="21"/>
        <v>29.650351430700002</v>
      </c>
      <c r="AL34">
        <v>1</v>
      </c>
      <c r="AM34">
        <f t="shared" si="22"/>
        <v>4.2008120278740006E-2</v>
      </c>
      <c r="AN34">
        <f t="shared" si="38"/>
        <v>54904.356816036146</v>
      </c>
      <c r="AO34">
        <f t="shared" si="39"/>
        <v>-2276.7784735242049</v>
      </c>
      <c r="AQ34">
        <f t="shared" si="23"/>
        <v>2684.7881432147851</v>
      </c>
      <c r="AR34">
        <f t="shared" si="24"/>
        <v>-1131.9066811793534</v>
      </c>
      <c r="AT34">
        <f t="shared" si="52"/>
        <v>-248981382.67592186</v>
      </c>
      <c r="AU34">
        <f t="shared" si="53"/>
        <v>-812640091.70478582</v>
      </c>
      <c r="AV34">
        <f t="shared" si="42"/>
        <v>-1.8681013058812284</v>
      </c>
      <c r="AW34">
        <f t="shared" si="25"/>
        <v>145093823.40222371</v>
      </c>
      <c r="AX34">
        <f t="shared" si="26"/>
        <v>-71533687.94452177</v>
      </c>
      <c r="AY34">
        <f t="shared" si="50"/>
        <v>-0.45804543373804246</v>
      </c>
      <c r="BA34">
        <f t="shared" si="27"/>
        <v>5.2539460724100167</v>
      </c>
      <c r="BB34">
        <f t="shared" si="43"/>
        <v>14.409712215689465</v>
      </c>
      <c r="BC34">
        <f t="shared" si="44"/>
        <v>-1.410055872143186</v>
      </c>
      <c r="BD34">
        <f t="shared" si="28"/>
        <v>-260.79025044375931</v>
      </c>
      <c r="BF34">
        <f t="shared" si="29"/>
        <v>33.494088352669806</v>
      </c>
      <c r="BG34">
        <f t="shared" si="30"/>
        <v>-81.402966449103275</v>
      </c>
      <c r="BH34">
        <f t="shared" si="45"/>
        <v>98.597033550896725</v>
      </c>
      <c r="BI34">
        <f t="shared" si="46"/>
        <v>98.597033550896725</v>
      </c>
      <c r="BJ34">
        <f t="shared" si="31"/>
        <v>0</v>
      </c>
      <c r="BK34">
        <f t="shared" si="47"/>
        <v>0</v>
      </c>
      <c r="BM34">
        <f t="shared" si="48"/>
        <v>19.084376136980339</v>
      </c>
      <c r="BN34">
        <f t="shared" si="32"/>
        <v>-0.61271600534398507</v>
      </c>
      <c r="BQ34" s="75">
        <f t="shared" si="49"/>
        <v>31.311673015974606</v>
      </c>
      <c r="BR34" s="77"/>
      <c r="BS34" s="77"/>
      <c r="BT34" s="77">
        <v>173.78</v>
      </c>
      <c r="BU34" s="77">
        <v>30.070900000000002</v>
      </c>
      <c r="BV34" s="77">
        <v>-269.952</v>
      </c>
      <c r="BW34" s="84"/>
      <c r="BY34" s="77"/>
      <c r="BZ34" s="77"/>
      <c r="CA34" s="77"/>
      <c r="CC34" s="77"/>
    </row>
    <row r="35" spans="1:81">
      <c r="A35">
        <f t="shared" si="51"/>
        <v>900</v>
      </c>
      <c r="B35">
        <f t="shared" si="33"/>
        <v>0.9</v>
      </c>
      <c r="C35">
        <f t="shared" si="0"/>
        <v>1.0000005531469567</v>
      </c>
      <c r="D35">
        <f t="shared" si="1"/>
        <v>1.0518048313515795E-3</v>
      </c>
      <c r="F35">
        <f t="shared" si="2"/>
        <v>1.0003082129237839</v>
      </c>
      <c r="G35">
        <f t="shared" si="3"/>
        <v>-1.30872863031265E-2</v>
      </c>
      <c r="H35">
        <f t="shared" si="4"/>
        <v>-1.30872863031265E-2</v>
      </c>
      <c r="J35">
        <f t="shared" si="5"/>
        <v>9</v>
      </c>
      <c r="M35">
        <f t="shared" si="6"/>
        <v>4.6896898764116184</v>
      </c>
      <c r="N35">
        <f t="shared" si="7"/>
        <v>-1.5707963250000001</v>
      </c>
      <c r="O35">
        <f t="shared" si="8"/>
        <v>1.0066760304382805</v>
      </c>
      <c r="P35">
        <f t="shared" si="9"/>
        <v>0.11523106918239169</v>
      </c>
      <c r="Q35">
        <f t="shared" si="10"/>
        <v>1.0011160901067304</v>
      </c>
      <c r="R35">
        <f t="shared" si="11"/>
        <v>4.7223999127541112E-2</v>
      </c>
      <c r="S35">
        <f t="shared" si="12"/>
        <v>0.99999981608834998</v>
      </c>
      <c r="T35">
        <f t="shared" si="13"/>
        <v>-6.0648438672279063E-4</v>
      </c>
      <c r="U35">
        <f t="shared" si="14"/>
        <v>0.99999955311094257</v>
      </c>
      <c r="V35">
        <f t="shared" si="15"/>
        <v>-9.4539842468706868E-4</v>
      </c>
      <c r="X35">
        <f t="shared" si="34"/>
        <v>32.577892079176308</v>
      </c>
      <c r="Y35">
        <f t="shared" si="16"/>
        <v>-81.470508843718278</v>
      </c>
      <c r="Z35">
        <f t="shared" si="35"/>
        <v>98.529491156281722</v>
      </c>
      <c r="AC35">
        <v>1</v>
      </c>
      <c r="AD35">
        <f t="shared" si="17"/>
        <v>0.11574381304836003</v>
      </c>
      <c r="AE35">
        <f t="shared" si="18"/>
        <v>-3.6652887165454757E-9</v>
      </c>
      <c r="AF35">
        <f t="shared" si="19"/>
        <v>3.8769766575120007E-6</v>
      </c>
      <c r="AG35">
        <f t="shared" si="36"/>
        <v>29610.266421205877</v>
      </c>
      <c r="AH35">
        <f t="shared" si="37"/>
        <v>-257960.93671020813</v>
      </c>
      <c r="AJ35">
        <f t="shared" si="20"/>
        <v>55000</v>
      </c>
      <c r="AK35">
        <f t="shared" si="21"/>
        <v>33.356645359537502</v>
      </c>
      <c r="AL35">
        <v>1</v>
      </c>
      <c r="AM35">
        <f t="shared" si="22"/>
        <v>4.7259135313582508E-2</v>
      </c>
      <c r="AN35">
        <f t="shared" si="38"/>
        <v>54879.008209529311</v>
      </c>
      <c r="AO35">
        <f t="shared" si="39"/>
        <v>-2560.1778294898136</v>
      </c>
      <c r="AQ35">
        <f t="shared" si="23"/>
        <v>2581.3077448726531</v>
      </c>
      <c r="AR35">
        <f t="shared" si="24"/>
        <v>-1224.3142633930993</v>
      </c>
      <c r="AT35">
        <f t="shared" si="52"/>
        <v>-239392044.17175096</v>
      </c>
      <c r="AU35">
        <f t="shared" si="53"/>
        <v>-702128835.32701659</v>
      </c>
      <c r="AV35">
        <f t="shared" si="42"/>
        <v>-1.8993877003582305</v>
      </c>
      <c r="AW35">
        <f t="shared" si="25"/>
        <v>138789394.1610879</v>
      </c>
      <c r="AX35">
        <f t="shared" si="26"/>
        <v>-76710691.232910573</v>
      </c>
      <c r="AY35">
        <f t="shared" si="50"/>
        <v>-0.50492368020797096</v>
      </c>
      <c r="BA35">
        <f t="shared" si="27"/>
        <v>4.6779314837306858</v>
      </c>
      <c r="BB35">
        <f t="shared" si="43"/>
        <v>13.401077130755555</v>
      </c>
      <c r="BC35">
        <f t="shared" si="44"/>
        <v>-1.3944640201502594</v>
      </c>
      <c r="BD35">
        <f t="shared" si="28"/>
        <v>-259.89690312875115</v>
      </c>
      <c r="BF35">
        <f t="shared" si="29"/>
        <v>32.488608815080966</v>
      </c>
      <c r="BG35">
        <f t="shared" si="30"/>
        <v>-80.586485422279722</v>
      </c>
      <c r="BH35">
        <f t="shared" si="45"/>
        <v>99.413514577720278</v>
      </c>
      <c r="BI35">
        <f t="shared" si="46"/>
        <v>99.413514577720278</v>
      </c>
      <c r="BJ35">
        <f t="shared" si="31"/>
        <v>0</v>
      </c>
      <c r="BK35">
        <f t="shared" si="47"/>
        <v>0</v>
      </c>
      <c r="BM35">
        <f t="shared" si="48"/>
        <v>19.087531684325413</v>
      </c>
      <c r="BN35">
        <f t="shared" si="32"/>
        <v>-0.68958229352856604</v>
      </c>
      <c r="BQ35" s="75">
        <f t="shared" si="49"/>
        <v>30.303037931040691</v>
      </c>
      <c r="BR35" s="77"/>
      <c r="BS35" s="77"/>
      <c r="BT35" s="77">
        <v>177.828</v>
      </c>
      <c r="BU35" s="77">
        <v>29.720099999999999</v>
      </c>
      <c r="BV35" s="77">
        <v>-271.56010000000003</v>
      </c>
      <c r="BW35" s="84"/>
      <c r="BY35" s="77"/>
      <c r="BZ35" s="77"/>
      <c r="CA35" s="77"/>
      <c r="CC35" s="77"/>
    </row>
    <row r="36" spans="1:81">
      <c r="A36">
        <f t="shared" si="51"/>
        <v>1000</v>
      </c>
      <c r="B36">
        <f t="shared" si="33"/>
        <v>1</v>
      </c>
      <c r="C36">
        <f t="shared" si="0"/>
        <v>1.000000682897433</v>
      </c>
      <c r="D36">
        <f t="shared" si="1"/>
        <v>1.1686719337446365E-3</v>
      </c>
      <c r="F36">
        <f t="shared" si="2"/>
        <v>1.0007144675737329</v>
      </c>
      <c r="G36">
        <f t="shared" si="3"/>
        <v>-1.4547432762914449E-2</v>
      </c>
      <c r="H36">
        <f t="shared" si="4"/>
        <v>-1.4547432762914449E-2</v>
      </c>
      <c r="J36">
        <f t="shared" si="5"/>
        <v>9</v>
      </c>
      <c r="M36">
        <f t="shared" si="6"/>
        <v>4.2207208887704573</v>
      </c>
      <c r="N36">
        <f t="shared" si="7"/>
        <v>-1.5707963250000001</v>
      </c>
      <c r="O36">
        <f t="shared" si="8"/>
        <v>1.0082356121970879</v>
      </c>
      <c r="P36">
        <f t="shared" si="9"/>
        <v>0.12790219305564701</v>
      </c>
      <c r="Q36">
        <f t="shared" si="10"/>
        <v>1.0013777089038951</v>
      </c>
      <c r="R36">
        <f t="shared" si="11"/>
        <v>5.2461967678937925E-2</v>
      </c>
      <c r="S36">
        <f t="shared" si="12"/>
        <v>0.99999977294859499</v>
      </c>
      <c r="T36">
        <f t="shared" si="13"/>
        <v>-6.7387152142266041E-4</v>
      </c>
      <c r="U36">
        <f t="shared" si="14"/>
        <v>0.99999944828520104</v>
      </c>
      <c r="V36">
        <f t="shared" si="15"/>
        <v>-1.0504426206877429E-3</v>
      </c>
      <c r="X36">
        <f t="shared" si="34"/>
        <v>31.681984657491945</v>
      </c>
      <c r="Y36">
        <f t="shared" si="16"/>
        <v>-80.531237257193453</v>
      </c>
      <c r="Z36">
        <f t="shared" si="35"/>
        <v>99.468762742806547</v>
      </c>
      <c r="AC36">
        <v>1</v>
      </c>
      <c r="AD36">
        <f t="shared" si="17"/>
        <v>0.1286042367204</v>
      </c>
      <c r="AE36">
        <f t="shared" si="18"/>
        <v>-4.5250477982042905E-9</v>
      </c>
      <c r="AF36">
        <f t="shared" si="19"/>
        <v>4.3077518416800004E-6</v>
      </c>
      <c r="AG36">
        <f t="shared" si="36"/>
        <v>29610.260213367161</v>
      </c>
      <c r="AH36">
        <f t="shared" si="37"/>
        <v>-232170.75277315322</v>
      </c>
      <c r="AJ36">
        <f t="shared" si="20"/>
        <v>55000</v>
      </c>
      <c r="AK36">
        <f t="shared" si="21"/>
        <v>37.062939288375006</v>
      </c>
      <c r="AL36">
        <v>1</v>
      </c>
      <c r="AM36">
        <f t="shared" si="22"/>
        <v>5.2510150348425003E-2</v>
      </c>
      <c r="AN36">
        <f t="shared" si="38"/>
        <v>54850.705458796307</v>
      </c>
      <c r="AO36">
        <f t="shared" si="39"/>
        <v>-2843.1558510701952</v>
      </c>
      <c r="AQ36">
        <f t="shared" si="23"/>
        <v>2474.7031647555941</v>
      </c>
      <c r="AR36">
        <f t="shared" si="24"/>
        <v>-1304.1685678261981</v>
      </c>
      <c r="AT36">
        <f t="shared" si="52"/>
        <v>-229513193.47603717</v>
      </c>
      <c r="AU36">
        <f t="shared" si="53"/>
        <v>-613170467.30683899</v>
      </c>
      <c r="AV36">
        <f t="shared" si="42"/>
        <v>-1.9289581460544272</v>
      </c>
      <c r="AW36">
        <f t="shared" si="25"/>
        <v>132295383.98251007</v>
      </c>
      <c r="AX36">
        <f t="shared" si="26"/>
        <v>-81194526.50363633</v>
      </c>
      <c r="AY36">
        <f t="shared" si="50"/>
        <v>-0.55045880184906504</v>
      </c>
      <c r="BA36">
        <f t="shared" si="27"/>
        <v>4.2178736700294079</v>
      </c>
      <c r="BB36">
        <f t="shared" si="43"/>
        <v>12.501871359986168</v>
      </c>
      <c r="BC36">
        <f t="shared" si="44"/>
        <v>-1.3784993442053621</v>
      </c>
      <c r="BD36">
        <f t="shared" si="28"/>
        <v>-258.98219457476932</v>
      </c>
      <c r="BF36">
        <f t="shared" si="29"/>
        <v>31.592931050976567</v>
      </c>
      <c r="BG36">
        <f t="shared" si="30"/>
        <v>-79.748741106271595</v>
      </c>
      <c r="BH36">
        <f t="shared" si="45"/>
        <v>100.25125889372841</v>
      </c>
      <c r="BI36">
        <f t="shared" si="46"/>
        <v>100.25125889372841</v>
      </c>
      <c r="BJ36">
        <f t="shared" si="31"/>
        <v>0</v>
      </c>
      <c r="BK36">
        <f t="shared" si="47"/>
        <v>0</v>
      </c>
      <c r="BM36">
        <f t="shared" si="48"/>
        <v>19.091059690990399</v>
      </c>
      <c r="BN36">
        <f t="shared" si="32"/>
        <v>-0.76654653150228313</v>
      </c>
      <c r="BQ36" s="75">
        <f t="shared" si="49"/>
        <v>29.4038321602713</v>
      </c>
      <c r="BR36" s="77"/>
      <c r="BS36" s="77"/>
      <c r="BT36" s="77">
        <v>181.97</v>
      </c>
      <c r="BU36" s="77">
        <v>30.042100000000001</v>
      </c>
      <c r="BV36" s="77">
        <v>-268.84590000000003</v>
      </c>
      <c r="BW36" s="84"/>
      <c r="BY36" s="77"/>
      <c r="BZ36" s="77"/>
      <c r="CA36" s="77"/>
      <c r="CC36" s="77"/>
    </row>
    <row r="37" spans="1:81">
      <c r="A37">
        <f>A36+500</f>
        <v>1500</v>
      </c>
      <c r="B37">
        <f t="shared" si="33"/>
        <v>1.5</v>
      </c>
      <c r="C37">
        <f t="shared" si="0"/>
        <v>1.0000015365185684</v>
      </c>
      <c r="D37">
        <f t="shared" si="1"/>
        <v>1.7530069030149871E-3</v>
      </c>
      <c r="F37">
        <f t="shared" si="2"/>
        <v>1.0033950227015811</v>
      </c>
      <c r="G37">
        <f t="shared" si="3"/>
        <v>-2.1880574342931187E-2</v>
      </c>
      <c r="H37">
        <f t="shared" si="4"/>
        <v>-2.1880574342931187E-2</v>
      </c>
      <c r="J37">
        <f t="shared" si="5"/>
        <v>9</v>
      </c>
      <c r="M37">
        <f t="shared" si="6"/>
        <v>2.8138139258469712</v>
      </c>
      <c r="N37">
        <f t="shared" si="7"/>
        <v>-1.5707963250000001</v>
      </c>
      <c r="O37">
        <f t="shared" si="8"/>
        <v>1.0184364790356257</v>
      </c>
      <c r="P37">
        <f t="shared" si="9"/>
        <v>0.19056553622758274</v>
      </c>
      <c r="Q37">
        <f t="shared" si="10"/>
        <v>1.0030971841011378</v>
      </c>
      <c r="R37">
        <f t="shared" si="11"/>
        <v>7.8602943713759102E-2</v>
      </c>
      <c r="S37">
        <f t="shared" si="12"/>
        <v>0.99999948913455616</v>
      </c>
      <c r="T37">
        <f t="shared" si="13"/>
        <v>-1.0108070908797214E-3</v>
      </c>
      <c r="U37">
        <f t="shared" si="14"/>
        <v>0.99999875864298637</v>
      </c>
      <c r="V37">
        <f t="shared" si="15"/>
        <v>-1.5756632066013829E-3</v>
      </c>
      <c r="X37">
        <f t="shared" si="34"/>
        <v>28.285733817262646</v>
      </c>
      <c r="Y37">
        <f t="shared" si="16"/>
        <v>-75.879200603327718</v>
      </c>
      <c r="Z37">
        <f t="shared" si="35"/>
        <v>104.12079939667228</v>
      </c>
      <c r="AC37">
        <v>1</v>
      </c>
      <c r="AD37">
        <f t="shared" si="17"/>
        <v>0.1929063550806</v>
      </c>
      <c r="AE37">
        <f t="shared" si="18"/>
        <v>-1.0181357545959655E-8</v>
      </c>
      <c r="AF37">
        <f t="shared" si="19"/>
        <v>6.4616277625200001E-6</v>
      </c>
      <c r="AG37">
        <f t="shared" si="36"/>
        <v>29610.219372387852</v>
      </c>
      <c r="AH37">
        <f t="shared" si="37"/>
        <v>-154806.42169339888</v>
      </c>
      <c r="AJ37">
        <f t="shared" si="20"/>
        <v>55000</v>
      </c>
      <c r="AK37">
        <f t="shared" si="21"/>
        <v>55.594408932562516</v>
      </c>
      <c r="AL37">
        <v>1</v>
      </c>
      <c r="AM37">
        <f t="shared" si="22"/>
        <v>7.8765225522637511E-2</v>
      </c>
      <c r="AN37">
        <f t="shared" si="38"/>
        <v>54665.237915650054</v>
      </c>
      <c r="AO37">
        <f t="shared" si="39"/>
        <v>-4250.1253837422491</v>
      </c>
      <c r="AQ37">
        <f t="shared" si="23"/>
        <v>1945.9775821782425</v>
      </c>
      <c r="AR37">
        <f t="shared" si="24"/>
        <v>-1538.2952787119009</v>
      </c>
      <c r="AT37">
        <f t="shared" si="52"/>
        <v>-180517164.50319242</v>
      </c>
      <c r="AU37">
        <f t="shared" si="53"/>
        <v>-346799086.85475367</v>
      </c>
      <c r="AV37">
        <f t="shared" si="42"/>
        <v>-2.0507278096507364</v>
      </c>
      <c r="AW37">
        <f t="shared" si="25"/>
        <v>100102695.25546223</v>
      </c>
      <c r="AX37">
        <f t="shared" si="26"/>
        <v>-94121543.832076386</v>
      </c>
      <c r="AY37">
        <f t="shared" si="50"/>
        <v>-0.7546128102888322</v>
      </c>
      <c r="BA37">
        <f t="shared" si="27"/>
        <v>2.8454244501519832</v>
      </c>
      <c r="BB37">
        <f t="shared" si="43"/>
        <v>9.0829411798906712</v>
      </c>
      <c r="BC37">
        <f t="shared" si="44"/>
        <v>-1.2961149993619041</v>
      </c>
      <c r="BD37">
        <f t="shared" si="28"/>
        <v>-254.2619193118951</v>
      </c>
      <c r="BF37">
        <f t="shared" si="29"/>
        <v>28.197243562652282</v>
      </c>
      <c r="BG37">
        <f t="shared" si="30"/>
        <v>-75.415143979384979</v>
      </c>
      <c r="BH37">
        <f t="shared" si="45"/>
        <v>104.58485602061502</v>
      </c>
      <c r="BI37">
        <f t="shared" si="46"/>
        <v>104.58485602061502</v>
      </c>
      <c r="BJ37">
        <f t="shared" si="31"/>
        <v>0</v>
      </c>
      <c r="BK37">
        <f t="shared" si="47"/>
        <v>0</v>
      </c>
      <c r="BM37">
        <f t="shared" si="48"/>
        <v>19.114302382761615</v>
      </c>
      <c r="BN37">
        <f t="shared" si="32"/>
        <v>-1.1532246674898847</v>
      </c>
      <c r="BQ37" s="75">
        <f t="shared" si="49"/>
        <v>25.98490198017581</v>
      </c>
      <c r="BR37" s="77"/>
      <c r="BS37" s="77"/>
      <c r="BT37" s="77">
        <v>186.209</v>
      </c>
      <c r="BU37" s="77">
        <v>29.901800000000001</v>
      </c>
      <c r="BV37" s="77">
        <v>-265.37959999999998</v>
      </c>
      <c r="BW37" s="84"/>
      <c r="BY37" s="77"/>
      <c r="BZ37" s="77"/>
      <c r="CA37" s="77"/>
      <c r="CC37" s="77"/>
    </row>
    <row r="38" spans="1:81">
      <c r="A38">
        <f t="shared" ref="A38:A101" si="54">A37+500</f>
        <v>2000</v>
      </c>
      <c r="B38">
        <f t="shared" si="33"/>
        <v>2</v>
      </c>
      <c r="C38">
        <f t="shared" si="0"/>
        <v>1.000002731586934</v>
      </c>
      <c r="D38">
        <f t="shared" si="1"/>
        <v>2.3373406751675554E-3</v>
      </c>
      <c r="F38">
        <f t="shared" si="2"/>
        <v>1.0071707688222842</v>
      </c>
      <c r="G38">
        <f t="shared" si="3"/>
        <v>-2.928572979622901E-2</v>
      </c>
      <c r="H38">
        <f t="shared" si="4"/>
        <v>-2.928572979622901E-2</v>
      </c>
      <c r="J38">
        <f t="shared" si="5"/>
        <v>9</v>
      </c>
      <c r="M38">
        <f t="shared" si="6"/>
        <v>2.1103604443852286</v>
      </c>
      <c r="N38">
        <f t="shared" si="7"/>
        <v>-1.5707963250000001</v>
      </c>
      <c r="O38">
        <f t="shared" si="8"/>
        <v>1.03254840022623</v>
      </c>
      <c r="P38">
        <f t="shared" si="9"/>
        <v>0.25175151746475805</v>
      </c>
      <c r="Q38">
        <f t="shared" si="10"/>
        <v>1.0054995094769847</v>
      </c>
      <c r="R38">
        <f t="shared" si="11"/>
        <v>0.10463673691250469</v>
      </c>
      <c r="S38">
        <f t="shared" si="12"/>
        <v>0.99999909179530755</v>
      </c>
      <c r="T38">
        <f t="shared" si="13"/>
        <v>-1.3477424308319505E-3</v>
      </c>
      <c r="U38">
        <f t="shared" si="14"/>
        <v>0.99999779314628323</v>
      </c>
      <c r="V38">
        <f t="shared" si="15"/>
        <v>-2.1008829232014312E-3</v>
      </c>
      <c r="X38">
        <f t="shared" si="34"/>
        <v>25.959887498272405</v>
      </c>
      <c r="Y38">
        <f t="shared" si="16"/>
        <v>-71.322077774026411</v>
      </c>
      <c r="Z38">
        <f t="shared" si="35"/>
        <v>108.67792222597359</v>
      </c>
      <c r="AC38">
        <v>1</v>
      </c>
      <c r="AD38">
        <f t="shared" si="17"/>
        <v>0.2572084734408</v>
      </c>
      <c r="AE38">
        <f t="shared" si="18"/>
        <v>-1.8100191192817162E-8</v>
      </c>
      <c r="AF38">
        <f t="shared" si="19"/>
        <v>8.6155036833600007E-6</v>
      </c>
      <c r="AG38">
        <f t="shared" si="36"/>
        <v>29610.162195206107</v>
      </c>
      <c r="AH38">
        <f t="shared" si="37"/>
        <v>-116132.03201681876</v>
      </c>
      <c r="AJ38">
        <f t="shared" si="20"/>
        <v>55000</v>
      </c>
      <c r="AK38">
        <f t="shared" si="21"/>
        <v>74.125878576750011</v>
      </c>
      <c r="AL38">
        <v>1</v>
      </c>
      <c r="AM38">
        <f t="shared" si="22"/>
        <v>0.10502030069685001</v>
      </c>
      <c r="AN38">
        <f t="shared" si="38"/>
        <v>54407.707773413073</v>
      </c>
      <c r="AO38">
        <f t="shared" si="39"/>
        <v>-5639.7879520134356</v>
      </c>
      <c r="AQ38">
        <f t="shared" si="23"/>
        <v>1497.9279137587664</v>
      </c>
      <c r="AR38">
        <f t="shared" si="24"/>
        <v>-1578.8160211017398</v>
      </c>
      <c r="AT38">
        <f t="shared" si="52"/>
        <v>-138997224.22812986</v>
      </c>
      <c r="AU38">
        <f t="shared" si="53"/>
        <v>-220706410.90073204</v>
      </c>
      <c r="AV38">
        <f t="shared" si="42"/>
        <v>-2.1328279666762815</v>
      </c>
      <c r="AW38">
        <f t="shared" si="25"/>
        <v>72856829.500820234</v>
      </c>
      <c r="AX38">
        <f t="shared" si="26"/>
        <v>-95678184.600426763</v>
      </c>
      <c r="AY38">
        <f t="shared" si="50"/>
        <v>-0.91998969897662042</v>
      </c>
      <c r="BA38">
        <f t="shared" si="27"/>
        <v>2.1688749003106391</v>
      </c>
      <c r="BB38">
        <f t="shared" si="43"/>
        <v>6.7246900566820713</v>
      </c>
      <c r="BC38">
        <f t="shared" si="44"/>
        <v>-1.2128382676996612</v>
      </c>
      <c r="BD38">
        <f t="shared" si="28"/>
        <v>-249.49051405055297</v>
      </c>
      <c r="BF38">
        <f t="shared" si="29"/>
        <v>25.871626226256438</v>
      </c>
      <c r="BG38">
        <f t="shared" si="30"/>
        <v>-71.034543013630383</v>
      </c>
      <c r="BH38">
        <f t="shared" si="45"/>
        <v>108.96545698636962</v>
      </c>
      <c r="BI38">
        <f t="shared" si="46"/>
        <v>108.96545698636962</v>
      </c>
      <c r="BJ38">
        <f t="shared" si="31"/>
        <v>0</v>
      </c>
      <c r="BK38">
        <f t="shared" si="47"/>
        <v>0</v>
      </c>
      <c r="BM38">
        <f t="shared" si="48"/>
        <v>19.146936169574364</v>
      </c>
      <c r="BN38">
        <f t="shared" si="32"/>
        <v>-1.544028963077394</v>
      </c>
      <c r="BQ38" s="75">
        <f t="shared" si="49"/>
        <v>23.626650856967206</v>
      </c>
      <c r="BR38" s="77"/>
      <c r="BS38" s="77"/>
      <c r="BT38" s="77">
        <v>190.54599999999999</v>
      </c>
      <c r="BU38" s="77">
        <v>29.566700000000001</v>
      </c>
      <c r="BV38" s="77">
        <v>-265.89449999999999</v>
      </c>
      <c r="BW38" s="84"/>
      <c r="BY38" s="77"/>
      <c r="BZ38" s="77"/>
      <c r="CA38" s="77"/>
      <c r="CC38" s="77"/>
    </row>
    <row r="39" spans="1:81">
      <c r="A39">
        <f t="shared" si="54"/>
        <v>2500</v>
      </c>
      <c r="B39">
        <f t="shared" si="33"/>
        <v>2.5</v>
      </c>
      <c r="C39">
        <f t="shared" si="0"/>
        <v>1.0000042681013053</v>
      </c>
      <c r="D39">
        <f t="shared" si="1"/>
        <v>2.9216728511707096E-3</v>
      </c>
      <c r="F39">
        <f t="shared" si="2"/>
        <v>1.0120650728303948</v>
      </c>
      <c r="G39">
        <f t="shared" si="3"/>
        <v>-3.6788092679291513E-2</v>
      </c>
      <c r="H39">
        <f t="shared" si="4"/>
        <v>-3.6788092679291513E-2</v>
      </c>
      <c r="J39">
        <f t="shared" si="5"/>
        <v>9</v>
      </c>
      <c r="M39">
        <f t="shared" si="6"/>
        <v>1.6882883555081829</v>
      </c>
      <c r="N39">
        <f t="shared" si="7"/>
        <v>-1.5707963250000001</v>
      </c>
      <c r="O39">
        <f t="shared" si="8"/>
        <v>1.0504137568787975</v>
      </c>
      <c r="P39">
        <f t="shared" si="9"/>
        <v>0.31107261868110392</v>
      </c>
      <c r="Q39">
        <f t="shared" si="10"/>
        <v>1.0085798056227819</v>
      </c>
      <c r="R39">
        <f t="shared" si="11"/>
        <v>0.13052897916361553</v>
      </c>
      <c r="S39">
        <f t="shared" si="12"/>
        <v>0.99999858093125549</v>
      </c>
      <c r="T39">
        <f t="shared" si="13"/>
        <v>-1.6846774647782238E-3</v>
      </c>
      <c r="U39">
        <f t="shared" si="14"/>
        <v>0.99999655179748814</v>
      </c>
      <c r="V39">
        <f t="shared" si="15"/>
        <v>-2.6261014807211673E-3</v>
      </c>
      <c r="X39">
        <f t="shared" si="34"/>
        <v>24.239359613304465</v>
      </c>
      <c r="Y39">
        <f t="shared" si="16"/>
        <v>-66.885484554212383</v>
      </c>
      <c r="Z39">
        <f t="shared" si="35"/>
        <v>113.11451544578762</v>
      </c>
      <c r="AC39">
        <v>1</v>
      </c>
      <c r="AD39">
        <f t="shared" si="17"/>
        <v>0.321510591801</v>
      </c>
      <c r="AE39">
        <f t="shared" si="18"/>
        <v>-2.8281548738776816E-8</v>
      </c>
      <c r="AF39">
        <f t="shared" si="19"/>
        <v>1.07693796042E-5</v>
      </c>
      <c r="AG39">
        <f t="shared" si="36"/>
        <v>29610.088682011177</v>
      </c>
      <c r="AH39">
        <f t="shared" si="37"/>
        <v>-92933.618829435494</v>
      </c>
      <c r="AJ39">
        <f t="shared" si="20"/>
        <v>55000</v>
      </c>
      <c r="AK39">
        <f t="shared" si="21"/>
        <v>92.657348220937507</v>
      </c>
      <c r="AL39">
        <v>1</v>
      </c>
      <c r="AM39">
        <f t="shared" si="22"/>
        <v>0.13127537587106253</v>
      </c>
      <c r="AN39">
        <f t="shared" si="38"/>
        <v>54080.187624156148</v>
      </c>
      <c r="AO39">
        <f t="shared" si="39"/>
        <v>-7006.7396093177449</v>
      </c>
      <c r="AQ39">
        <f t="shared" si="23"/>
        <v>1155.7836012692787</v>
      </c>
      <c r="AR39">
        <f t="shared" si="24"/>
        <v>-1522.7448946722748</v>
      </c>
      <c r="AT39">
        <f t="shared" si="52"/>
        <v>-107291338.6851445</v>
      </c>
      <c r="AU39">
        <f t="shared" si="53"/>
        <v>-152499764.02099723</v>
      </c>
      <c r="AV39">
        <f t="shared" si="42"/>
        <v>-2.1839014390016853</v>
      </c>
      <c r="AW39">
        <f t="shared" si="25"/>
        <v>52096282.121209882</v>
      </c>
      <c r="AX39">
        <f t="shared" si="26"/>
        <v>-91523848.553435281</v>
      </c>
      <c r="AY39">
        <f t="shared" si="50"/>
        <v>-1.053324336068368</v>
      </c>
      <c r="BA39">
        <f t="shared" si="27"/>
        <v>1.7705539325520709</v>
      </c>
      <c r="BB39">
        <f t="shared" si="43"/>
        <v>4.96218320536771</v>
      </c>
      <c r="BC39">
        <f t="shared" si="44"/>
        <v>-1.1305771029333174</v>
      </c>
      <c r="BD39">
        <f t="shared" si="28"/>
        <v>-244.77729648622557</v>
      </c>
      <c r="BF39">
        <f t="shared" si="29"/>
        <v>24.151239211715911</v>
      </c>
      <c r="BG39">
        <f t="shared" si="30"/>
        <v>-66.717699411812305</v>
      </c>
      <c r="BH39">
        <f t="shared" si="45"/>
        <v>113.2823005881877</v>
      </c>
      <c r="BI39">
        <f t="shared" si="46"/>
        <v>113.2823005881877</v>
      </c>
      <c r="BJ39">
        <f t="shared" si="31"/>
        <v>0</v>
      </c>
      <c r="BK39">
        <f t="shared" si="47"/>
        <v>0</v>
      </c>
      <c r="BM39">
        <f t="shared" si="48"/>
        <v>19.189056006348196</v>
      </c>
      <c r="BN39">
        <f t="shared" si="32"/>
        <v>-1.9404029255867223</v>
      </c>
      <c r="BQ39" s="75">
        <f t="shared" si="49"/>
        <v>21.864144005652847</v>
      </c>
      <c r="BR39" s="77"/>
      <c r="BS39" s="77"/>
      <c r="BT39" s="77">
        <v>194.98400000000001</v>
      </c>
      <c r="BU39" s="77">
        <v>29.685600000000001</v>
      </c>
      <c r="BV39" s="77">
        <v>-265.6327</v>
      </c>
      <c r="BW39" s="84"/>
      <c r="BY39" s="77"/>
      <c r="BZ39" s="77"/>
      <c r="CA39" s="77"/>
      <c r="CC39" s="77"/>
    </row>
    <row r="40" spans="1:81">
      <c r="A40">
        <f t="shared" si="54"/>
        <v>3000</v>
      </c>
      <c r="B40">
        <f t="shared" si="33"/>
        <v>3</v>
      </c>
      <c r="C40">
        <f t="shared" si="0"/>
        <v>1.0000061460601084</v>
      </c>
      <c r="D40">
        <f t="shared" si="1"/>
        <v>3.5060030319993595E-3</v>
      </c>
      <c r="F40">
        <f t="shared" si="2"/>
        <v>1.0181085575196605</v>
      </c>
      <c r="G40">
        <f t="shared" si="3"/>
        <v>-4.4413908650292815E-2</v>
      </c>
      <c r="H40">
        <f t="shared" si="4"/>
        <v>-4.4413908650292815E-2</v>
      </c>
      <c r="J40">
        <f t="shared" si="5"/>
        <v>9</v>
      </c>
      <c r="M40">
        <f t="shared" si="6"/>
        <v>1.4069069629234856</v>
      </c>
      <c r="N40">
        <f t="shared" si="7"/>
        <v>-1.5707963250000001</v>
      </c>
      <c r="O40">
        <f t="shared" si="8"/>
        <v>1.0718448802517695</v>
      </c>
      <c r="P40">
        <f t="shared" si="9"/>
        <v>0.36821644619659227</v>
      </c>
      <c r="Q40">
        <f t="shared" si="10"/>
        <v>1.0123318838239403</v>
      </c>
      <c r="R40">
        <f t="shared" si="11"/>
        <v>0.15624643225856957</v>
      </c>
      <c r="S40">
        <f t="shared" si="12"/>
        <v>0.99999795654292178</v>
      </c>
      <c r="T40">
        <f t="shared" si="13"/>
        <v>-2.0216121162178343E-3</v>
      </c>
      <c r="U40">
        <f t="shared" si="14"/>
        <v>0.9999950345996832</v>
      </c>
      <c r="V40">
        <f t="shared" si="15"/>
        <v>-3.1513185893977062E-3</v>
      </c>
      <c r="X40">
        <f t="shared" si="34"/>
        <v>22.91512909546217</v>
      </c>
      <c r="Y40">
        <f t="shared" si="16"/>
        <v>-62.590727959710016</v>
      </c>
      <c r="Z40">
        <f t="shared" si="35"/>
        <v>117.40927204028998</v>
      </c>
      <c r="AA40">
        <f>20*LOG(7)</f>
        <v>16.901960800285135</v>
      </c>
      <c r="AC40">
        <v>1</v>
      </c>
      <c r="AD40">
        <f t="shared" si="17"/>
        <v>0.3858127101612</v>
      </c>
      <c r="AE40">
        <f t="shared" si="18"/>
        <v>-4.0725430183838622E-8</v>
      </c>
      <c r="AF40">
        <f t="shared" si="19"/>
        <v>1.292325552504E-5</v>
      </c>
      <c r="AG40">
        <f t="shared" si="36"/>
        <v>29609.998833046415</v>
      </c>
      <c r="AH40">
        <f t="shared" si="37"/>
        <v>-77473.193809430595</v>
      </c>
      <c r="AJ40">
        <f t="shared" si="20"/>
        <v>55000</v>
      </c>
      <c r="AK40">
        <f t="shared" si="21"/>
        <v>111.18881786512503</v>
      </c>
      <c r="AL40">
        <v>1</v>
      </c>
      <c r="AM40">
        <f t="shared" si="22"/>
        <v>0.15753045104527502</v>
      </c>
      <c r="AN40">
        <f t="shared" si="38"/>
        <v>53685.270383040945</v>
      </c>
      <c r="AO40">
        <f t="shared" si="39"/>
        <v>-8345.8760400628598</v>
      </c>
      <c r="AQ40">
        <f t="shared" si="23"/>
        <v>903.5419013984897</v>
      </c>
      <c r="AR40">
        <f t="shared" si="24"/>
        <v>-1428.4997461110124</v>
      </c>
      <c r="AT40">
        <f t="shared" si="52"/>
        <v>-83916563.041163042</v>
      </c>
      <c r="AU40">
        <f t="shared" si="53"/>
        <v>-112298152.65734079</v>
      </c>
      <c r="AV40">
        <f t="shared" si="42"/>
        <v>-2.2125452163957773</v>
      </c>
      <c r="AW40">
        <f t="shared" si="25"/>
        <v>36843852.943800449</v>
      </c>
      <c r="AX40">
        <f t="shared" si="26"/>
        <v>-85137235.252603874</v>
      </c>
      <c r="AY40">
        <f t="shared" si="50"/>
        <v>-1.1623726480791896</v>
      </c>
      <c r="BA40">
        <f t="shared" si="27"/>
        <v>1.5111822530033132</v>
      </c>
      <c r="BB40">
        <f t="shared" si="43"/>
        <v>3.5863368936700857</v>
      </c>
      <c r="BC40">
        <f t="shared" si="44"/>
        <v>-1.0501725683165877</v>
      </c>
      <c r="BD40">
        <f t="shared" si="28"/>
        <v>-240.17045599370937</v>
      </c>
      <c r="BF40">
        <f t="shared" si="29"/>
        <v>22.827122223127603</v>
      </c>
      <c r="BG40">
        <f t="shared" si="30"/>
        <v>-62.514306337035322</v>
      </c>
      <c r="BH40">
        <f t="shared" si="45"/>
        <v>117.48569366296468</v>
      </c>
      <c r="BI40">
        <f t="shared" si="46"/>
        <v>117.48569366296468</v>
      </c>
      <c r="BJ40">
        <f t="shared" si="31"/>
        <v>0</v>
      </c>
      <c r="BK40">
        <f t="shared" si="47"/>
        <v>0</v>
      </c>
      <c r="BM40">
        <f t="shared" si="48"/>
        <v>19.240785329457523</v>
      </c>
      <c r="BN40">
        <f t="shared" si="32"/>
        <v>-2.343850343325963</v>
      </c>
      <c r="BQ40" s="75">
        <f t="shared" si="49"/>
        <v>20.488297693955225</v>
      </c>
      <c r="BR40" s="77"/>
      <c r="BS40" s="77"/>
      <c r="BT40" s="77">
        <v>199.52600000000001</v>
      </c>
      <c r="BU40" s="77">
        <v>29.050999999999998</v>
      </c>
      <c r="BV40" s="77">
        <v>-267.80150000000003</v>
      </c>
      <c r="BW40" s="84"/>
      <c r="BY40" s="77"/>
      <c r="BZ40" s="77"/>
      <c r="CA40" s="77"/>
      <c r="CC40" s="77"/>
    </row>
    <row r="41" spans="1:81">
      <c r="A41">
        <f t="shared" si="54"/>
        <v>3500</v>
      </c>
      <c r="B41">
        <f t="shared" si="33"/>
        <v>3.5</v>
      </c>
      <c r="C41">
        <f t="shared" si="0"/>
        <v>1.00000836546142</v>
      </c>
      <c r="D41">
        <f t="shared" si="1"/>
        <v>4.0903308186365887E-3</v>
      </c>
      <c r="F41">
        <f t="shared" si="2"/>
        <v>1.0253395562376397</v>
      </c>
      <c r="G41">
        <f t="shared" si="3"/>
        <v>-5.2190781154894582E-2</v>
      </c>
      <c r="H41">
        <f t="shared" si="4"/>
        <v>-5.2190781154894582E-2</v>
      </c>
      <c r="J41">
        <f t="shared" si="5"/>
        <v>9</v>
      </c>
      <c r="M41">
        <f t="shared" si="6"/>
        <v>1.2059202539344163</v>
      </c>
      <c r="N41">
        <f t="shared" si="7"/>
        <v>-1.5707963250000001</v>
      </c>
      <c r="O41">
        <f t="shared" si="8"/>
        <v>1.0966327365416597</v>
      </c>
      <c r="P41">
        <f t="shared" si="9"/>
        <v>0.42294941352333321</v>
      </c>
      <c r="Q41">
        <f t="shared" si="10"/>
        <v>1.0167483069313534</v>
      </c>
      <c r="R41">
        <f t="shared" si="11"/>
        <v>0.18175722770155897</v>
      </c>
      <c r="S41">
        <f t="shared" si="12"/>
        <v>0.99999721863094426</v>
      </c>
      <c r="T41">
        <f t="shared" si="13"/>
        <v>-2.3585463086505955E-3</v>
      </c>
      <c r="U41">
        <f t="shared" si="14"/>
        <v>0.99999324155663516</v>
      </c>
      <c r="V41">
        <f t="shared" si="15"/>
        <v>-3.6765339594729603E-3</v>
      </c>
      <c r="X41">
        <f t="shared" si="34"/>
        <v>21.874059302434986</v>
      </c>
      <c r="Y41">
        <f t="shared" si="16"/>
        <v>-58.454599003568497</v>
      </c>
      <c r="Z41">
        <f t="shared" si="35"/>
        <v>121.54540099643151</v>
      </c>
      <c r="AC41">
        <v>1</v>
      </c>
      <c r="AD41">
        <f t="shared" si="17"/>
        <v>0.45011482852140006</v>
      </c>
      <c r="AE41">
        <f t="shared" si="18"/>
        <v>-5.543183552800256E-8</v>
      </c>
      <c r="AF41">
        <f t="shared" si="19"/>
        <v>1.507713144588E-5</v>
      </c>
      <c r="AG41">
        <f t="shared" si="36"/>
        <v>29609.892648609246</v>
      </c>
      <c r="AH41">
        <f t="shared" si="37"/>
        <v>-66434.476232745816</v>
      </c>
      <c r="AJ41">
        <f t="shared" si="20"/>
        <v>55000</v>
      </c>
      <c r="AK41">
        <f t="shared" si="21"/>
        <v>129.72028750931253</v>
      </c>
      <c r="AL41">
        <v>1</v>
      </c>
      <c r="AM41">
        <f t="shared" si="22"/>
        <v>0.18378552621948752</v>
      </c>
      <c r="AN41">
        <f t="shared" si="38"/>
        <v>53226.019095923541</v>
      </c>
      <c r="AO41">
        <f t="shared" si="39"/>
        <v>-9652.4516406034854</v>
      </c>
      <c r="AQ41">
        <f t="shared" si="23"/>
        <v>718.28044751234336</v>
      </c>
      <c r="AR41">
        <f t="shared" si="24"/>
        <v>-1324.8682854365175</v>
      </c>
      <c r="AT41">
        <f t="shared" si="52"/>
        <v>-66748723.677915521</v>
      </c>
      <c r="AU41">
        <f t="shared" si="53"/>
        <v>-86947793.024027079</v>
      </c>
      <c r="AV41">
        <f t="shared" si="42"/>
        <v>-2.2255215928255998</v>
      </c>
      <c r="AW41">
        <f t="shared" si="25"/>
        <v>25700023.157555908</v>
      </c>
      <c r="AX41">
        <f t="shared" si="26"/>
        <v>-78238972.876905307</v>
      </c>
      <c r="AY41">
        <f t="shared" si="50"/>
        <v>-1.2534191289680103</v>
      </c>
      <c r="BA41">
        <f t="shared" si="27"/>
        <v>1.3310492264093849</v>
      </c>
      <c r="BB41">
        <f t="shared" si="43"/>
        <v>2.4838823470987297</v>
      </c>
      <c r="BC41">
        <f t="shared" si="44"/>
        <v>-0.97210246385758947</v>
      </c>
      <c r="BD41">
        <f t="shared" si="28"/>
        <v>-235.69736849695204</v>
      </c>
      <c r="BF41">
        <f t="shared" si="29"/>
        <v>21.786159441078951</v>
      </c>
      <c r="BG41">
        <f t="shared" si="30"/>
        <v>-58.453321297047388</v>
      </c>
      <c r="BH41">
        <f t="shared" si="45"/>
        <v>121.54667870295262</v>
      </c>
      <c r="BI41">
        <f t="shared" si="46"/>
        <v>121.54667870295262</v>
      </c>
      <c r="BJ41">
        <f t="shared" si="31"/>
        <v>0</v>
      </c>
      <c r="BK41">
        <f t="shared" si="47"/>
        <v>0</v>
      </c>
      <c r="BM41">
        <f t="shared" si="48"/>
        <v>19.302277093980219</v>
      </c>
      <c r="BN41">
        <f t="shared" si="32"/>
        <v>-2.7559528000953399</v>
      </c>
      <c r="BQ41" s="75">
        <f t="shared" si="49"/>
        <v>19.385843147383866</v>
      </c>
      <c r="BR41" s="77"/>
      <c r="BS41" s="77"/>
      <c r="BT41" s="77">
        <v>204.17400000000001</v>
      </c>
      <c r="BU41" s="77">
        <v>28.424299999999999</v>
      </c>
      <c r="BV41" s="77">
        <v>-264.16840000000002</v>
      </c>
      <c r="BW41" s="84"/>
      <c r="BY41" s="77"/>
      <c r="BZ41" s="77"/>
      <c r="CA41" s="77"/>
      <c r="CC41" s="77"/>
    </row>
    <row r="42" spans="1:81">
      <c r="A42">
        <f t="shared" si="54"/>
        <v>4000</v>
      </c>
      <c r="B42">
        <f t="shared" si="33"/>
        <v>4</v>
      </c>
      <c r="C42">
        <f t="shared" si="0"/>
        <v>1.0000109263029664</v>
      </c>
      <c r="D42">
        <f t="shared" si="1"/>
        <v>4.6746558120752905E-3</v>
      </c>
      <c r="F42">
        <f t="shared" si="2"/>
        <v>1.0338046915836532</v>
      </c>
      <c r="G42">
        <f t="shared" si="3"/>
        <v>-6.0148007794279569E-2</v>
      </c>
      <c r="H42">
        <f t="shared" si="4"/>
        <v>-6.0148007794279569E-2</v>
      </c>
      <c r="J42">
        <f t="shared" si="5"/>
        <v>9</v>
      </c>
      <c r="M42">
        <f t="shared" si="6"/>
        <v>1.0551802221926143</v>
      </c>
      <c r="N42">
        <f t="shared" si="7"/>
        <v>-1.5707963250000001</v>
      </c>
      <c r="O42">
        <f t="shared" si="8"/>
        <v>1.1245553766884879</v>
      </c>
      <c r="P42">
        <f t="shared" si="9"/>
        <v>0.47511453376633556</v>
      </c>
      <c r="Q42">
        <f t="shared" si="10"/>
        <v>1.0218204608608241</v>
      </c>
      <c r="R42">
        <f t="shared" si="11"/>
        <v>0.20703108040134061</v>
      </c>
      <c r="S42">
        <f t="shared" si="12"/>
        <v>0.9999963671960771</v>
      </c>
      <c r="T42">
        <f t="shared" si="13"/>
        <v>-2.6954799655769467E-3</v>
      </c>
      <c r="U42">
        <f t="shared" si="14"/>
        <v>0.99999117267279558</v>
      </c>
      <c r="V42">
        <f t="shared" si="15"/>
        <v>-4.2017473011945975E-3</v>
      </c>
      <c r="X42">
        <f t="shared" si="34"/>
        <v>21.047248509153999</v>
      </c>
      <c r="Y42">
        <f t="shared" si="16"/>
        <v>-54.489506211008589</v>
      </c>
      <c r="Z42">
        <f t="shared" si="35"/>
        <v>125.51049378899141</v>
      </c>
      <c r="AC42">
        <v>1</v>
      </c>
      <c r="AD42">
        <f t="shared" si="17"/>
        <v>0.5144169468816</v>
      </c>
      <c r="AE42">
        <f t="shared" si="18"/>
        <v>-7.2400764771268648E-8</v>
      </c>
      <c r="AF42">
        <f t="shared" si="19"/>
        <v>1.7231007366720001E-5</v>
      </c>
      <c r="AG42">
        <f t="shared" si="36"/>
        <v>29609.770129051147</v>
      </c>
      <c r="AH42">
        <f t="shared" si="37"/>
        <v>-58159.325724483591</v>
      </c>
      <c r="AJ42">
        <f t="shared" si="20"/>
        <v>55000</v>
      </c>
      <c r="AK42">
        <f t="shared" si="21"/>
        <v>148.25175715350002</v>
      </c>
      <c r="AL42">
        <v>1</v>
      </c>
      <c r="AM42">
        <f t="shared" si="22"/>
        <v>0.21004060139370001</v>
      </c>
      <c r="AN42">
        <f t="shared" si="38"/>
        <v>52705.909423739875</v>
      </c>
      <c r="AO42">
        <f t="shared" si="39"/>
        <v>-10922.129155210707</v>
      </c>
      <c r="AQ42">
        <f t="shared" si="23"/>
        <v>580.85877453127159</v>
      </c>
      <c r="AR42">
        <f t="shared" si="24"/>
        <v>-1224.4502967119206</v>
      </c>
      <c r="AT42">
        <f t="shared" si="52"/>
        <v>-54014108.848595858</v>
      </c>
      <c r="AU42">
        <f t="shared" si="53"/>
        <v>-70038046.487977028</v>
      </c>
      <c r="AV42">
        <f t="shared" si="42"/>
        <v>-2.2277348214096122</v>
      </c>
      <c r="AW42">
        <f t="shared" si="25"/>
        <v>17495859.689562529</v>
      </c>
      <c r="AX42">
        <f t="shared" si="26"/>
        <v>-71580600.704448596</v>
      </c>
      <c r="AY42">
        <f t="shared" si="50"/>
        <v>-1.3310745801561195</v>
      </c>
      <c r="BA42">
        <f t="shared" si="27"/>
        <v>1.2002926273465975</v>
      </c>
      <c r="BB42">
        <f t="shared" si="43"/>
        <v>1.5857427701024376</v>
      </c>
      <c r="BC42">
        <f t="shared" si="44"/>
        <v>-0.89666024125349275</v>
      </c>
      <c r="BD42">
        <f t="shared" si="28"/>
        <v>-231.37484753971165</v>
      </c>
      <c r="BF42">
        <f t="shared" si="29"/>
        <v>20.95945783781746</v>
      </c>
      <c r="BG42">
        <f t="shared" si="30"/>
        <v>-54.553236487367464</v>
      </c>
      <c r="BH42">
        <f t="shared" si="45"/>
        <v>125.44676351263254</v>
      </c>
      <c r="BI42">
        <f t="shared" si="46"/>
        <v>125.44676351263254</v>
      </c>
      <c r="BJ42">
        <f t="shared" si="31"/>
        <v>0</v>
      </c>
      <c r="BK42">
        <f t="shared" si="47"/>
        <v>0</v>
      </c>
      <c r="BM42">
        <f t="shared" si="48"/>
        <v>19.373715067715022</v>
      </c>
      <c r="BN42">
        <f t="shared" si="32"/>
        <v>-3.1783889476558236</v>
      </c>
      <c r="BQ42" s="75">
        <f t="shared" si="49"/>
        <v>18.487703570387573</v>
      </c>
      <c r="BR42" s="77"/>
      <c r="BS42" s="77"/>
      <c r="BT42" s="77">
        <v>208.93</v>
      </c>
      <c r="BU42" s="77">
        <v>28.510899999999999</v>
      </c>
      <c r="BV42" s="77">
        <v>-267.69110000000001</v>
      </c>
      <c r="BW42" s="84"/>
      <c r="BY42" s="77"/>
      <c r="BZ42" s="77"/>
      <c r="CA42" s="77"/>
      <c r="CC42" s="77"/>
    </row>
    <row r="43" spans="1:81">
      <c r="A43">
        <f t="shared" si="54"/>
        <v>4500</v>
      </c>
      <c r="B43">
        <f t="shared" si="33"/>
        <v>4.5</v>
      </c>
      <c r="C43">
        <f t="shared" si="0"/>
        <v>1.000013828582125</v>
      </c>
      <c r="D43">
        <f t="shared" si="1"/>
        <v>5.2589776133198027E-3</v>
      </c>
      <c r="F43">
        <f t="shared" si="2"/>
        <v>1.0435595932185866</v>
      </c>
      <c r="G43">
        <f t="shared" si="3"/>
        <v>-6.8316955906269197E-2</v>
      </c>
      <c r="H43">
        <f t="shared" si="4"/>
        <v>-6.8316955906269197E-2</v>
      </c>
      <c r="J43">
        <f t="shared" si="5"/>
        <v>9</v>
      </c>
      <c r="M43">
        <f t="shared" si="6"/>
        <v>0.93793797528232381</v>
      </c>
      <c r="N43">
        <f t="shared" si="7"/>
        <v>-1.5707963250000001</v>
      </c>
      <c r="O43">
        <f t="shared" si="8"/>
        <v>1.1553855445150518</v>
      </c>
      <c r="P43">
        <f t="shared" si="9"/>
        <v>0.52462476416755321</v>
      </c>
      <c r="Q43">
        <f t="shared" si="10"/>
        <v>1.0275386351688618</v>
      </c>
      <c r="R43">
        <f t="shared" si="11"/>
        <v>0.23203947316928461</v>
      </c>
      <c r="S43">
        <f t="shared" si="12"/>
        <v>0.99999540223919015</v>
      </c>
      <c r="T43">
        <f t="shared" si="13"/>
        <v>-3.0324130104980558E-3</v>
      </c>
      <c r="U43">
        <f t="shared" si="14"/>
        <v>0.99998882795330013</v>
      </c>
      <c r="V43">
        <f t="shared" si="15"/>
        <v>-4.7269583248169969E-3</v>
      </c>
      <c r="X43">
        <f t="shared" si="34"/>
        <v>20.389162617611881</v>
      </c>
      <c r="Y43">
        <f t="shared" si="16"/>
        <v>-50.70386789721347</v>
      </c>
      <c r="Z43">
        <f t="shared" si="35"/>
        <v>129.29613210278654</v>
      </c>
      <c r="AC43">
        <v>1</v>
      </c>
      <c r="AD43">
        <f t="shared" si="17"/>
        <v>0.57871906524180006</v>
      </c>
      <c r="AE43">
        <f t="shared" si="18"/>
        <v>-9.1632217913636897E-8</v>
      </c>
      <c r="AF43">
        <f t="shared" si="19"/>
        <v>1.9384883287560003E-5</v>
      </c>
      <c r="AG43">
        <f t="shared" si="36"/>
        <v>29609.631274777679</v>
      </c>
      <c r="AH43">
        <f t="shared" si="37"/>
        <v>-51726.553176040579</v>
      </c>
      <c r="AJ43">
        <f t="shared" si="20"/>
        <v>55000</v>
      </c>
      <c r="AK43">
        <f t="shared" si="21"/>
        <v>166.78322679768752</v>
      </c>
      <c r="AL43">
        <v>1</v>
      </c>
      <c r="AM43">
        <f t="shared" si="22"/>
        <v>0.2362956765679125</v>
      </c>
      <c r="AN43">
        <f t="shared" si="38"/>
        <v>52128.766748943548</v>
      </c>
      <c r="AO43">
        <f t="shared" si="39"/>
        <v>-12151.018980794828</v>
      </c>
      <c r="AQ43">
        <f t="shared" si="23"/>
        <v>477.35418967560025</v>
      </c>
      <c r="AR43">
        <f t="shared" si="24"/>
        <v>-1132.0454608156861</v>
      </c>
      <c r="AT43">
        <f t="shared" si="52"/>
        <v>-44422528.182813138</v>
      </c>
      <c r="AU43">
        <f t="shared" si="53"/>
        <v>-58211335.557098947</v>
      </c>
      <c r="AV43">
        <f t="shared" si="42"/>
        <v>-2.2226446827255706</v>
      </c>
      <c r="AW43">
        <f t="shared" si="25"/>
        <v>11380637.329234876</v>
      </c>
      <c r="AX43">
        <f t="shared" si="26"/>
        <v>-65445921.046127595</v>
      </c>
      <c r="AY43">
        <f t="shared" si="50"/>
        <v>-1.3986242290698347</v>
      </c>
      <c r="BA43">
        <f t="shared" si="27"/>
        <v>1.1023223261505632</v>
      </c>
      <c r="BB43">
        <f t="shared" si="43"/>
        <v>0.8461720718105582</v>
      </c>
      <c r="BC43">
        <f t="shared" si="44"/>
        <v>-0.82402045365573584</v>
      </c>
      <c r="BD43">
        <f t="shared" si="28"/>
        <v>-227.21289428087772</v>
      </c>
      <c r="BF43">
        <f t="shared" si="29"/>
        <v>20.301487469451128</v>
      </c>
      <c r="BG43">
        <f t="shared" si="30"/>
        <v>-50.825850305819671</v>
      </c>
      <c r="BH43">
        <f t="shared" si="45"/>
        <v>129.17414969418033</v>
      </c>
      <c r="BI43">
        <f t="shared" si="46"/>
        <v>129.17414969418033</v>
      </c>
      <c r="BJ43">
        <f t="shared" si="31"/>
        <v>0</v>
      </c>
      <c r="BK43">
        <f t="shared" si="47"/>
        <v>0</v>
      </c>
      <c r="BM43">
        <f t="shared" si="48"/>
        <v>19.455315397640572</v>
      </c>
      <c r="BN43">
        <f t="shared" si="32"/>
        <v>-3.6129560249419641</v>
      </c>
      <c r="BQ43" s="75">
        <f t="shared" si="49"/>
        <v>17.748132872095695</v>
      </c>
      <c r="BR43" s="77"/>
      <c r="BS43" s="77"/>
      <c r="BT43" s="77">
        <v>213.79599999999999</v>
      </c>
      <c r="BU43" s="77">
        <v>28.178999999999998</v>
      </c>
      <c r="BV43" s="77">
        <v>-266.9667</v>
      </c>
      <c r="BW43" s="84"/>
      <c r="BY43" s="77"/>
      <c r="BZ43" s="77"/>
      <c r="CA43" s="77"/>
      <c r="CC43" s="77"/>
    </row>
    <row r="44" spans="1:81">
      <c r="A44">
        <f t="shared" si="54"/>
        <v>5000</v>
      </c>
      <c r="B44">
        <f t="shared" si="33"/>
        <v>5</v>
      </c>
      <c r="C44">
        <f t="shared" si="0"/>
        <v>1.0000170722959223</v>
      </c>
      <c r="D44">
        <f t="shared" si="1"/>
        <v>5.8432958233875397E-3</v>
      </c>
      <c r="F44">
        <f t="shared" si="2"/>
        <v>1.0546697738092345</v>
      </c>
      <c r="G44">
        <f t="shared" si="3"/>
        <v>-7.6731487403217863E-2</v>
      </c>
      <c r="H44">
        <f t="shared" si="4"/>
        <v>-7.6731487403217863E-2</v>
      </c>
      <c r="J44">
        <f t="shared" si="5"/>
        <v>9</v>
      </c>
      <c r="M44">
        <f t="shared" si="6"/>
        <v>0.84414417775409145</v>
      </c>
      <c r="N44">
        <f t="shared" si="7"/>
        <v>-1.5707963250000001</v>
      </c>
      <c r="O44">
        <f t="shared" si="8"/>
        <v>1.1888970697923842</v>
      </c>
      <c r="P44">
        <f t="shared" si="9"/>
        <v>0.57145354332429765</v>
      </c>
      <c r="Q44">
        <f t="shared" si="10"/>
        <v>1.0338921110253017</v>
      </c>
      <c r="R44">
        <f t="shared" si="11"/>
        <v>0.25675580991023361</v>
      </c>
      <c r="S44">
        <f t="shared" si="12"/>
        <v>0.99999432376126929</v>
      </c>
      <c r="T44">
        <f t="shared" si="13"/>
        <v>-3.3693453669159266E-3</v>
      </c>
      <c r="U44">
        <f t="shared" si="14"/>
        <v>0.9999862074039706</v>
      </c>
      <c r="V44">
        <f t="shared" si="15"/>
        <v>-5.2521667406022158E-3</v>
      </c>
      <c r="X44">
        <f t="shared" si="34"/>
        <v>19.867881513573938</v>
      </c>
      <c r="Y44">
        <f t="shared" si="16"/>
        <v>-47.10266990900525</v>
      </c>
      <c r="Z44">
        <f t="shared" si="35"/>
        <v>132.89733009099476</v>
      </c>
      <c r="AC44">
        <v>1</v>
      </c>
      <c r="AD44">
        <f t="shared" si="17"/>
        <v>0.643021183602</v>
      </c>
      <c r="AE44">
        <f t="shared" si="18"/>
        <v>-1.1312619495510726E-7</v>
      </c>
      <c r="AF44">
        <f t="shared" si="19"/>
        <v>2.1538759208400001E-5</v>
      </c>
      <c r="AG44">
        <f t="shared" si="36"/>
        <v>29609.476086248465</v>
      </c>
      <c r="AH44">
        <f t="shared" si="37"/>
        <v>-46583.445111961264</v>
      </c>
      <c r="AJ44">
        <f t="shared" si="20"/>
        <v>55000</v>
      </c>
      <c r="AK44">
        <f t="shared" si="21"/>
        <v>185.31469644187501</v>
      </c>
      <c r="AL44">
        <v>1</v>
      </c>
      <c r="AM44">
        <f t="shared" si="22"/>
        <v>0.26255075174212505</v>
      </c>
      <c r="AN44">
        <f t="shared" si="38"/>
        <v>51498.69992305206</v>
      </c>
      <c r="AO44">
        <f t="shared" si="39"/>
        <v>-13335.707682097562</v>
      </c>
      <c r="AQ44">
        <f t="shared" si="23"/>
        <v>398.07508914829936</v>
      </c>
      <c r="AR44">
        <f t="shared" si="24"/>
        <v>-1048.9278599057691</v>
      </c>
      <c r="AT44">
        <f t="shared" si="52"/>
        <v>-37075878.555659592</v>
      </c>
      <c r="AU44">
        <f t="shared" si="53"/>
        <v>-49601913.449858539</v>
      </c>
      <c r="AV44">
        <f t="shared" si="42"/>
        <v>-2.212675444479304</v>
      </c>
      <c r="AW44">
        <f t="shared" si="25"/>
        <v>6761665.5059394296</v>
      </c>
      <c r="AX44">
        <f t="shared" si="26"/>
        <v>-59907625.354213797</v>
      </c>
      <c r="AY44">
        <f t="shared" si="50"/>
        <v>-1.4584037865532715</v>
      </c>
      <c r="BA44">
        <f t="shared" si="27"/>
        <v>1.0271883782457081</v>
      </c>
      <c r="BB44">
        <f t="shared" si="43"/>
        <v>0.23300194167017874</v>
      </c>
      <c r="BC44">
        <f t="shared" si="44"/>
        <v>-0.75427165792603246</v>
      </c>
      <c r="BD44">
        <f t="shared" si="28"/>
        <v>-223.21658265487915</v>
      </c>
      <c r="BF44">
        <f t="shared" si="29"/>
        <v>19.780330408760673</v>
      </c>
      <c r="BG44">
        <f t="shared" si="30"/>
        <v>-47.278176854359295</v>
      </c>
      <c r="BH44">
        <f t="shared" si="45"/>
        <v>132.72182314564071</v>
      </c>
      <c r="BI44">
        <f t="shared" si="46"/>
        <v>132.72182314564071</v>
      </c>
      <c r="BJ44">
        <f t="shared" si="31"/>
        <v>0</v>
      </c>
      <c r="BK44">
        <f t="shared" si="47"/>
        <v>0</v>
      </c>
      <c r="BM44">
        <f t="shared" si="48"/>
        <v>19.547328467090491</v>
      </c>
      <c r="BN44">
        <f t="shared" si="32"/>
        <v>-4.0615941994801448</v>
      </c>
      <c r="BQ44" s="75">
        <f t="shared" si="49"/>
        <v>17.134962741955317</v>
      </c>
      <c r="BR44" s="77"/>
      <c r="BS44" s="77"/>
      <c r="BT44" s="77">
        <v>218.77600000000001</v>
      </c>
      <c r="BU44" s="77">
        <v>27.706399999999999</v>
      </c>
      <c r="BV44" s="77">
        <v>-263.5369</v>
      </c>
      <c r="BW44" s="84"/>
      <c r="BY44" s="77"/>
      <c r="BZ44" s="77"/>
      <c r="CA44" s="77"/>
      <c r="CC44" s="77"/>
    </row>
    <row r="45" spans="1:81">
      <c r="A45">
        <f t="shared" si="54"/>
        <v>5500</v>
      </c>
      <c r="B45">
        <f t="shared" si="33"/>
        <v>5.5</v>
      </c>
      <c r="C45">
        <f t="shared" si="0"/>
        <v>1.0000206574410364</v>
      </c>
      <c r="D45">
        <f t="shared" si="1"/>
        <v>6.4276100433106349E-3</v>
      </c>
      <c r="F45">
        <f t="shared" si="2"/>
        <v>1.0672116867685639</v>
      </c>
      <c r="G45">
        <f t="shared" si="3"/>
        <v>-8.5428444868192135E-2</v>
      </c>
      <c r="H45">
        <f t="shared" si="4"/>
        <v>-8.5428444868192135E-2</v>
      </c>
      <c r="J45">
        <f t="shared" si="5"/>
        <v>9</v>
      </c>
      <c r="M45">
        <f t="shared" si="6"/>
        <v>0.76740379795826497</v>
      </c>
      <c r="N45">
        <f t="shared" si="7"/>
        <v>-1.5707963250000001</v>
      </c>
      <c r="O45">
        <f t="shared" si="8"/>
        <v>1.224869892477854</v>
      </c>
      <c r="P45">
        <f t="shared" si="9"/>
        <v>0.61562404112130287</v>
      </c>
      <c r="Q45">
        <f t="shared" si="10"/>
        <v>1.0408692548350296</v>
      </c>
      <c r="R45">
        <f t="shared" si="11"/>
        <v>0.28115553636708185</v>
      </c>
      <c r="S45">
        <f t="shared" si="12"/>
        <v>0.9999931317634162</v>
      </c>
      <c r="T45">
        <f t="shared" si="13"/>
        <v>-3.7062769583334982E-3</v>
      </c>
      <c r="U45">
        <f t="shared" si="14"/>
        <v>0.99998331103131188</v>
      </c>
      <c r="V45">
        <f t="shared" si="15"/>
        <v>-5.777372258820938E-3</v>
      </c>
      <c r="X45">
        <f t="shared" si="34"/>
        <v>19.460038137867492</v>
      </c>
      <c r="Y45">
        <f t="shared" si="16"/>
        <v>-43.688102491472648</v>
      </c>
      <c r="Z45">
        <f t="shared" si="35"/>
        <v>136.31189750852735</v>
      </c>
      <c r="AC45">
        <v>1</v>
      </c>
      <c r="AD45">
        <f t="shared" si="17"/>
        <v>0.70732330196220006</v>
      </c>
      <c r="AE45">
        <f t="shared" si="18"/>
        <v>-1.368826958956798E-7</v>
      </c>
      <c r="AF45">
        <f t="shared" si="19"/>
        <v>2.3692635129240002E-5</v>
      </c>
      <c r="AG45">
        <f t="shared" si="36"/>
        <v>29609.304563977192</v>
      </c>
      <c r="AH45">
        <f t="shared" si="37"/>
        <v>-42378.274765780392</v>
      </c>
      <c r="AJ45">
        <f t="shared" si="20"/>
        <v>55000</v>
      </c>
      <c r="AK45">
        <f t="shared" si="21"/>
        <v>203.84616608606254</v>
      </c>
      <c r="AL45">
        <v>1</v>
      </c>
      <c r="AM45">
        <f t="shared" si="22"/>
        <v>0.28880582691633755</v>
      </c>
      <c r="AN45">
        <f t="shared" si="38"/>
        <v>50820.033650157413</v>
      </c>
      <c r="AO45">
        <f t="shared" si="39"/>
        <v>-14473.27567616375</v>
      </c>
      <c r="AQ45">
        <f t="shared" si="23"/>
        <v>336.33638361111093</v>
      </c>
      <c r="AR45">
        <f t="shared" si="24"/>
        <v>-974.87100789680517</v>
      </c>
      <c r="AT45">
        <f t="shared" si="52"/>
        <v>-31354665.015556023</v>
      </c>
      <c r="AU45">
        <f t="shared" si="53"/>
        <v>-43118608.2618085</v>
      </c>
      <c r="AV45">
        <f t="shared" si="42"/>
        <v>-2.1995270385745176</v>
      </c>
      <c r="AW45">
        <f t="shared" si="25"/>
        <v>3229602.1407415327</v>
      </c>
      <c r="AX45">
        <f t="shared" si="26"/>
        <v>-54948948.031083606</v>
      </c>
      <c r="AY45">
        <f t="shared" si="50"/>
        <v>-1.5120892703532076</v>
      </c>
      <c r="BA45">
        <f t="shared" si="27"/>
        <v>0.96856548452155</v>
      </c>
      <c r="BB45">
        <f t="shared" si="43"/>
        <v>-0.27742022775768993</v>
      </c>
      <c r="BC45">
        <f t="shared" si="44"/>
        <v>-0.68743776822130997</v>
      </c>
      <c r="BD45">
        <f t="shared" si="28"/>
        <v>-219.3872828419801</v>
      </c>
      <c r="BF45">
        <f t="shared" si="29"/>
        <v>19.372620836406359</v>
      </c>
      <c r="BG45">
        <f t="shared" si="30"/>
        <v>-43.913697260628126</v>
      </c>
      <c r="BH45">
        <f t="shared" si="45"/>
        <v>136.08630273937189</v>
      </c>
      <c r="BI45">
        <f t="shared" si="46"/>
        <v>136.08630273937189</v>
      </c>
      <c r="BJ45">
        <f t="shared" si="31"/>
        <v>0</v>
      </c>
      <c r="BK45">
        <f t="shared" si="47"/>
        <v>0</v>
      </c>
      <c r="BM45">
        <f t="shared" si="48"/>
        <v>19.650041064164046</v>
      </c>
      <c r="BN45">
        <f t="shared" si="32"/>
        <v>-4.5264144186480291</v>
      </c>
      <c r="BQ45" s="75">
        <f t="shared" si="49"/>
        <v>16.624540572527447</v>
      </c>
      <c r="BR45" s="77"/>
      <c r="BS45" s="77"/>
      <c r="BT45" s="77">
        <v>223.87200000000001</v>
      </c>
      <c r="BU45" s="77">
        <v>27.937100000000001</v>
      </c>
      <c r="BV45" s="77">
        <v>-265.19450000000001</v>
      </c>
      <c r="BW45" s="84"/>
      <c r="BY45" s="77"/>
      <c r="BZ45" s="77"/>
      <c r="CA45" s="77"/>
      <c r="CC45" s="77"/>
    </row>
    <row r="46" spans="1:81">
      <c r="A46">
        <f t="shared" si="54"/>
        <v>6000</v>
      </c>
      <c r="B46">
        <f t="shared" si="33"/>
        <v>6</v>
      </c>
      <c r="C46">
        <f t="shared" si="0"/>
        <v>1.0000245840137949</v>
      </c>
      <c r="D46">
        <f t="shared" si="1"/>
        <v>7.011919874137562E-3</v>
      </c>
      <c r="F46">
        <f t="shared" si="2"/>
        <v>1.081273994940078</v>
      </c>
      <c r="G46">
        <f t="shared" si="3"/>
        <v>-9.4448213427021102E-2</v>
      </c>
      <c r="H46">
        <f t="shared" si="4"/>
        <v>-9.4448213427021102E-2</v>
      </c>
      <c r="J46">
        <f t="shared" si="5"/>
        <v>9</v>
      </c>
      <c r="M46">
        <f t="shared" si="6"/>
        <v>0.7034534814617428</v>
      </c>
      <c r="N46">
        <f t="shared" si="7"/>
        <v>-1.5707963250000001</v>
      </c>
      <c r="O46">
        <f t="shared" si="8"/>
        <v>1.2630937373321589</v>
      </c>
      <c r="P46">
        <f t="shared" si="9"/>
        <v>0.6571983323028564</v>
      </c>
      <c r="Q46">
        <f t="shared" si="10"/>
        <v>1.0484576157509236</v>
      </c>
      <c r="R46">
        <f t="shared" si="11"/>
        <v>0.30521622822077826</v>
      </c>
      <c r="S46">
        <f t="shared" si="12"/>
        <v>0.99999182624684901</v>
      </c>
      <c r="T46">
        <f t="shared" si="13"/>
        <v>-4.0432077082547535E-3</v>
      </c>
      <c r="U46">
        <f t="shared" si="14"/>
        <v>0.99998013884251502</v>
      </c>
      <c r="V46">
        <f t="shared" si="15"/>
        <v>-6.3025745897534414E-3</v>
      </c>
      <c r="X46">
        <f t="shared" si="34"/>
        <v>19.147972249914837</v>
      </c>
      <c r="Y46">
        <f t="shared" si="16"/>
        <v>-40.460207741734536</v>
      </c>
      <c r="Z46">
        <f t="shared" si="35"/>
        <v>139.53979225826546</v>
      </c>
      <c r="AC46">
        <v>1</v>
      </c>
      <c r="AD46">
        <f t="shared" si="17"/>
        <v>0.7716254203224</v>
      </c>
      <c r="AE46">
        <f t="shared" si="18"/>
        <v>-1.6290172073535449E-7</v>
      </c>
      <c r="AF46">
        <f t="shared" si="19"/>
        <v>2.584651105008E-5</v>
      </c>
      <c r="AG46">
        <f t="shared" si="36"/>
        <v>29609.116708531572</v>
      </c>
      <c r="AH46">
        <f t="shared" si="37"/>
        <v>-38876.557617944476</v>
      </c>
      <c r="AJ46">
        <f t="shared" si="20"/>
        <v>55000</v>
      </c>
      <c r="AK46">
        <f t="shared" si="21"/>
        <v>222.37763573025006</v>
      </c>
      <c r="AL46">
        <v>1</v>
      </c>
      <c r="AM46">
        <f t="shared" si="22"/>
        <v>0.31506090209055004</v>
      </c>
      <c r="AN46">
        <f t="shared" si="38"/>
        <v>50097.241389036149</v>
      </c>
      <c r="AO46">
        <f t="shared" si="39"/>
        <v>-15561.304428547519</v>
      </c>
      <c r="AQ46">
        <f t="shared" si="23"/>
        <v>287.50044097948728</v>
      </c>
      <c r="AR46">
        <f t="shared" si="24"/>
        <v>-909.07639437713885</v>
      </c>
      <c r="AT46">
        <f t="shared" si="52"/>
        <v>-26829126.71440012</v>
      </c>
      <c r="AU46">
        <f t="shared" si="53"/>
        <v>-38093976.517007262</v>
      </c>
      <c r="AV46">
        <f t="shared" si="42"/>
        <v>-2.1843942828585305</v>
      </c>
      <c r="AW46">
        <f t="shared" si="25"/>
        <v>499966.14519367553</v>
      </c>
      <c r="AX46">
        <f t="shared" si="26"/>
        <v>-50519370.933943532</v>
      </c>
      <c r="AY46">
        <f t="shared" si="50"/>
        <v>-1.5609001262982205</v>
      </c>
      <c r="BA46">
        <f t="shared" si="27"/>
        <v>0.92224438270026088</v>
      </c>
      <c r="BB46">
        <f t="shared" si="43"/>
        <v>-0.70307962676071112</v>
      </c>
      <c r="BC46">
        <f t="shared" si="44"/>
        <v>-0.62349415656031004</v>
      </c>
      <c r="BD46">
        <f t="shared" si="28"/>
        <v>-215.7235837627949</v>
      </c>
      <c r="BF46">
        <f t="shared" si="29"/>
        <v>19.060699256728554</v>
      </c>
      <c r="BG46">
        <f t="shared" si="30"/>
        <v>-40.733314365366503</v>
      </c>
      <c r="BH46">
        <f t="shared" si="45"/>
        <v>139.26668563463349</v>
      </c>
      <c r="BI46">
        <f t="shared" si="46"/>
        <v>139.26668563463349</v>
      </c>
      <c r="BJ46">
        <f t="shared" si="31"/>
        <v>0</v>
      </c>
      <c r="BK46">
        <f t="shared" si="47"/>
        <v>0</v>
      </c>
      <c r="BM46">
        <f t="shared" si="48"/>
        <v>19.763778883489266</v>
      </c>
      <c r="BN46">
        <f t="shared" si="32"/>
        <v>-5.0097306025716088</v>
      </c>
      <c r="BQ46" s="75">
        <f t="shared" si="49"/>
        <v>16.198881173524427</v>
      </c>
      <c r="BR46" s="77"/>
      <c r="BS46" s="77"/>
      <c r="BT46" s="77">
        <v>229.08699999999999</v>
      </c>
      <c r="BU46" s="77">
        <v>27.676300000000001</v>
      </c>
      <c r="BV46" s="77">
        <v>-266.75440000000003</v>
      </c>
      <c r="BW46" s="84"/>
      <c r="BY46" s="77"/>
      <c r="BZ46" s="77"/>
      <c r="CA46" s="77"/>
      <c r="CC46" s="77"/>
    </row>
    <row r="47" spans="1:81">
      <c r="A47">
        <f t="shared" si="54"/>
        <v>6500</v>
      </c>
      <c r="B47">
        <f t="shared" si="33"/>
        <v>6.5</v>
      </c>
      <c r="C47">
        <f t="shared" si="0"/>
        <v>1.0000288520101761</v>
      </c>
      <c r="D47">
        <f t="shared" si="1"/>
        <v>7.5962249169347811E-3</v>
      </c>
      <c r="F47">
        <f t="shared" si="2"/>
        <v>1.0969590858940803</v>
      </c>
      <c r="G47">
        <f t="shared" si="3"/>
        <v>-0.10383537613807375</v>
      </c>
      <c r="H47">
        <f t="shared" si="4"/>
        <v>-0.10383537613807375</v>
      </c>
      <c r="J47">
        <f t="shared" si="5"/>
        <v>9</v>
      </c>
      <c r="M47">
        <f t="shared" si="6"/>
        <v>0.64934167519545494</v>
      </c>
      <c r="N47">
        <f t="shared" si="7"/>
        <v>-1.5707963250000001</v>
      </c>
      <c r="O47">
        <f t="shared" si="8"/>
        <v>1.3033705727566316</v>
      </c>
      <c r="P47">
        <f t="shared" si="9"/>
        <v>0.69626733061237545</v>
      </c>
      <c r="Q47">
        <f t="shared" si="10"/>
        <v>1.0566440253634144</v>
      </c>
      <c r="R47">
        <f t="shared" si="11"/>
        <v>0.3289176472156411</v>
      </c>
      <c r="S47">
        <f t="shared" si="12"/>
        <v>0.99999040721290167</v>
      </c>
      <c r="T47">
        <f t="shared" si="13"/>
        <v>-4.3801375401848197E-3</v>
      </c>
      <c r="U47">
        <f t="shared" si="14"/>
        <v>0.99997669084545415</v>
      </c>
      <c r="V47">
        <f t="shared" si="15"/>
        <v>-6.8277734436905553E-3</v>
      </c>
      <c r="X47">
        <f t="shared" si="34"/>
        <v>18.918021401905342</v>
      </c>
      <c r="Y47">
        <f t="shared" si="16"/>
        <v>-37.417490675584439</v>
      </c>
      <c r="Z47">
        <f t="shared" si="35"/>
        <v>142.58250932441555</v>
      </c>
      <c r="AC47">
        <v>1</v>
      </c>
      <c r="AD47">
        <f t="shared" si="17"/>
        <v>0.83592753868260017</v>
      </c>
      <c r="AE47">
        <f t="shared" si="18"/>
        <v>-1.9118326947413132E-7</v>
      </c>
      <c r="AF47">
        <f t="shared" si="19"/>
        <v>2.8000386970920002E-5</v>
      </c>
      <c r="AG47">
        <f t="shared" si="36"/>
        <v>29608.912520533424</v>
      </c>
      <c r="AH47">
        <f t="shared" si="37"/>
        <v>-35915.958223923299</v>
      </c>
      <c r="AJ47">
        <f t="shared" si="20"/>
        <v>55000</v>
      </c>
      <c r="AK47">
        <f t="shared" si="21"/>
        <v>240.90910537443753</v>
      </c>
      <c r="AL47">
        <v>1</v>
      </c>
      <c r="AM47">
        <f t="shared" si="22"/>
        <v>0.34131597726476254</v>
      </c>
      <c r="AN47">
        <f t="shared" si="38"/>
        <v>49334.880471186385</v>
      </c>
      <c r="AO47">
        <f t="shared" si="39"/>
        <v>-16597.873835888793</v>
      </c>
      <c r="AQ47">
        <f t="shared" si="23"/>
        <v>248.31062685652589</v>
      </c>
      <c r="AR47">
        <f t="shared" si="24"/>
        <v>-850.58805229702944</v>
      </c>
      <c r="AT47">
        <f t="shared" si="52"/>
        <v>-23197477.323554702</v>
      </c>
      <c r="AU47">
        <f t="shared" si="53"/>
        <v>-34103301.332208842</v>
      </c>
      <c r="AV47">
        <f t="shared" si="42"/>
        <v>-2.1681179882486976</v>
      </c>
      <c r="AW47">
        <f t="shared" si="25"/>
        <v>-1627499.888346456</v>
      </c>
      <c r="AX47">
        <f t="shared" si="26"/>
        <v>-46559409.15410617</v>
      </c>
      <c r="AY47">
        <f t="shared" si="50"/>
        <v>-1.6057374382897267</v>
      </c>
      <c r="BA47">
        <f t="shared" si="27"/>
        <v>0.8853188584246261</v>
      </c>
      <c r="BB47">
        <f t="shared" si="43"/>
        <v>-1.0580056930723312</v>
      </c>
      <c r="BC47">
        <f t="shared" si="44"/>
        <v>-0.56238054995897091</v>
      </c>
      <c r="BD47">
        <f t="shared" si="28"/>
        <v>-212.22203202971423</v>
      </c>
      <c r="BF47">
        <f t="shared" si="29"/>
        <v>18.830903690869242</v>
      </c>
      <c r="BG47">
        <f t="shared" si="30"/>
        <v>-37.736129224907558</v>
      </c>
      <c r="BH47">
        <f t="shared" si="45"/>
        <v>142.26387077509244</v>
      </c>
      <c r="BI47">
        <f t="shared" si="46"/>
        <v>142.26387077509244</v>
      </c>
      <c r="BJ47">
        <f t="shared" si="31"/>
        <v>0</v>
      </c>
      <c r="BK47">
        <f t="shared" si="47"/>
        <v>0</v>
      </c>
      <c r="BM47">
        <f t="shared" si="48"/>
        <v>19.888909383941574</v>
      </c>
      <c r="BN47">
        <f t="shared" si="32"/>
        <v>-5.5140971951933411</v>
      </c>
      <c r="BQ47" s="75">
        <f t="shared" si="49"/>
        <v>15.843955107212807</v>
      </c>
      <c r="BR47" s="77"/>
      <c r="BS47" s="77"/>
      <c r="BT47" s="77">
        <v>234.423</v>
      </c>
      <c r="BU47" s="77">
        <v>27.670300000000001</v>
      </c>
      <c r="BV47" s="77">
        <v>-266.76120000000003</v>
      </c>
      <c r="BW47" s="84"/>
      <c r="BY47" s="77"/>
      <c r="BZ47" s="77"/>
      <c r="CA47" s="77"/>
      <c r="CC47" s="77"/>
    </row>
    <row r="48" spans="1:81">
      <c r="A48">
        <f t="shared" si="54"/>
        <v>7000</v>
      </c>
      <c r="B48">
        <f t="shared" si="33"/>
        <v>7</v>
      </c>
      <c r="C48">
        <f t="shared" si="0"/>
        <v>1.0000334614258084</v>
      </c>
      <c r="D48">
        <f t="shared" si="1"/>
        <v>8.1805247727883678E-3</v>
      </c>
      <c r="F48">
        <f t="shared" si="2"/>
        <v>1.1143848772579634</v>
      </c>
      <c r="G48">
        <f t="shared" si="3"/>
        <v>-0.1136394847720537</v>
      </c>
      <c r="H48">
        <f t="shared" si="4"/>
        <v>-0.1136394847720537</v>
      </c>
      <c r="J48">
        <f t="shared" si="5"/>
        <v>9</v>
      </c>
      <c r="M48">
        <f t="shared" si="6"/>
        <v>0.60296012696720813</v>
      </c>
      <c r="N48">
        <f t="shared" si="7"/>
        <v>-1.5707963250000001</v>
      </c>
      <c r="O48">
        <f t="shared" si="8"/>
        <v>1.3455160479977182</v>
      </c>
      <c r="P48">
        <f t="shared" si="9"/>
        <v>0.73294196964235248</v>
      </c>
      <c r="Q48">
        <f t="shared" si="10"/>
        <v>1.0654146979421186</v>
      </c>
      <c r="R48">
        <f t="shared" si="11"/>
        <v>0.35224176674437496</v>
      </c>
      <c r="S48">
        <f t="shared" si="12"/>
        <v>0.99998887466302344</v>
      </c>
      <c r="T48">
        <f t="shared" si="13"/>
        <v>-4.717066377630078E-3</v>
      </c>
      <c r="U48">
        <f t="shared" si="14"/>
        <v>0.9999729670486891</v>
      </c>
      <c r="V48">
        <f t="shared" si="15"/>
        <v>-7.3529685309346136E-3</v>
      </c>
      <c r="X48">
        <f t="shared" si="34"/>
        <v>18.759436770968925</v>
      </c>
      <c r="Y48">
        <f t="shared" si="16"/>
        <v>-34.557467224084078</v>
      </c>
      <c r="Z48">
        <f t="shared" si="35"/>
        <v>145.44253277591594</v>
      </c>
      <c r="AC48">
        <v>1</v>
      </c>
      <c r="AD48">
        <f t="shared" si="17"/>
        <v>0.90022965704280011</v>
      </c>
      <c r="AE48">
        <f t="shared" si="18"/>
        <v>-2.2172734211201024E-7</v>
      </c>
      <c r="AF48">
        <f t="shared" si="19"/>
        <v>3.015426289176E-5</v>
      </c>
      <c r="AG48">
        <f t="shared" si="36"/>
        <v>29608.692000658561</v>
      </c>
      <c r="AH48">
        <f t="shared" si="37"/>
        <v>-33380.522687416596</v>
      </c>
      <c r="AJ48">
        <f t="shared" si="20"/>
        <v>55000</v>
      </c>
      <c r="AK48">
        <f t="shared" si="21"/>
        <v>259.44057501862505</v>
      </c>
      <c r="AL48">
        <v>1</v>
      </c>
      <c r="AM48">
        <f t="shared" si="22"/>
        <v>0.36757105243897503</v>
      </c>
      <c r="AN48">
        <f t="shared" si="38"/>
        <v>48537.530891840142</v>
      </c>
      <c r="AO48">
        <f t="shared" si="39"/>
        <v>-17581.55073768432</v>
      </c>
      <c r="AQ48">
        <f t="shared" si="23"/>
        <v>216.4460530117592</v>
      </c>
      <c r="AR48">
        <f t="shared" si="24"/>
        <v>-798.46948956037966</v>
      </c>
      <c r="AT48">
        <f t="shared" si="52"/>
        <v>-20244644.393096812</v>
      </c>
      <c r="AU48">
        <f t="shared" si="53"/>
        <v>-30866719.571477141</v>
      </c>
      <c r="AV48">
        <f t="shared" si="42"/>
        <v>-2.1512890398728146</v>
      </c>
      <c r="AW48">
        <f t="shared" si="25"/>
        <v>-3295972.6839030925</v>
      </c>
      <c r="AX48">
        <f t="shared" si="26"/>
        <v>-43011119.44189845</v>
      </c>
      <c r="AY48">
        <f t="shared" si="50"/>
        <v>-1.6472775659171781</v>
      </c>
      <c r="BA48">
        <f t="shared" si="27"/>
        <v>0.85572068462140716</v>
      </c>
      <c r="BB48">
        <f t="shared" si="43"/>
        <v>-1.3533594009208185</v>
      </c>
      <c r="BC48">
        <f t="shared" si="44"/>
        <v>-0.5040114739556365</v>
      </c>
      <c r="BD48">
        <f t="shared" si="28"/>
        <v>-208.8777303168234</v>
      </c>
      <c r="BF48">
        <f t="shared" si="29"/>
        <v>18.672485622647262</v>
      </c>
      <c r="BG48">
        <f t="shared" si="30"/>
        <v>-34.92008364352467</v>
      </c>
      <c r="BH48">
        <f t="shared" si="45"/>
        <v>145.07991635647534</v>
      </c>
      <c r="BI48">
        <f t="shared" si="46"/>
        <v>145.07991635647534</v>
      </c>
      <c r="BJ48">
        <f t="shared" si="31"/>
        <v>0</v>
      </c>
      <c r="BK48">
        <f t="shared" si="47"/>
        <v>0</v>
      </c>
      <c r="BM48">
        <f t="shared" si="48"/>
        <v>20.025845023568078</v>
      </c>
      <c r="BN48">
        <f t="shared" si="32"/>
        <v>-6.0423533267012699</v>
      </c>
      <c r="BQ48" s="75">
        <f t="shared" si="49"/>
        <v>15.548601399364317</v>
      </c>
      <c r="BR48" s="77"/>
      <c r="BS48" s="77"/>
      <c r="BT48" s="77">
        <v>239.88300000000001</v>
      </c>
      <c r="BU48" s="77">
        <v>27.2761</v>
      </c>
      <c r="BV48" s="77">
        <v>-267.59569999999997</v>
      </c>
      <c r="BW48" s="84"/>
      <c r="BY48" s="77"/>
      <c r="BZ48" s="77"/>
      <c r="CA48" s="77"/>
      <c r="CC48" s="77"/>
    </row>
    <row r="49" spans="1:81">
      <c r="A49">
        <f t="shared" si="54"/>
        <v>7500</v>
      </c>
      <c r="B49">
        <f t="shared" si="33"/>
        <v>7.5</v>
      </c>
      <c r="C49">
        <f t="shared" si="0"/>
        <v>1.0000384122559707</v>
      </c>
      <c r="D49">
        <f t="shared" si="1"/>
        <v>8.7648190428056411E-3</v>
      </c>
      <c r="F49">
        <f t="shared" si="2"/>
        <v>1.1336869646983749</v>
      </c>
      <c r="G49">
        <f t="shared" si="3"/>
        <v>-0.12391597315196158</v>
      </c>
      <c r="H49">
        <f t="shared" si="4"/>
        <v>-0.12391597315196158</v>
      </c>
      <c r="J49">
        <f t="shared" si="5"/>
        <v>9</v>
      </c>
      <c r="M49">
        <f t="shared" si="6"/>
        <v>0.56276278516939426</v>
      </c>
      <c r="N49">
        <f t="shared" si="7"/>
        <v>-1.5707963250000001</v>
      </c>
      <c r="O49">
        <f t="shared" si="8"/>
        <v>1.3893601209773021</v>
      </c>
      <c r="P49">
        <f t="shared" si="9"/>
        <v>0.76734583556799207</v>
      </c>
      <c r="Q49">
        <f t="shared" si="10"/>
        <v>1.074755329733609</v>
      </c>
      <c r="R49">
        <f t="shared" si="11"/>
        <v>0.37517276896612828</v>
      </c>
      <c r="S49">
        <f t="shared" si="12"/>
        <v>0.99998722859878042</v>
      </c>
      <c r="T49">
        <f t="shared" si="13"/>
        <v>-5.053994144098262E-3</v>
      </c>
      <c r="U49">
        <f t="shared" si="14"/>
        <v>0.9999689674614638</v>
      </c>
      <c r="V49">
        <f t="shared" si="15"/>
        <v>-7.8781595618004196E-3</v>
      </c>
      <c r="X49">
        <f t="shared" si="34"/>
        <v>18.663662545589144</v>
      </c>
      <c r="Y49">
        <f t="shared" si="16"/>
        <v>-31.877138842481106</v>
      </c>
      <c r="Z49">
        <f t="shared" si="35"/>
        <v>148.12286115751888</v>
      </c>
      <c r="AC49">
        <v>1</v>
      </c>
      <c r="AD49">
        <f t="shared" si="17"/>
        <v>0.96453177540300006</v>
      </c>
      <c r="AE49">
        <f t="shared" si="18"/>
        <v>-2.5453393864899133E-7</v>
      </c>
      <c r="AF49">
        <f t="shared" si="19"/>
        <v>3.2308138812600001E-5</v>
      </c>
      <c r="AG49">
        <f t="shared" si="36"/>
        <v>29608.455149636859</v>
      </c>
      <c r="AH49">
        <f t="shared" si="37"/>
        <v>-31185.218144278104</v>
      </c>
      <c r="AJ49">
        <f t="shared" si="20"/>
        <v>55000</v>
      </c>
      <c r="AK49">
        <f t="shared" si="21"/>
        <v>277.97204466281255</v>
      </c>
      <c r="AL49">
        <v>1</v>
      </c>
      <c r="AM49">
        <f t="shared" si="22"/>
        <v>0.39382612761318747</v>
      </c>
      <c r="AN49">
        <f t="shared" si="38"/>
        <v>47709.738955215253</v>
      </c>
      <c r="AO49">
        <f t="shared" si="39"/>
        <v>-18511.369697505652</v>
      </c>
      <c r="AQ49">
        <f t="shared" si="23"/>
        <v>190.22688330893709</v>
      </c>
      <c r="AR49">
        <f t="shared" si="24"/>
        <v>-751.8717562785738</v>
      </c>
      <c r="AT49">
        <f t="shared" si="52"/>
        <v>-17814960.593360953</v>
      </c>
      <c r="AU49">
        <f t="shared" si="53"/>
        <v>-28194028.026948184</v>
      </c>
      <c r="AV49">
        <f t="shared" si="42"/>
        <v>-2.1343206229886724</v>
      </c>
      <c r="AW49">
        <f t="shared" si="25"/>
        <v>-4609507.6650948338</v>
      </c>
      <c r="AX49">
        <f t="shared" si="26"/>
        <v>-39822085.601624347</v>
      </c>
      <c r="AY49">
        <f t="shared" si="50"/>
        <v>-1.6860360102454246</v>
      </c>
      <c r="BA49">
        <f t="shared" si="27"/>
        <v>0.831940233887422</v>
      </c>
      <c r="BB49">
        <f t="shared" si="43"/>
        <v>-1.5981574411376984</v>
      </c>
      <c r="BC49">
        <f t="shared" si="44"/>
        <v>-0.44828461274324782</v>
      </c>
      <c r="BD49">
        <f t="shared" si="28"/>
        <v>-205.68481636019379</v>
      </c>
      <c r="BF49">
        <f t="shared" si="29"/>
        <v>18.576889447511611</v>
      </c>
      <c r="BG49">
        <f t="shared" si="30"/>
        <v>-32.282491504247901</v>
      </c>
      <c r="BH49">
        <f t="shared" si="45"/>
        <v>147.7175084957521</v>
      </c>
      <c r="BI49">
        <f t="shared" si="46"/>
        <v>147.7175084957521</v>
      </c>
      <c r="BJ49">
        <f t="shared" si="31"/>
        <v>0</v>
      </c>
      <c r="BK49">
        <f t="shared" si="47"/>
        <v>0</v>
      </c>
      <c r="BM49">
        <f t="shared" si="48"/>
        <v>20.175046888649312</v>
      </c>
      <c r="BN49">
        <f t="shared" si="32"/>
        <v>-6.5976751440541053</v>
      </c>
      <c r="BQ49" s="75">
        <f t="shared" si="49"/>
        <v>15.303803359147439</v>
      </c>
      <c r="BR49" s="77"/>
      <c r="BS49" s="77"/>
      <c r="BT49" s="77">
        <v>245.471</v>
      </c>
      <c r="BU49" s="77">
        <v>27.075500000000002</v>
      </c>
      <c r="BV49" s="77">
        <v>-266.80959999999999</v>
      </c>
      <c r="BW49" s="84"/>
      <c r="BY49" s="77"/>
      <c r="BZ49" s="77"/>
      <c r="CA49" s="77"/>
      <c r="CC49" s="77"/>
    </row>
    <row r="50" spans="1:81">
      <c r="A50">
        <f t="shared" si="54"/>
        <v>8000</v>
      </c>
      <c r="B50">
        <f t="shared" si="33"/>
        <v>8</v>
      </c>
      <c r="C50">
        <f t="shared" si="0"/>
        <v>1.0000437044955928</v>
      </c>
      <c r="D50">
        <f t="shared" si="1"/>
        <v>9.3491073281168104E-3</v>
      </c>
      <c r="F50">
        <f t="shared" si="2"/>
        <v>1.1550211759943023</v>
      </c>
      <c r="G50">
        <f t="shared" si="3"/>
        <v>-0.13472724703341307</v>
      </c>
      <c r="H50">
        <f t="shared" si="4"/>
        <v>-0.13472724703341307</v>
      </c>
      <c r="J50">
        <f t="shared" si="5"/>
        <v>9</v>
      </c>
      <c r="M50">
        <f t="shared" si="6"/>
        <v>0.52759011109630716</v>
      </c>
      <c r="N50">
        <f t="shared" si="7"/>
        <v>-1.5707963250000001</v>
      </c>
      <c r="O50">
        <f t="shared" si="8"/>
        <v>1.4347470790895334</v>
      </c>
      <c r="P50">
        <f t="shared" si="9"/>
        <v>0.79960925912771075</v>
      </c>
      <c r="Q50">
        <f t="shared" si="10"/>
        <v>1.0846511959774481</v>
      </c>
      <c r="R50">
        <f t="shared" si="11"/>
        <v>0.39769701603180152</v>
      </c>
      <c r="S50">
        <f t="shared" si="12"/>
        <v>0.99998546902185481</v>
      </c>
      <c r="T50">
        <f t="shared" si="13"/>
        <v>-5.3909207630985639E-3</v>
      </c>
      <c r="U50">
        <f t="shared" si="14"/>
        <v>0.99996469209370642</v>
      </c>
      <c r="V50">
        <f t="shared" si="15"/>
        <v>-8.4033462466162022E-3</v>
      </c>
      <c r="X50">
        <f t="shared" si="34"/>
        <v>18.62383773269643</v>
      </c>
      <c r="Y50">
        <f t="shared" si="16"/>
        <v>-29.373395109002999</v>
      </c>
      <c r="Z50">
        <f t="shared" si="35"/>
        <v>150.62660489099699</v>
      </c>
      <c r="AC50">
        <v>1</v>
      </c>
      <c r="AD50">
        <f t="shared" si="17"/>
        <v>1.0288338937632</v>
      </c>
      <c r="AE50">
        <f t="shared" si="18"/>
        <v>-2.8960305908507459E-7</v>
      </c>
      <c r="AF50">
        <f t="shared" si="19"/>
        <v>3.4462014733440003E-5</v>
      </c>
      <c r="AG50">
        <f t="shared" si="36"/>
        <v>29608.201968252237</v>
      </c>
      <c r="AH50">
        <f t="shared" si="37"/>
        <v>-29266.269939968151</v>
      </c>
      <c r="AJ50">
        <f t="shared" si="20"/>
        <v>55000</v>
      </c>
      <c r="AK50">
        <f t="shared" si="21"/>
        <v>296.50351430700005</v>
      </c>
      <c r="AL50">
        <v>1</v>
      </c>
      <c r="AM50">
        <f t="shared" si="22"/>
        <v>0.42008120278740002</v>
      </c>
      <c r="AN50">
        <f t="shared" si="38"/>
        <v>46855.966663102765</v>
      </c>
      <c r="AO50">
        <f t="shared" si="39"/>
        <v>-19386.807319295531</v>
      </c>
      <c r="AQ50">
        <f t="shared" si="23"/>
        <v>168.41853187616326</v>
      </c>
      <c r="AR50">
        <f t="shared" si="24"/>
        <v>-710.0525303899044</v>
      </c>
      <c r="AT50">
        <f t="shared" si="52"/>
        <v>-15794019.118962415</v>
      </c>
      <c r="AU50">
        <f t="shared" si="53"/>
        <v>-25952360.944633771</v>
      </c>
      <c r="AV50">
        <f t="shared" si="42"/>
        <v>-2.1174988452966588</v>
      </c>
      <c r="AW50">
        <f t="shared" si="25"/>
        <v>-5644967.0508867148</v>
      </c>
      <c r="AX50">
        <f t="shared" si="26"/>
        <v>-36946483.046228029</v>
      </c>
      <c r="AY50">
        <f t="shared" si="50"/>
        <v>-1.7224114805894195</v>
      </c>
      <c r="BA50">
        <f t="shared" si="27"/>
        <v>0.81285162736536531</v>
      </c>
      <c r="BB50">
        <f t="shared" si="43"/>
        <v>-1.7997744090810566</v>
      </c>
      <c r="BC50">
        <f t="shared" si="44"/>
        <v>-0.39508736470723926</v>
      </c>
      <c r="BD50">
        <f t="shared" si="28"/>
        <v>-202.63683856253709</v>
      </c>
      <c r="BF50">
        <f t="shared" si="29"/>
        <v>18.537254315726571</v>
      </c>
      <c r="BG50">
        <f t="shared" si="30"/>
        <v>-29.820476819060669</v>
      </c>
      <c r="BH50">
        <f t="shared" si="45"/>
        <v>150.17952318093933</v>
      </c>
      <c r="BI50">
        <f t="shared" si="46"/>
        <v>150.17952318093933</v>
      </c>
      <c r="BJ50">
        <f t="shared" si="31"/>
        <v>0</v>
      </c>
      <c r="BK50">
        <f t="shared" si="47"/>
        <v>0</v>
      </c>
      <c r="BM50">
        <f t="shared" si="48"/>
        <v>20.337028724807627</v>
      </c>
      <c r="BN50">
        <f t="shared" si="32"/>
        <v>-7.1836382565235901</v>
      </c>
      <c r="BQ50" s="75">
        <f t="shared" si="49"/>
        <v>15.10218639120408</v>
      </c>
      <c r="BR50" s="77"/>
      <c r="BS50" s="77"/>
      <c r="BT50" s="77">
        <v>251.18899999999999</v>
      </c>
      <c r="BU50" s="77">
        <v>27.043399999999998</v>
      </c>
      <c r="BV50" s="77">
        <v>-265.9205</v>
      </c>
      <c r="BW50" s="84"/>
      <c r="BY50" s="77"/>
      <c r="BZ50" s="77"/>
      <c r="CA50" s="77"/>
      <c r="CC50" s="77"/>
    </row>
    <row r="51" spans="1:81">
      <c r="A51">
        <f t="shared" si="54"/>
        <v>8500</v>
      </c>
      <c r="B51">
        <f t="shared" si="33"/>
        <v>8.5</v>
      </c>
      <c r="C51">
        <f t="shared" si="0"/>
        <v>1.0000493381392541</v>
      </c>
      <c r="D51">
        <f t="shared" si="1"/>
        <v>9.933389229876596E-3</v>
      </c>
      <c r="F51">
        <f t="shared" si="2"/>
        <v>1.1785666071925198</v>
      </c>
      <c r="G51">
        <f t="shared" si="3"/>
        <v>-0.14614399328243874</v>
      </c>
      <c r="H51">
        <f t="shared" si="4"/>
        <v>-0.14614399328243874</v>
      </c>
      <c r="J51">
        <f t="shared" si="5"/>
        <v>9</v>
      </c>
      <c r="M51">
        <f t="shared" si="6"/>
        <v>0.49655539867887732</v>
      </c>
      <c r="N51">
        <f t="shared" si="7"/>
        <v>-1.5707963250000001</v>
      </c>
      <c r="O51">
        <f t="shared" si="8"/>
        <v>1.4815351298572201</v>
      </c>
      <c r="P51">
        <f t="shared" si="9"/>
        <v>0.82986475240209834</v>
      </c>
      <c r="Q51">
        <f t="shared" si="10"/>
        <v>1.0950872444808339</v>
      </c>
      <c r="R51">
        <f t="shared" si="11"/>
        <v>0.41980299834999973</v>
      </c>
      <c r="S51">
        <f t="shared" si="12"/>
        <v>0.9999835959340434</v>
      </c>
      <c r="T51">
        <f t="shared" si="13"/>
        <v>-5.727846158141741E-3</v>
      </c>
      <c r="U51">
        <f t="shared" si="14"/>
        <v>0.99996014095602959</v>
      </c>
      <c r="V51">
        <f t="shared" si="15"/>
        <v>-8.9285282957245714E-3</v>
      </c>
      <c r="X51">
        <f t="shared" si="34"/>
        <v>18.634440302557731</v>
      </c>
      <c r="Y51">
        <f t="shared" si="16"/>
        <v>-27.04335315266907</v>
      </c>
      <c r="Z51">
        <f t="shared" si="35"/>
        <v>152.95664684733094</v>
      </c>
      <c r="AC51">
        <v>1</v>
      </c>
      <c r="AD51">
        <f t="shared" si="17"/>
        <v>1.0931360121234002</v>
      </c>
      <c r="AE51">
        <f t="shared" si="18"/>
        <v>-3.2693470342026005E-7</v>
      </c>
      <c r="AF51">
        <f t="shared" si="19"/>
        <v>3.6615890654280004E-5</v>
      </c>
      <c r="AG51">
        <f t="shared" si="36"/>
        <v>29607.93245734262</v>
      </c>
      <c r="AH51">
        <f t="shared" si="37"/>
        <v>-27574.909214964235</v>
      </c>
      <c r="AJ51">
        <f t="shared" si="20"/>
        <v>55000</v>
      </c>
      <c r="AK51">
        <f t="shared" si="21"/>
        <v>315.03498395118754</v>
      </c>
      <c r="AL51">
        <v>1</v>
      </c>
      <c r="AM51">
        <f t="shared" si="22"/>
        <v>0.44633627796161257</v>
      </c>
      <c r="AN51">
        <f t="shared" si="38"/>
        <v>45980.547444707365</v>
      </c>
      <c r="AO51">
        <f t="shared" si="39"/>
        <v>-20207.751421156834</v>
      </c>
      <c r="AQ51">
        <f t="shared" si="23"/>
        <v>150.10025493664347</v>
      </c>
      <c r="AR51">
        <f t="shared" si="24"/>
        <v>-672.37409198869443</v>
      </c>
      <c r="AT51">
        <f t="shared" si="52"/>
        <v>-14096496.335088212</v>
      </c>
      <c r="AU51">
        <f t="shared" si="53"/>
        <v>-24046607.604689267</v>
      </c>
      <c r="AV51">
        <f t="shared" si="42"/>
        <v>-2.1010185718119123</v>
      </c>
      <c r="AW51">
        <f t="shared" si="25"/>
        <v>-6460021.5789048821</v>
      </c>
      <c r="AX51">
        <f t="shared" si="26"/>
        <v>-34344895.526953623</v>
      </c>
      <c r="AY51">
        <f t="shared" si="50"/>
        <v>-1.7567167140657831</v>
      </c>
      <c r="BA51">
        <f t="shared" si="27"/>
        <v>0.79759945190400072</v>
      </c>
      <c r="BB51">
        <f t="shared" si="43"/>
        <v>-1.9643030627131148</v>
      </c>
      <c r="BC51">
        <f t="shared" si="44"/>
        <v>-0.3443018577461292</v>
      </c>
      <c r="BD51">
        <f t="shared" si="28"/>
        <v>-199.72704334990829</v>
      </c>
      <c r="BF51">
        <f t="shared" si="29"/>
        <v>18.548058298956224</v>
      </c>
      <c r="BG51">
        <f t="shared" si="30"/>
        <v>-27.531336095965347</v>
      </c>
      <c r="BH51">
        <f t="shared" si="45"/>
        <v>152.46866390403466</v>
      </c>
      <c r="BI51">
        <f t="shared" si="46"/>
        <v>152.46866390403466</v>
      </c>
      <c r="BJ51">
        <f t="shared" si="31"/>
        <v>0</v>
      </c>
      <c r="BK51">
        <f t="shared" si="47"/>
        <v>0</v>
      </c>
      <c r="BM51">
        <f t="shared" si="48"/>
        <v>20.512361361669342</v>
      </c>
      <c r="BN51">
        <f t="shared" si="32"/>
        <v>-7.8042927460570617</v>
      </c>
      <c r="BQ51" s="75">
        <f t="shared" si="49"/>
        <v>14.937657737572023</v>
      </c>
      <c r="BR51" s="77"/>
      <c r="BS51" s="77"/>
      <c r="BT51" s="77">
        <v>257.04000000000002</v>
      </c>
      <c r="BU51" s="77">
        <v>26.677600000000002</v>
      </c>
      <c r="BV51" s="77">
        <v>-267.60309999999998</v>
      </c>
      <c r="BW51" s="84"/>
      <c r="BY51" s="77"/>
      <c r="BZ51" s="77"/>
      <c r="CA51" s="77"/>
      <c r="CC51" s="77"/>
    </row>
    <row r="52" spans="1:81">
      <c r="A52">
        <f t="shared" si="54"/>
        <v>9000</v>
      </c>
      <c r="B52">
        <f t="shared" si="33"/>
        <v>9</v>
      </c>
      <c r="C52">
        <f t="shared" si="0"/>
        <v>1.0000553131811849</v>
      </c>
      <c r="D52">
        <f t="shared" si="1"/>
        <v>1.0517664349265871E-2</v>
      </c>
      <c r="F52">
        <f t="shared" si="2"/>
        <v>1.2045292310422475</v>
      </c>
      <c r="G52">
        <f t="shared" si="3"/>
        <v>-0.15824676245058353</v>
      </c>
      <c r="H52">
        <f t="shared" si="4"/>
        <v>-0.15824676245058353</v>
      </c>
      <c r="J52">
        <f t="shared" si="5"/>
        <v>9</v>
      </c>
      <c r="M52">
        <f t="shared" si="6"/>
        <v>0.46896898764116191</v>
      </c>
      <c r="N52">
        <f t="shared" si="7"/>
        <v>-1.5707963250000001</v>
      </c>
      <c r="O52">
        <f t="shared" si="8"/>
        <v>1.5295957066811388</v>
      </c>
      <c r="P52">
        <f t="shared" si="9"/>
        <v>0.85824361374997304</v>
      </c>
      <c r="Q52">
        <f t="shared" si="10"/>
        <v>1.1060481847816352</v>
      </c>
      <c r="R52">
        <f t="shared" si="11"/>
        <v>0.44148126304864577</v>
      </c>
      <c r="S52">
        <f t="shared" si="12"/>
        <v>0.99998160933726032</v>
      </c>
      <c r="T52">
        <f t="shared" si="13"/>
        <v>-6.0647702527402139E-3</v>
      </c>
      <c r="U52">
        <f t="shared" si="14"/>
        <v>0.99995531405973026</v>
      </c>
      <c r="V52">
        <f t="shared" si="15"/>
        <v>-9.4537054194834859E-3</v>
      </c>
      <c r="X52">
        <f t="shared" si="34"/>
        <v>18.691026159530956</v>
      </c>
      <c r="Y52">
        <f t="shared" si="16"/>
        <v>-24.884646949847582</v>
      </c>
      <c r="Z52">
        <f t="shared" si="35"/>
        <v>155.11535305015241</v>
      </c>
      <c r="AC52">
        <v>1</v>
      </c>
      <c r="AD52">
        <f t="shared" si="17"/>
        <v>1.1574381304836001</v>
      </c>
      <c r="AE52">
        <f t="shared" si="18"/>
        <v>-3.6652887165454759E-7</v>
      </c>
      <c r="AF52">
        <f t="shared" si="19"/>
        <v>3.8769766575120006E-5</v>
      </c>
      <c r="AG52">
        <f t="shared" si="36"/>
        <v>29607.646617799972</v>
      </c>
      <c r="AH52">
        <f t="shared" si="37"/>
        <v>-26073.204628368072</v>
      </c>
      <c r="AJ52">
        <f t="shared" si="20"/>
        <v>55000</v>
      </c>
      <c r="AK52">
        <f t="shared" si="21"/>
        <v>333.56645359537504</v>
      </c>
      <c r="AL52">
        <v>1</v>
      </c>
      <c r="AM52">
        <f t="shared" si="22"/>
        <v>0.47259135313582501</v>
      </c>
      <c r="AN52">
        <f t="shared" si="38"/>
        <v>45087.64855009209</v>
      </c>
      <c r="AO52">
        <f t="shared" si="39"/>
        <v>-20974.466384405161</v>
      </c>
      <c r="AQ52">
        <f t="shared" si="23"/>
        <v>134.57581740657758</v>
      </c>
      <c r="AR52">
        <f t="shared" si="24"/>
        <v>-638.2931019593974</v>
      </c>
      <c r="AT52">
        <f t="shared" si="52"/>
        <v>-12657873.415187649</v>
      </c>
      <c r="AU52">
        <f t="shared" si="53"/>
        <v>-22407179.426664799</v>
      </c>
      <c r="AV52">
        <f t="shared" si="42"/>
        <v>-2.0850090167875512</v>
      </c>
      <c r="AW52">
        <f t="shared" si="25"/>
        <v>-7098587.6110054227</v>
      </c>
      <c r="AX52">
        <f t="shared" si="26"/>
        <v>-31983656.623809565</v>
      </c>
      <c r="AY52">
        <f t="shared" si="50"/>
        <v>-1.7892003340023213</v>
      </c>
      <c r="BA52">
        <f t="shared" si="27"/>
        <v>0.78552315980142007</v>
      </c>
      <c r="BB52">
        <f t="shared" si="43"/>
        <v>-2.0968201201648609</v>
      </c>
      <c r="BC52">
        <f t="shared" si="44"/>
        <v>-0.29580868278522998</v>
      </c>
      <c r="BD52">
        <f t="shared" si="28"/>
        <v>-196.94858908628444</v>
      </c>
      <c r="BF52">
        <f t="shared" si="29"/>
        <v>18.604857374524876</v>
      </c>
      <c r="BG52">
        <f t="shared" si="30"/>
        <v>-25.412842928435854</v>
      </c>
      <c r="BH52">
        <f t="shared" si="45"/>
        <v>154.58715707156415</v>
      </c>
      <c r="BI52">
        <f t="shared" si="46"/>
        <v>154.58715707156415</v>
      </c>
      <c r="BJ52">
        <f t="shared" si="31"/>
        <v>0</v>
      </c>
      <c r="BK52">
        <f t="shared" si="47"/>
        <v>0</v>
      </c>
      <c r="BM52">
        <f t="shared" si="48"/>
        <v>20.701677494689733</v>
      </c>
      <c r="BN52">
        <f t="shared" si="32"/>
        <v>-8.4642538421514235</v>
      </c>
      <c r="BQ52" s="75">
        <f t="shared" si="49"/>
        <v>14.805140680120276</v>
      </c>
      <c r="BR52" s="77"/>
      <c r="BS52" s="77"/>
      <c r="BT52" s="77">
        <v>263.02699999999999</v>
      </c>
      <c r="BU52" s="77">
        <v>26.270299999999999</v>
      </c>
      <c r="BV52" s="77">
        <v>-267.3229</v>
      </c>
      <c r="BW52" s="84"/>
      <c r="BY52" s="77"/>
      <c r="BZ52" s="77"/>
      <c r="CA52" s="77"/>
      <c r="CC52" s="77"/>
    </row>
    <row r="53" spans="1:81">
      <c r="A53">
        <f t="shared" si="54"/>
        <v>9500</v>
      </c>
      <c r="B53">
        <f t="shared" si="33"/>
        <v>9.5</v>
      </c>
      <c r="C53">
        <f t="shared" si="0"/>
        <v>1.0000616296152662</v>
      </c>
      <c r="D53">
        <f t="shared" si="1"/>
        <v>1.1101932287493285E-2</v>
      </c>
      <c r="F53">
        <f t="shared" si="2"/>
        <v>1.2331461833068211</v>
      </c>
      <c r="G53">
        <f t="shared" si="3"/>
        <v>-0.17112789354130342</v>
      </c>
      <c r="H53">
        <f t="shared" si="4"/>
        <v>-0.17112789354130342</v>
      </c>
      <c r="J53">
        <f t="shared" si="5"/>
        <v>9</v>
      </c>
      <c r="M53">
        <f t="shared" si="6"/>
        <v>0.44428640934425867</v>
      </c>
      <c r="N53">
        <f t="shared" si="7"/>
        <v>-1.5707963250000001</v>
      </c>
      <c r="O53">
        <f t="shared" si="8"/>
        <v>1.5788126030802108</v>
      </c>
      <c r="P53">
        <f t="shared" si="9"/>
        <v>0.88487350367510242</v>
      </c>
      <c r="Q53">
        <f t="shared" si="10"/>
        <v>1.1175185721220393</v>
      </c>
      <c r="R53">
        <f t="shared" si="11"/>
        <v>0.46272432588175944</v>
      </c>
      <c r="S53">
        <f t="shared" si="12"/>
        <v>0.99997950923353529</v>
      </c>
      <c r="T53">
        <f t="shared" si="13"/>
        <v>-6.4016929704081797E-3</v>
      </c>
      <c r="U53">
        <f t="shared" si="14"/>
        <v>0.99995021141678964</v>
      </c>
      <c r="V53">
        <f t="shared" si="15"/>
        <v>-9.9788773282671987E-3</v>
      </c>
      <c r="X53">
        <f t="shared" si="34"/>
        <v>18.790033539262339</v>
      </c>
      <c r="Y53">
        <f t="shared" si="16"/>
        <v>-22.895681545222697</v>
      </c>
      <c r="Z53">
        <f t="shared" si="35"/>
        <v>157.10431845477731</v>
      </c>
      <c r="AC53">
        <v>1</v>
      </c>
      <c r="AD53">
        <f t="shared" si="17"/>
        <v>1.2217402488438001</v>
      </c>
      <c r="AE53">
        <f t="shared" si="18"/>
        <v>-4.0838556378793722E-7</v>
      </c>
      <c r="AF53">
        <f t="shared" si="19"/>
        <v>4.092364249596E-5</v>
      </c>
      <c r="AG53">
        <f t="shared" si="36"/>
        <v>29607.344450570265</v>
      </c>
      <c r="AH53">
        <f t="shared" si="37"/>
        <v>-24731.210379321044</v>
      </c>
      <c r="AJ53">
        <f t="shared" si="20"/>
        <v>55000</v>
      </c>
      <c r="AK53">
        <f t="shared" si="21"/>
        <v>352.09792323956253</v>
      </c>
      <c r="AL53">
        <v>1</v>
      </c>
      <c r="AM53">
        <f t="shared" si="22"/>
        <v>0.49884642831003756</v>
      </c>
      <c r="AN53">
        <f t="shared" si="38"/>
        <v>44181.240180900728</v>
      </c>
      <c r="AO53">
        <f t="shared" si="39"/>
        <v>-21687.555939310685</v>
      </c>
      <c r="AQ53">
        <f t="shared" si="23"/>
        <v>121.31190771424895</v>
      </c>
      <c r="AR53">
        <f t="shared" si="24"/>
        <v>-607.34806597138743</v>
      </c>
      <c r="AT53">
        <f t="shared" si="52"/>
        <v>-11428729.355360579</v>
      </c>
      <c r="AU53">
        <f t="shared" si="53"/>
        <v>-20982153.70180041</v>
      </c>
      <c r="AV53">
        <f t="shared" si="42"/>
        <v>-2.0695521552780258</v>
      </c>
      <c r="AW53">
        <f t="shared" si="25"/>
        <v>-7594573.6883314829</v>
      </c>
      <c r="AX53">
        <f t="shared" si="26"/>
        <v>-29834065.717397369</v>
      </c>
      <c r="AY53">
        <f t="shared" si="50"/>
        <v>-1.8200625666507222</v>
      </c>
      <c r="BA53">
        <f t="shared" si="27"/>
        <v>0.77610530935168232</v>
      </c>
      <c r="BB53">
        <f t="shared" si="43"/>
        <v>-2.2015869107308239</v>
      </c>
      <c r="BC53">
        <f t="shared" si="44"/>
        <v>-0.24948958862730364</v>
      </c>
      <c r="BD53">
        <f t="shared" si="28"/>
        <v>-194.29470047713369</v>
      </c>
      <c r="BF53">
        <f t="shared" si="29"/>
        <v>18.704089831282534</v>
      </c>
      <c r="BG53">
        <f t="shared" si="30"/>
        <v>-23.463512679977931</v>
      </c>
      <c r="BH53">
        <f t="shared" si="45"/>
        <v>156.53648732002208</v>
      </c>
      <c r="BI53">
        <f t="shared" si="46"/>
        <v>156.53648732002208</v>
      </c>
      <c r="BJ53">
        <f t="shared" si="31"/>
        <v>0</v>
      </c>
      <c r="BK53">
        <f t="shared" si="47"/>
        <v>0</v>
      </c>
      <c r="BM53">
        <f t="shared" si="48"/>
        <v>20.905676742013355</v>
      </c>
      <c r="BN53">
        <f t="shared" si="32"/>
        <v>-9.1688122028442542</v>
      </c>
      <c r="BQ53" s="75">
        <f t="shared" si="49"/>
        <v>14.700373889554312</v>
      </c>
      <c r="BR53" s="77"/>
      <c r="BS53" s="77"/>
      <c r="BT53" s="77">
        <v>269.15300000000002</v>
      </c>
      <c r="BU53" s="77">
        <v>26.235900000000001</v>
      </c>
      <c r="BV53" s="77">
        <v>-265.67700000000002</v>
      </c>
      <c r="BW53" s="84"/>
      <c r="BY53" s="77"/>
      <c r="BZ53" s="77"/>
      <c r="CA53" s="77"/>
      <c r="CC53" s="77"/>
    </row>
    <row r="54" spans="1:81">
      <c r="A54">
        <f t="shared" si="54"/>
        <v>10000</v>
      </c>
      <c r="B54">
        <f t="shared" si="33"/>
        <v>10</v>
      </c>
      <c r="C54">
        <f t="shared" si="0"/>
        <v>1.0000682874350291</v>
      </c>
      <c r="D54">
        <f t="shared" si="1"/>
        <v>1.1686192645796905E-2</v>
      </c>
      <c r="F54">
        <f t="shared" si="2"/>
        <v>1.2646908479558872</v>
      </c>
      <c r="G54">
        <f t="shared" si="3"/>
        <v>-0.18489386883089429</v>
      </c>
      <c r="H54">
        <f t="shared" si="4"/>
        <v>-0.18489386883089429</v>
      </c>
      <c r="J54">
        <f t="shared" si="5"/>
        <v>9</v>
      </c>
      <c r="M54">
        <f t="shared" si="6"/>
        <v>0.42207208887704573</v>
      </c>
      <c r="N54">
        <f t="shared" si="7"/>
        <v>-1.5707963250000001</v>
      </c>
      <c r="O54">
        <f t="shared" si="8"/>
        <v>1.6290810201594237</v>
      </c>
      <c r="P54">
        <f t="shared" si="9"/>
        <v>0.90987679976993774</v>
      </c>
      <c r="Q54">
        <f t="shared" si="10"/>
        <v>1.1294828856434345</v>
      </c>
      <c r="R54">
        <f t="shared" si="11"/>
        <v>0.48352656981327236</v>
      </c>
      <c r="S54">
        <f t="shared" si="12"/>
        <v>0.99997729562501347</v>
      </c>
      <c r="T54">
        <f t="shared" si="13"/>
        <v>-6.738614234661708E-3</v>
      </c>
      <c r="U54">
        <f t="shared" si="14"/>
        <v>0.99994483303987303</v>
      </c>
      <c r="V54">
        <f t="shared" si="15"/>
        <v>-1.0504043732467223E-2</v>
      </c>
      <c r="X54">
        <f t="shared" si="34"/>
        <v>18.928633870348339</v>
      </c>
      <c r="Y54">
        <f t="shared" si="16"/>
        <v>-21.075868038595942</v>
      </c>
      <c r="Z54">
        <f t="shared" si="35"/>
        <v>158.92413196140404</v>
      </c>
      <c r="AC54">
        <v>1</v>
      </c>
      <c r="AD54">
        <f t="shared" si="17"/>
        <v>1.286042367204</v>
      </c>
      <c r="AE54">
        <f t="shared" si="18"/>
        <v>-4.5250477982042905E-7</v>
      </c>
      <c r="AF54">
        <f t="shared" si="19"/>
        <v>4.3077518416800002E-5</v>
      </c>
      <c r="AG54">
        <f t="shared" si="36"/>
        <v>29607.025956653481</v>
      </c>
      <c r="AH54">
        <f t="shared" si="37"/>
        <v>-23524.969821994986</v>
      </c>
      <c r="AJ54">
        <f t="shared" si="20"/>
        <v>55000</v>
      </c>
      <c r="AK54">
        <f t="shared" si="21"/>
        <v>370.62939288375003</v>
      </c>
      <c r="AL54">
        <v>1</v>
      </c>
      <c r="AM54">
        <f t="shared" si="22"/>
        <v>0.52510150348425011</v>
      </c>
      <c r="AN54">
        <f t="shared" si="38"/>
        <v>43265.071217976933</v>
      </c>
      <c r="AO54">
        <f t="shared" si="39"/>
        <v>-22347.924552029097</v>
      </c>
      <c r="AQ54">
        <f t="shared" si="23"/>
        <v>109.89507487948731</v>
      </c>
      <c r="AR54">
        <f t="shared" si="24"/>
        <v>-579.14704461489816</v>
      </c>
      <c r="AT54">
        <f t="shared" si="52"/>
        <v>-10370750.412597705</v>
      </c>
      <c r="AU54">
        <f t="shared" si="53"/>
        <v>-19732099.902758259</v>
      </c>
      <c r="AV54">
        <f t="shared" si="42"/>
        <v>-2.0546960462723254</v>
      </c>
      <c r="AW54">
        <f t="shared" si="25"/>
        <v>-7974499.3498267606</v>
      </c>
      <c r="AX54">
        <f t="shared" si="26"/>
        <v>-27871629.086267482</v>
      </c>
      <c r="AY54">
        <f t="shared" si="50"/>
        <v>-1.8494666900100667</v>
      </c>
      <c r="BA54">
        <f t="shared" si="27"/>
        <v>0.76893533012085091</v>
      </c>
      <c r="BB54">
        <f t="shared" si="43"/>
        <v>-2.2822036838849695</v>
      </c>
      <c r="BC54">
        <f t="shared" si="44"/>
        <v>-0.20522935626225869</v>
      </c>
      <c r="BD54">
        <f t="shared" si="28"/>
        <v>-191.75877595945056</v>
      </c>
      <c r="BF54">
        <f t="shared" si="29"/>
        <v>18.842927136980741</v>
      </c>
      <c r="BG54">
        <f t="shared" si="30"/>
        <v>-21.682844795465154</v>
      </c>
      <c r="BH54">
        <f t="shared" si="45"/>
        <v>158.31715520453486</v>
      </c>
      <c r="BI54">
        <f t="shared" si="46"/>
        <v>158.31715520453486</v>
      </c>
      <c r="BJ54">
        <f t="shared" si="31"/>
        <v>0</v>
      </c>
      <c r="BK54">
        <f t="shared" si="47"/>
        <v>0</v>
      </c>
      <c r="BM54">
        <f t="shared" si="48"/>
        <v>21.125130820865714</v>
      </c>
      <c r="BN54">
        <f t="shared" si="32"/>
        <v>-9.9240688360146017</v>
      </c>
      <c r="BQ54" s="75">
        <f t="shared" si="49"/>
        <v>14.619757116400168</v>
      </c>
      <c r="BR54" s="77"/>
      <c r="BS54" s="77"/>
      <c r="BT54" s="77">
        <v>275.423</v>
      </c>
      <c r="BU54" s="77">
        <v>25.845600000000001</v>
      </c>
      <c r="BV54" s="77">
        <v>-266.46569999999997</v>
      </c>
      <c r="BW54" s="84"/>
      <c r="BY54" s="77"/>
      <c r="BZ54" s="77"/>
      <c r="CA54" s="77"/>
      <c r="CC54" s="77"/>
    </row>
    <row r="55" spans="1:81">
      <c r="A55">
        <f t="shared" si="54"/>
        <v>10500</v>
      </c>
      <c r="B55">
        <f t="shared" si="33"/>
        <v>10.5</v>
      </c>
      <c r="C55">
        <f t="shared" si="0"/>
        <v>1.0000752866336555</v>
      </c>
      <c r="D55">
        <f t="shared" si="1"/>
        <v>1.227044502544585E-2</v>
      </c>
      <c r="F55">
        <f t="shared" si="2"/>
        <v>1.2994788750928858</v>
      </c>
      <c r="G55">
        <f t="shared" si="3"/>
        <v>-0.19966821136777405</v>
      </c>
      <c r="H55">
        <f t="shared" si="4"/>
        <v>-0.19966821136777405</v>
      </c>
      <c r="J55">
        <f t="shared" si="5"/>
        <v>9</v>
      </c>
      <c r="M55">
        <f t="shared" si="6"/>
        <v>0.40197341797813879</v>
      </c>
      <c r="N55">
        <f t="shared" si="7"/>
        <v>-1.5707963250000001</v>
      </c>
      <c r="O55">
        <f t="shared" si="8"/>
        <v>1.6803065880051906</v>
      </c>
      <c r="P55">
        <f t="shared" si="9"/>
        <v>0.93336955835041413</v>
      </c>
      <c r="Q55">
        <f t="shared" si="10"/>
        <v>1.1419256003917091</v>
      </c>
      <c r="R55">
        <f t="shared" si="11"/>
        <v>0.50388413339790938</v>
      </c>
      <c r="S55">
        <f t="shared" si="12"/>
        <v>0.99997496851395651</v>
      </c>
      <c r="T55">
        <f t="shared" si="13"/>
        <v>-7.075533969018848E-3</v>
      </c>
      <c r="U55">
        <f t="shared" si="14"/>
        <v>0.99993917894232931</v>
      </c>
      <c r="V55">
        <f t="shared" si="15"/>
        <v>-1.1029204342493288E-2</v>
      </c>
      <c r="X55">
        <f t="shared" si="34"/>
        <v>19.104616330093911</v>
      </c>
      <c r="Y55">
        <f t="shared" si="16"/>
        <v>-19.425855488614367</v>
      </c>
      <c r="Z55">
        <f t="shared" si="35"/>
        <v>160.57414451138564</v>
      </c>
      <c r="AC55">
        <v>1</v>
      </c>
      <c r="AD55">
        <f t="shared" si="17"/>
        <v>1.3503444855642002</v>
      </c>
      <c r="AE55">
        <f t="shared" si="18"/>
        <v>-4.9888651975202308E-7</v>
      </c>
      <c r="AF55">
        <f t="shared" si="19"/>
        <v>4.5231394337640003E-5</v>
      </c>
      <c r="AG55">
        <f t="shared" si="36"/>
        <v>29606.691137103589</v>
      </c>
      <c r="AH55">
        <f t="shared" si="37"/>
        <v>-22435.0894763</v>
      </c>
      <c r="AJ55">
        <f t="shared" si="20"/>
        <v>55000</v>
      </c>
      <c r="AK55">
        <f t="shared" si="21"/>
        <v>389.16086252793752</v>
      </c>
      <c r="AL55">
        <v>1</v>
      </c>
      <c r="AM55">
        <f t="shared" si="22"/>
        <v>0.55135657865846255</v>
      </c>
      <c r="AN55">
        <f t="shared" si="38"/>
        <v>42342.651230394273</v>
      </c>
      <c r="AO55">
        <f t="shared" si="39"/>
        <v>-22956.738451190791</v>
      </c>
      <c r="AQ55">
        <f t="shared" si="23"/>
        <v>100.00119466955364</v>
      </c>
      <c r="AR55">
        <f t="shared" si="24"/>
        <v>-553.35661070397509</v>
      </c>
      <c r="AT55">
        <f t="shared" si="52"/>
        <v>-9453900.5895229429</v>
      </c>
      <c r="AU55">
        <f t="shared" si="53"/>
        <v>-18626594.011935391</v>
      </c>
      <c r="AV55">
        <f t="shared" si="42"/>
        <v>-2.0404645159212391</v>
      </c>
      <c r="AW55">
        <f t="shared" si="25"/>
        <v>-8259351.7406381881</v>
      </c>
      <c r="AX55">
        <f t="shared" si="26"/>
        <v>-26075383.633598845</v>
      </c>
      <c r="AY55">
        <f t="shared" si="50"/>
        <v>-1.8775474757572466</v>
      </c>
      <c r="BA55">
        <f t="shared" si="27"/>
        <v>0.76368365630131396</v>
      </c>
      <c r="BB55">
        <f t="shared" si="43"/>
        <v>-2.3417300738745701</v>
      </c>
      <c r="BC55">
        <f t="shared" si="44"/>
        <v>-0.16291704016399255</v>
      </c>
      <c r="BD55">
        <f t="shared" si="28"/>
        <v>-189.33445882282626</v>
      </c>
      <c r="BF55">
        <f t="shared" si="29"/>
        <v>19.019158497887638</v>
      </c>
      <c r="BG55">
        <f t="shared" si="30"/>
        <v>-20.071559936689351</v>
      </c>
      <c r="BH55">
        <f t="shared" si="45"/>
        <v>159.92844006331066</v>
      </c>
      <c r="BI55">
        <f t="shared" si="46"/>
        <v>159.92844006331066</v>
      </c>
      <c r="BJ55">
        <f t="shared" si="31"/>
        <v>0</v>
      </c>
      <c r="BK55">
        <f t="shared" si="47"/>
        <v>0</v>
      </c>
      <c r="BM55">
        <f t="shared" si="48"/>
        <v>21.36088857176221</v>
      </c>
      <c r="BN55">
        <f t="shared" si="32"/>
        <v>-10.737101113863082</v>
      </c>
      <c r="BQ55" s="75">
        <f t="shared" si="49"/>
        <v>14.560230726410566</v>
      </c>
      <c r="BR55" s="78"/>
      <c r="BS55" s="78"/>
      <c r="BT55" s="78">
        <v>281.83800000000002</v>
      </c>
      <c r="BU55" s="78">
        <v>26.1068</v>
      </c>
      <c r="BV55" s="78">
        <v>-266.67570000000001</v>
      </c>
      <c r="BW55" s="84"/>
      <c r="BY55" s="78"/>
      <c r="BZ55" s="78"/>
      <c r="CA55" s="78"/>
      <c r="CC55" s="78"/>
    </row>
    <row r="56" spans="1:81">
      <c r="A56">
        <f t="shared" si="54"/>
        <v>11000</v>
      </c>
      <c r="B56">
        <f t="shared" si="33"/>
        <v>11</v>
      </c>
      <c r="C56">
        <f t="shared" si="0"/>
        <v>1.0000826272039778</v>
      </c>
      <c r="D56">
        <f t="shared" si="1"/>
        <v>1.2854689027741903E-2</v>
      </c>
      <c r="F56">
        <f t="shared" si="2"/>
        <v>1.337875270708496</v>
      </c>
      <c r="G56">
        <f t="shared" si="3"/>
        <v>-0.21559506988083849</v>
      </c>
      <c r="H56">
        <f t="shared" si="4"/>
        <v>-0.21559506988083849</v>
      </c>
      <c r="J56">
        <f t="shared" si="5"/>
        <v>9</v>
      </c>
      <c r="M56">
        <f t="shared" si="6"/>
        <v>0.38370189897913248</v>
      </c>
      <c r="N56">
        <f t="shared" si="7"/>
        <v>-1.5707963250000001</v>
      </c>
      <c r="O56">
        <f t="shared" si="8"/>
        <v>1.7324044025558349</v>
      </c>
      <c r="P56">
        <f t="shared" si="9"/>
        <v>0.95546093584658121</v>
      </c>
      <c r="Q56">
        <f t="shared" si="10"/>
        <v>1.154831252886463</v>
      </c>
      <c r="R56">
        <f t="shared" si="11"/>
        <v>0.52379479189238831</v>
      </c>
      <c r="S56">
        <f t="shared" si="12"/>
        <v>0.99997252790274171</v>
      </c>
      <c r="T56">
        <f t="shared" si="13"/>
        <v>-7.4124520969997346E-3</v>
      </c>
      <c r="U56">
        <f t="shared" si="14"/>
        <v>0.99993324913819193</v>
      </c>
      <c r="V56">
        <f t="shared" si="15"/>
        <v>-1.15543588687743E-2</v>
      </c>
      <c r="X56">
        <f t="shared" si="34"/>
        <v>19.316297060543114</v>
      </c>
      <c r="Y56">
        <f t="shared" si="16"/>
        <v>-17.947776276590858</v>
      </c>
      <c r="Z56">
        <f t="shared" si="35"/>
        <v>162.05222372340916</v>
      </c>
      <c r="AC56">
        <v>1</v>
      </c>
      <c r="AD56">
        <f t="shared" si="17"/>
        <v>1.4146466039244001</v>
      </c>
      <c r="AE56">
        <f t="shared" si="18"/>
        <v>-5.4753078358271919E-7</v>
      </c>
      <c r="AF56">
        <f t="shared" si="19"/>
        <v>4.7385270258480005E-5</v>
      </c>
      <c r="AG56">
        <f t="shared" si="36"/>
        <v>29606.339993028545</v>
      </c>
      <c r="AH56">
        <f t="shared" si="37"/>
        <v>-21445.701944762881</v>
      </c>
      <c r="AJ56">
        <f t="shared" si="20"/>
        <v>55000</v>
      </c>
      <c r="AK56">
        <f t="shared" si="21"/>
        <v>407.69233217212508</v>
      </c>
      <c r="AL56">
        <v>1</v>
      </c>
      <c r="AM56">
        <f t="shared" si="22"/>
        <v>0.5776116538326751</v>
      </c>
      <c r="AN56">
        <f t="shared" si="38"/>
        <v>41417.238315558207</v>
      </c>
      <c r="AO56">
        <f t="shared" si="39"/>
        <v>-23515.387188459492</v>
      </c>
      <c r="AQ56">
        <f t="shared" si="23"/>
        <v>91.373527031725203</v>
      </c>
      <c r="AR56">
        <f t="shared" si="24"/>
        <v>-529.69233620291106</v>
      </c>
      <c r="AT56">
        <f t="shared" si="52"/>
        <v>-8654388.2569693234</v>
      </c>
      <c r="AU56">
        <f t="shared" si="53"/>
        <v>-17641820.823689081</v>
      </c>
      <c r="AV56">
        <f t="shared" si="42"/>
        <v>-2.0268642165316741</v>
      </c>
      <c r="AW56">
        <f t="shared" si="25"/>
        <v>-8465920.0942304842</v>
      </c>
      <c r="AX56">
        <f t="shared" si="26"/>
        <v>-24427318.124658596</v>
      </c>
      <c r="AY56">
        <f t="shared" si="50"/>
        <v>-1.9044174843338819</v>
      </c>
      <c r="BA56">
        <f t="shared" si="27"/>
        <v>0.76008294022782641</v>
      </c>
      <c r="BB56">
        <f t="shared" si="43"/>
        <v>-2.3827802986493234</v>
      </c>
      <c r="BC56">
        <f t="shared" si="44"/>
        <v>-0.12244673219779223</v>
      </c>
      <c r="BD56">
        <f t="shared" si="28"/>
        <v>-187.01568097811872</v>
      </c>
      <c r="BF56">
        <f t="shared" si="29"/>
        <v>19.231100077477294</v>
      </c>
      <c r="BG56">
        <f t="shared" si="30"/>
        <v>-18.631849151149492</v>
      </c>
      <c r="BH56">
        <f t="shared" si="45"/>
        <v>161.36815084885052</v>
      </c>
      <c r="BI56">
        <f t="shared" si="46"/>
        <v>161.36815084885052</v>
      </c>
      <c r="BJ56">
        <f t="shared" si="31"/>
        <v>0</v>
      </c>
      <c r="BK56">
        <f t="shared" si="47"/>
        <v>0</v>
      </c>
      <c r="BM56">
        <f t="shared" si="48"/>
        <v>21.613880376126616</v>
      </c>
      <c r="BN56">
        <f t="shared" si="32"/>
        <v>-11.616168173030767</v>
      </c>
      <c r="BQ56" s="75">
        <f t="shared" si="49"/>
        <v>14.519180501635812</v>
      </c>
      <c r="BR56" s="78"/>
      <c r="BS56" s="78"/>
      <c r="BT56" s="78">
        <v>288.40300000000002</v>
      </c>
      <c r="BU56" s="78">
        <v>25.784400000000002</v>
      </c>
      <c r="BV56" s="78">
        <v>-268.05989999999997</v>
      </c>
      <c r="BW56" s="84"/>
      <c r="BY56" s="78"/>
      <c r="BZ56" s="78"/>
      <c r="CA56" s="78"/>
      <c r="CC56" s="78"/>
    </row>
    <row r="57" spans="1:81">
      <c r="A57">
        <f t="shared" si="54"/>
        <v>11500</v>
      </c>
      <c r="B57">
        <f t="shared" si="33"/>
        <v>11.5</v>
      </c>
      <c r="C57">
        <f t="shared" si="0"/>
        <v>1.0000903091384794</v>
      </c>
      <c r="D57">
        <f t="shared" si="1"/>
        <v>1.3438924254021172E-2</v>
      </c>
      <c r="F57">
        <f t="shared" si="2"/>
        <v>1.3803026853943738</v>
      </c>
      <c r="G57">
        <f t="shared" si="3"/>
        <v>-0.23284367727951483</v>
      </c>
      <c r="H57">
        <f t="shared" si="4"/>
        <v>-0.23284367727951483</v>
      </c>
      <c r="J57">
        <f t="shared" si="5"/>
        <v>9</v>
      </c>
      <c r="M57">
        <f t="shared" si="6"/>
        <v>0.36701920771917018</v>
      </c>
      <c r="N57">
        <f t="shared" si="7"/>
        <v>-1.5707963250000001</v>
      </c>
      <c r="O57">
        <f t="shared" si="8"/>
        <v>1.7852981048405479</v>
      </c>
      <c r="P57">
        <f t="shared" si="9"/>
        <v>0.97625294940698537</v>
      </c>
      <c r="Q57">
        <f t="shared" si="10"/>
        <v>1.1681845001546107</v>
      </c>
      <c r="R57">
        <f t="shared" si="11"/>
        <v>0.54325783378773396</v>
      </c>
      <c r="S57">
        <f t="shared" si="12"/>
        <v>0.99996997379386254</v>
      </c>
      <c r="T57">
        <f t="shared" si="13"/>
        <v>-7.7493685421266886E-3</v>
      </c>
      <c r="U57">
        <f t="shared" si="14"/>
        <v>0.99992704364217788</v>
      </c>
      <c r="V57">
        <f t="shared" si="15"/>
        <v>-1.2079507021759292E-2</v>
      </c>
      <c r="X57">
        <f t="shared" si="34"/>
        <v>19.562446243046445</v>
      </c>
      <c r="Y57">
        <f t="shared" si="16"/>
        <v>-16.645522350276341</v>
      </c>
      <c r="Z57">
        <f t="shared" si="35"/>
        <v>163.35447764972366</v>
      </c>
      <c r="AC57">
        <v>1</v>
      </c>
      <c r="AD57">
        <f t="shared" si="17"/>
        <v>1.4789487222846001</v>
      </c>
      <c r="AE57">
        <f t="shared" si="18"/>
        <v>-5.9843757131251755E-7</v>
      </c>
      <c r="AF57">
        <f t="shared" si="19"/>
        <v>4.9539146179320006E-5</v>
      </c>
      <c r="AG57">
        <f t="shared" si="36"/>
        <v>29605.972525590303</v>
      </c>
      <c r="AH57">
        <f t="shared" si="37"/>
        <v>-20543.699372828571</v>
      </c>
      <c r="AJ57">
        <f t="shared" si="20"/>
        <v>55000</v>
      </c>
      <c r="AK57">
        <f t="shared" si="21"/>
        <v>426.22380181631257</v>
      </c>
      <c r="AL57">
        <v>1</v>
      </c>
      <c r="AM57">
        <f t="shared" si="22"/>
        <v>0.60386672900688765</v>
      </c>
      <c r="AN57">
        <f t="shared" si="38"/>
        <v>40491.832224249709</v>
      </c>
      <c r="AO57">
        <f t="shared" si="39"/>
        <v>-24025.446474937049</v>
      </c>
      <c r="AQ57">
        <f t="shared" si="23"/>
        <v>83.806744588960342</v>
      </c>
      <c r="AR57">
        <f t="shared" si="24"/>
        <v>-507.91077558139415</v>
      </c>
      <c r="AT57">
        <f t="shared" si="52"/>
        <v>-7953186.1040044371</v>
      </c>
      <c r="AU57">
        <f t="shared" si="53"/>
        <v>-16758893.033565046</v>
      </c>
      <c r="AV57">
        <f t="shared" si="42"/>
        <v>-2.0138897813643788</v>
      </c>
      <c r="AW57">
        <f t="shared" si="25"/>
        <v>-8607767.7549171727</v>
      </c>
      <c r="AX57">
        <f t="shared" si="26"/>
        <v>-22911888.321927104</v>
      </c>
      <c r="AY57">
        <f t="shared" si="50"/>
        <v>-1.9301718077955767</v>
      </c>
      <c r="BA57">
        <f t="shared" si="27"/>
        <v>0.75791419717535891</v>
      </c>
      <c r="BB57">
        <f t="shared" si="43"/>
        <v>-2.4075991539153758</v>
      </c>
      <c r="BC57">
        <f t="shared" si="44"/>
        <v>-8.3717973568802062E-2</v>
      </c>
      <c r="BD57">
        <f t="shared" si="28"/>
        <v>-184.79668656036114</v>
      </c>
      <c r="BF57">
        <f t="shared" si="29"/>
        <v>19.4775220728649</v>
      </c>
      <c r="BG57">
        <f t="shared" si="30"/>
        <v>-17.367652928196538</v>
      </c>
      <c r="BH57">
        <f t="shared" si="45"/>
        <v>162.63234707180345</v>
      </c>
      <c r="BI57">
        <f t="shared" si="46"/>
        <v>162.63234707180345</v>
      </c>
      <c r="BJ57">
        <f t="shared" si="31"/>
        <v>0</v>
      </c>
      <c r="BK57">
        <f t="shared" si="47"/>
        <v>0</v>
      </c>
      <c r="BM57">
        <f t="shared" si="48"/>
        <v>21.885121226780274</v>
      </c>
      <c r="BN57">
        <f t="shared" si="32"/>
        <v>-12.570966367835389</v>
      </c>
      <c r="BQ57" s="75">
        <f t="shared" si="49"/>
        <v>14.494361646369761</v>
      </c>
      <c r="BR57" s="78"/>
      <c r="BS57" s="78"/>
      <c r="BT57" s="78">
        <v>295.12099999999998</v>
      </c>
      <c r="BU57" s="78">
        <v>25.581099999999999</v>
      </c>
      <c r="BV57" s="78">
        <v>-265.88</v>
      </c>
      <c r="BW57" s="84"/>
      <c r="BY57" s="78"/>
      <c r="BZ57" s="78"/>
      <c r="CA57" s="78"/>
      <c r="CC57" s="78"/>
    </row>
    <row r="58" spans="1:81">
      <c r="A58">
        <f t="shared" si="54"/>
        <v>12000</v>
      </c>
      <c r="B58">
        <f t="shared" si="33"/>
        <v>12</v>
      </c>
      <c r="C58">
        <f t="shared" si="0"/>
        <v>1.0000983324292936</v>
      </c>
      <c r="D58">
        <f t="shared" si="1"/>
        <v>1.4023150305655693E-2</v>
      </c>
      <c r="F58">
        <f t="shared" si="2"/>
        <v>1.4272509823345501</v>
      </c>
      <c r="G58">
        <f t="shared" si="3"/>
        <v>-0.25161392195918963</v>
      </c>
      <c r="H58">
        <f t="shared" si="4"/>
        <v>-0.25161392195918963</v>
      </c>
      <c r="J58">
        <f t="shared" si="5"/>
        <v>9</v>
      </c>
      <c r="M58">
        <f t="shared" si="6"/>
        <v>0.3517267407308714</v>
      </c>
      <c r="N58">
        <f t="shared" si="7"/>
        <v>-1.5707963250000001</v>
      </c>
      <c r="O58">
        <f t="shared" si="8"/>
        <v>1.8389190186495117</v>
      </c>
      <c r="P58">
        <f t="shared" si="9"/>
        <v>0.99584048070976139</v>
      </c>
      <c r="Q58">
        <f t="shared" si="10"/>
        <v>1.1819701722566625</v>
      </c>
      <c r="R58">
        <f t="shared" si="11"/>
        <v>0.56227393517358248</v>
      </c>
      <c r="S58">
        <f t="shared" si="12"/>
        <v>0.99996730618992802</v>
      </c>
      <c r="T58">
        <f t="shared" si="13"/>
        <v>-8.0862832279243266E-3</v>
      </c>
      <c r="U58">
        <f t="shared" si="14"/>
        <v>0.99992056246968786</v>
      </c>
      <c r="V58">
        <f t="shared" si="15"/>
        <v>-1.2604648511918391E-2</v>
      </c>
      <c r="X58">
        <f t="shared" si="34"/>
        <v>19.842227452812637</v>
      </c>
      <c r="Y58">
        <f t="shared" si="16"/>
        <v>-15.525071416183097</v>
      </c>
      <c r="Z58">
        <f t="shared" si="35"/>
        <v>164.4749285838169</v>
      </c>
      <c r="AC58">
        <v>1</v>
      </c>
      <c r="AD58">
        <f t="shared" si="17"/>
        <v>1.5432508406448</v>
      </c>
      <c r="AE58">
        <f t="shared" si="18"/>
        <v>-6.5160688294141795E-7</v>
      </c>
      <c r="AF58">
        <f t="shared" si="19"/>
        <v>5.1693022100160001E-5</v>
      </c>
      <c r="AG58">
        <f t="shared" si="36"/>
        <v>29605.588736004782</v>
      </c>
      <c r="AH58">
        <f t="shared" si="37"/>
        <v>-19718.158544086335</v>
      </c>
      <c r="AJ58">
        <f t="shared" si="20"/>
        <v>55000</v>
      </c>
      <c r="AK58">
        <f t="shared" si="21"/>
        <v>444.75527146050013</v>
      </c>
      <c r="AL58">
        <v>1</v>
      </c>
      <c r="AM58">
        <f t="shared" si="22"/>
        <v>0.63012180418110009</v>
      </c>
      <c r="AN58">
        <f t="shared" si="38"/>
        <v>39569.172164680189</v>
      </c>
      <c r="AO58">
        <f t="shared" si="39"/>
        <v>-24488.642882900345</v>
      </c>
      <c r="AQ58">
        <f t="shared" si="23"/>
        <v>77.135165790353938</v>
      </c>
      <c r="AR58">
        <f t="shared" si="24"/>
        <v>-487.80278845819834</v>
      </c>
      <c r="AT58">
        <f t="shared" si="52"/>
        <v>-7334940.7255933974</v>
      </c>
      <c r="AU58">
        <f t="shared" si="53"/>
        <v>-15962652.167748343</v>
      </c>
      <c r="AV58">
        <f t="shared" si="42"/>
        <v>-2.0015275904887488</v>
      </c>
      <c r="AW58">
        <f t="shared" si="25"/>
        <v>-8695949.2974239849</v>
      </c>
      <c r="AX58">
        <f t="shared" si="26"/>
        <v>-21515615.339566126</v>
      </c>
      <c r="AY58">
        <f t="shared" si="50"/>
        <v>-1.9548916770281961</v>
      </c>
      <c r="BA58">
        <f t="shared" si="27"/>
        <v>0.75699644569307545</v>
      </c>
      <c r="BB58">
        <f t="shared" si="43"/>
        <v>-2.4181231925482982</v>
      </c>
      <c r="BC58">
        <f t="shared" si="44"/>
        <v>-4.6635913460552736E-2</v>
      </c>
      <c r="BD58">
        <f t="shared" si="28"/>
        <v>-182.67204101808028</v>
      </c>
      <c r="BF58">
        <f t="shared" si="29"/>
        <v>19.757588070693419</v>
      </c>
      <c r="BG58">
        <f t="shared" si="30"/>
        <v>-16.284989500639298</v>
      </c>
      <c r="BH58">
        <f t="shared" si="45"/>
        <v>163.71501049936069</v>
      </c>
      <c r="BI58">
        <f t="shared" si="46"/>
        <v>163.71501049936069</v>
      </c>
      <c r="BJ58">
        <f t="shared" si="31"/>
        <v>0</v>
      </c>
      <c r="BK58">
        <f t="shared" si="47"/>
        <v>0</v>
      </c>
      <c r="BM58">
        <f t="shared" si="48"/>
        <v>22.175711263241716</v>
      </c>
      <c r="BN58">
        <f t="shared" si="32"/>
        <v>-13.61294848255903</v>
      </c>
      <c r="BQ58" s="75">
        <f t="shared" si="49"/>
        <v>14.483837607736838</v>
      </c>
      <c r="BR58" s="78"/>
      <c r="BS58" s="78"/>
      <c r="BT58" s="78">
        <v>301.995</v>
      </c>
      <c r="BU58" s="78">
        <v>24.917000000000002</v>
      </c>
      <c r="BV58" s="78">
        <v>-267.13580000000002</v>
      </c>
      <c r="BW58" s="84"/>
      <c r="BY58" s="78"/>
      <c r="BZ58" s="78"/>
      <c r="CA58" s="78"/>
      <c r="CC58" s="78"/>
    </row>
    <row r="59" spans="1:81">
      <c r="A59">
        <f t="shared" si="54"/>
        <v>12500</v>
      </c>
      <c r="B59">
        <f t="shared" si="33"/>
        <v>12.5</v>
      </c>
      <c r="C59">
        <f t="shared" si="0"/>
        <v>1.0001066970682053</v>
      </c>
      <c r="D59">
        <f t="shared" si="1"/>
        <v>1.4607366784055087E-2</v>
      </c>
      <c r="F59">
        <f t="shared" si="2"/>
        <v>1.4792880511207738</v>
      </c>
      <c r="G59">
        <f t="shared" si="3"/>
        <v>-0.27214333782751571</v>
      </c>
      <c r="H59">
        <f t="shared" si="4"/>
        <v>-0.27214333782751571</v>
      </c>
      <c r="J59">
        <f t="shared" si="5"/>
        <v>9</v>
      </c>
      <c r="M59">
        <f t="shared" si="6"/>
        <v>0.33765767110163658</v>
      </c>
      <c r="N59">
        <f t="shared" si="7"/>
        <v>-1.5707963250000001</v>
      </c>
      <c r="O59">
        <f t="shared" si="8"/>
        <v>1.8932053549485151</v>
      </c>
      <c r="P59">
        <f t="shared" si="9"/>
        <v>1.014311448344785</v>
      </c>
      <c r="Q59">
        <f t="shared" si="10"/>
        <v>1.196173318441863</v>
      </c>
      <c r="R59">
        <f t="shared" si="11"/>
        <v>0.58084503404435461</v>
      </c>
      <c r="S59">
        <f t="shared" si="12"/>
        <v>0.99996452509366318</v>
      </c>
      <c r="T59">
        <f t="shared" si="13"/>
        <v>-8.423196077919656E-3</v>
      </c>
      <c r="U59">
        <f t="shared" si="14"/>
        <v>0.99991380563680654</v>
      </c>
      <c r="V59">
        <f t="shared" si="15"/>
        <v>-1.3129783049743769E-2</v>
      </c>
      <c r="X59">
        <f t="shared" si="34"/>
        <v>20.155144156939325</v>
      </c>
      <c r="Y59">
        <f t="shared" si="16"/>
        <v>-14.594884763547304</v>
      </c>
      <c r="Z59">
        <f t="shared" si="35"/>
        <v>165.4051152364527</v>
      </c>
      <c r="AC59">
        <v>1</v>
      </c>
      <c r="AD59">
        <f t="shared" si="17"/>
        <v>1.6075529590050002</v>
      </c>
      <c r="AE59">
        <f t="shared" si="18"/>
        <v>-7.0703871846942049E-7</v>
      </c>
      <c r="AF59">
        <f t="shared" si="19"/>
        <v>5.3846898021000002E-5</v>
      </c>
      <c r="AG59">
        <f t="shared" si="36"/>
        <v>29605.18862554185</v>
      </c>
      <c r="AH59">
        <f t="shared" si="37"/>
        <v>-18959.903952641627</v>
      </c>
      <c r="AJ59">
        <f t="shared" si="20"/>
        <v>55000</v>
      </c>
      <c r="AK59">
        <f t="shared" si="21"/>
        <v>463.28674110468751</v>
      </c>
      <c r="AL59">
        <v>1</v>
      </c>
      <c r="AM59">
        <f t="shared" si="22"/>
        <v>0.65637687935531264</v>
      </c>
      <c r="AN59">
        <f t="shared" si="38"/>
        <v>38651.738651477157</v>
      </c>
      <c r="AO59">
        <f t="shared" si="39"/>
        <v>-24906.820856609011</v>
      </c>
      <c r="AQ59">
        <f t="shared" si="23"/>
        <v>71.223986287918507</v>
      </c>
      <c r="AR59">
        <f t="shared" si="24"/>
        <v>-469.18800967166311</v>
      </c>
      <c r="AT59">
        <f t="shared" si="52"/>
        <v>-6787160.05038899</v>
      </c>
      <c r="AU59">
        <f t="shared" si="53"/>
        <v>-15240799.46631534</v>
      </c>
      <c r="AV59">
        <f t="shared" si="42"/>
        <v>-1.9897585193192424</v>
      </c>
      <c r="AW59">
        <f t="shared" si="25"/>
        <v>-8739546.1268157288</v>
      </c>
      <c r="AX59">
        <f t="shared" si="26"/>
        <v>-20226754.755031154</v>
      </c>
      <c r="AY59">
        <f t="shared" si="50"/>
        <v>-1.9786472289939898</v>
      </c>
      <c r="BA59">
        <f t="shared" si="27"/>
        <v>0.75717886507616117</v>
      </c>
      <c r="BB59">
        <f t="shared" si="43"/>
        <v>-2.4160303376117227</v>
      </c>
      <c r="BC59">
        <f t="shared" si="44"/>
        <v>-1.1111290325252599E-2</v>
      </c>
      <c r="BD59">
        <f t="shared" si="28"/>
        <v>-180.63663004130896</v>
      </c>
      <c r="BF59">
        <f t="shared" si="29"/>
        <v>20.070801546133058</v>
      </c>
      <c r="BG59">
        <f t="shared" si="30"/>
        <v>-15.392354271763518</v>
      </c>
      <c r="BH59">
        <f t="shared" si="45"/>
        <v>164.60764572823649</v>
      </c>
      <c r="BI59">
        <f t="shared" si="46"/>
        <v>164.60764572823649</v>
      </c>
      <c r="BJ59">
        <f t="shared" si="31"/>
        <v>0</v>
      </c>
      <c r="BK59">
        <f t="shared" si="47"/>
        <v>0</v>
      </c>
      <c r="BM59">
        <f t="shared" si="48"/>
        <v>22.486831883744781</v>
      </c>
      <c r="BN59">
        <f t="shared" si="32"/>
        <v>-14.755724230454543</v>
      </c>
      <c r="BQ59" s="75">
        <f t="shared" si="49"/>
        <v>14.485930462673412</v>
      </c>
      <c r="BR59" s="78"/>
      <c r="BS59" s="78"/>
      <c r="BT59" s="78">
        <v>309.02999999999997</v>
      </c>
      <c r="BU59" s="78">
        <v>24.825199999999999</v>
      </c>
      <c r="BV59" s="78">
        <v>-265.03610000000003</v>
      </c>
      <c r="BW59" s="84"/>
      <c r="BY59" s="78"/>
      <c r="BZ59" s="78"/>
      <c r="CA59" s="78"/>
      <c r="CC59" s="78"/>
    </row>
    <row r="60" spans="1:81">
      <c r="A60">
        <f t="shared" si="54"/>
        <v>13000</v>
      </c>
      <c r="B60">
        <f t="shared" si="33"/>
        <v>13</v>
      </c>
      <c r="C60">
        <f t="shared" si="0"/>
        <v>1.0001154030466495</v>
      </c>
      <c r="D60">
        <f t="shared" si="1"/>
        <v>1.5191573290668161E-2</v>
      </c>
      <c r="F60">
        <f t="shared" si="2"/>
        <v>1.5370715955083489</v>
      </c>
      <c r="G60">
        <f t="shared" si="3"/>
        <v>-0.29471590031220707</v>
      </c>
      <c r="H60">
        <f t="shared" si="4"/>
        <v>-0.29471590031220707</v>
      </c>
      <c r="J60">
        <f t="shared" si="5"/>
        <v>9</v>
      </c>
      <c r="M60">
        <f t="shared" si="6"/>
        <v>0.32467083759772747</v>
      </c>
      <c r="N60">
        <f t="shared" si="7"/>
        <v>-1.5707963250000001</v>
      </c>
      <c r="O60">
        <f t="shared" si="8"/>
        <v>1.9481014859888075</v>
      </c>
      <c r="P60">
        <f t="shared" si="9"/>
        <v>1.0317470919526646</v>
      </c>
      <c r="Q60">
        <f t="shared" si="10"/>
        <v>1.2107792471564747</v>
      </c>
      <c r="R60">
        <f t="shared" si="11"/>
        <v>0.59897420634921761</v>
      </c>
      <c r="S60">
        <f t="shared" si="12"/>
        <v>0.99996163050790943</v>
      </c>
      <c r="T60">
        <f t="shared" si="13"/>
        <v>-8.7601070156421885E-3</v>
      </c>
      <c r="U60">
        <f t="shared" si="14"/>
        <v>0.9999067731603013</v>
      </c>
      <c r="V60">
        <f t="shared" si="15"/>
        <v>-1.3654910345750594E-2</v>
      </c>
      <c r="X60">
        <f t="shared" si="34"/>
        <v>20.500987925702788</v>
      </c>
      <c r="Y60">
        <f t="shared" si="16"/>
        <v>-13.866402060301775</v>
      </c>
      <c r="Z60">
        <f t="shared" si="35"/>
        <v>166.13359793969823</v>
      </c>
      <c r="AC60">
        <v>1</v>
      </c>
      <c r="AD60">
        <f t="shared" si="17"/>
        <v>1.6718550773652003</v>
      </c>
      <c r="AE60">
        <f t="shared" si="18"/>
        <v>-7.6473307789652528E-7</v>
      </c>
      <c r="AF60">
        <f t="shared" si="19"/>
        <v>5.6000773941840004E-5</v>
      </c>
      <c r="AG60">
        <f t="shared" si="36"/>
        <v>29604.772195525326</v>
      </c>
      <c r="AH60">
        <f t="shared" si="37"/>
        <v>-18261.171704940705</v>
      </c>
      <c r="AJ60">
        <f t="shared" si="20"/>
        <v>55000</v>
      </c>
      <c r="AK60">
        <f t="shared" si="21"/>
        <v>481.81821074887506</v>
      </c>
      <c r="AL60">
        <v>1</v>
      </c>
      <c r="AM60">
        <f t="shared" si="22"/>
        <v>0.68263195452952508</v>
      </c>
      <c r="AN60">
        <f t="shared" si="38"/>
        <v>37741.758763958838</v>
      </c>
      <c r="AO60">
        <f t="shared" si="39"/>
        <v>-25281.912341674175</v>
      </c>
      <c r="AQ60">
        <f t="shared" si="23"/>
        <v>65.962674013320338</v>
      </c>
      <c r="AR60">
        <f t="shared" si="24"/>
        <v>-451.91027966525763</v>
      </c>
      <c r="AT60">
        <f t="shared" si="52"/>
        <v>-6299601.2746229963</v>
      </c>
      <c r="AU60">
        <f t="shared" si="53"/>
        <v>-14583256.598580366</v>
      </c>
      <c r="AV60">
        <f t="shared" si="42"/>
        <v>-1.9785599396339706</v>
      </c>
      <c r="AW60">
        <f t="shared" si="25"/>
        <v>-8746071.2523718961</v>
      </c>
      <c r="AX60">
        <f t="shared" si="26"/>
        <v>-19035024.537552599</v>
      </c>
      <c r="AY60">
        <f t="shared" si="50"/>
        <v>-2.0014996464171024</v>
      </c>
      <c r="BA60">
        <f t="shared" si="27"/>
        <v>0.75833479130267134</v>
      </c>
      <c r="BB60">
        <f t="shared" si="43"/>
        <v>-2.4027803750819317</v>
      </c>
      <c r="BC60">
        <f t="shared" si="44"/>
        <v>2.2939706783131841E-2</v>
      </c>
      <c r="BD60">
        <f t="shared" si="28"/>
        <v>-178.68565161655707</v>
      </c>
      <c r="BF60">
        <f t="shared" si="29"/>
        <v>20.416954074884114</v>
      </c>
      <c r="BG60">
        <f t="shared" si="30"/>
        <v>-14.701215844426319</v>
      </c>
      <c r="BH60">
        <f t="shared" si="45"/>
        <v>165.29878415557368</v>
      </c>
      <c r="BI60">
        <f t="shared" si="46"/>
        <v>165.29878415557368</v>
      </c>
      <c r="BJ60">
        <f t="shared" si="31"/>
        <v>0</v>
      </c>
      <c r="BK60">
        <f t="shared" si="47"/>
        <v>0</v>
      </c>
      <c r="BM60">
        <f t="shared" si="48"/>
        <v>22.819734449966042</v>
      </c>
      <c r="BN60">
        <f t="shared" si="32"/>
        <v>-16.015564227869262</v>
      </c>
      <c r="BQ60" s="75">
        <f t="shared" si="49"/>
        <v>14.499180425203207</v>
      </c>
      <c r="BR60" s="78"/>
      <c r="BS60" s="78"/>
      <c r="BT60" s="78">
        <v>316.22800000000001</v>
      </c>
      <c r="BU60" s="78">
        <v>24.722000000000001</v>
      </c>
      <c r="BV60" s="78">
        <v>-265.21839999999997</v>
      </c>
      <c r="BW60" s="84"/>
      <c r="BY60" s="78"/>
      <c r="BZ60" s="78"/>
      <c r="CA60" s="78"/>
      <c r="CC60" s="78"/>
    </row>
    <row r="61" spans="1:81">
      <c r="A61">
        <f t="shared" si="54"/>
        <v>13500</v>
      </c>
      <c r="B61">
        <f t="shared" si="33"/>
        <v>13.5</v>
      </c>
      <c r="C61">
        <f t="shared" si="0"/>
        <v>1.0001244503557121</v>
      </c>
      <c r="D61">
        <f t="shared" si="1"/>
        <v>1.5775769426984568E-2</v>
      </c>
      <c r="F61">
        <f t="shared" si="2"/>
        <v>1.6013611571988653</v>
      </c>
      <c r="G61">
        <f t="shared" si="3"/>
        <v>-0.3196731091993561</v>
      </c>
      <c r="H61">
        <f t="shared" si="4"/>
        <v>-0.3196731091993561</v>
      </c>
      <c r="J61">
        <f t="shared" si="5"/>
        <v>9</v>
      </c>
      <c r="M61">
        <f t="shared" si="6"/>
        <v>0.31264599176077457</v>
      </c>
      <c r="N61">
        <f t="shared" si="7"/>
        <v>-1.5707963250000001</v>
      </c>
      <c r="O61">
        <f t="shared" si="8"/>
        <v>2.0035572884919177</v>
      </c>
      <c r="P61">
        <f t="shared" si="9"/>
        <v>1.0482223257061261</v>
      </c>
      <c r="Q61">
        <f t="shared" si="10"/>
        <v>1.2257735601986965</v>
      </c>
      <c r="R61">
        <f t="shared" si="11"/>
        <v>0.61666554528438755</v>
      </c>
      <c r="S61">
        <f t="shared" si="12"/>
        <v>0.99995862243562328</v>
      </c>
      <c r="T61">
        <f t="shared" si="13"/>
        <v>-9.0970159646240403E-3</v>
      </c>
      <c r="U61">
        <f t="shared" si="14"/>
        <v>0.99989946505762384</v>
      </c>
      <c r="V61">
        <f t="shared" si="15"/>
        <v>-1.4180030110478003E-2</v>
      </c>
      <c r="X61">
        <f t="shared" si="34"/>
        <v>20.879781787186499</v>
      </c>
      <c r="Y61">
        <f t="shared" si="16"/>
        <v>-13.354663015987381</v>
      </c>
      <c r="Z61">
        <f t="shared" si="35"/>
        <v>166.64533698401263</v>
      </c>
      <c r="AC61">
        <v>1</v>
      </c>
      <c r="AD61">
        <f t="shared" si="17"/>
        <v>1.7361571957254001</v>
      </c>
      <c r="AE61">
        <f t="shared" si="18"/>
        <v>-8.2468996122273189E-7</v>
      </c>
      <c r="AF61">
        <f t="shared" si="19"/>
        <v>5.8154649862680005E-5</v>
      </c>
      <c r="AG61">
        <f t="shared" si="36"/>
        <v>29604.339447332968</v>
      </c>
      <c r="AH61">
        <f t="shared" si="37"/>
        <v>-17615.348110078648</v>
      </c>
      <c r="AJ61">
        <f t="shared" si="20"/>
        <v>55000</v>
      </c>
      <c r="AK61">
        <f t="shared" si="21"/>
        <v>500.34968039306256</v>
      </c>
      <c r="AL61">
        <v>1</v>
      </c>
      <c r="AM61">
        <f t="shared" si="22"/>
        <v>0.70888702970373751</v>
      </c>
      <c r="AN61">
        <f t="shared" si="38"/>
        <v>36841.214197781424</v>
      </c>
      <c r="AO61">
        <f t="shared" si="39"/>
        <v>-25615.909222951374</v>
      </c>
      <c r="AQ61">
        <f t="shared" si="23"/>
        <v>61.259943546404692</v>
      </c>
      <c r="AR61">
        <f t="shared" si="24"/>
        <v>-435.83386836089613</v>
      </c>
      <c r="AT61">
        <f t="shared" si="52"/>
        <v>-5863805.1460671593</v>
      </c>
      <c r="AU61">
        <f t="shared" si="53"/>
        <v>-13981689.012373887</v>
      </c>
      <c r="AV61">
        <f t="shared" si="42"/>
        <v>-1.967907170030071</v>
      </c>
      <c r="AW61">
        <f t="shared" si="25"/>
        <v>-8721778.6764635779</v>
      </c>
      <c r="AX61">
        <f t="shared" si="26"/>
        <v>-17931381.255861346</v>
      </c>
      <c r="AY61">
        <f t="shared" si="50"/>
        <v>-2.0235028242732565</v>
      </c>
      <c r="BA61">
        <f t="shared" si="27"/>
        <v>0.76035707307032629</v>
      </c>
      <c r="BB61">
        <f t="shared" si="43"/>
        <v>-2.379648195283063</v>
      </c>
      <c r="BC61">
        <f t="shared" si="44"/>
        <v>5.5595654243185466E-2</v>
      </c>
      <c r="BD61">
        <f t="shared" si="28"/>
        <v>-176.81460364895705</v>
      </c>
      <c r="BF61">
        <f t="shared" si="29"/>
        <v>20.796068688337286</v>
      </c>
      <c r="BG61">
        <f t="shared" si="30"/>
        <v>-14.226638643063254</v>
      </c>
      <c r="BH61">
        <f t="shared" si="45"/>
        <v>165.77336135693673</v>
      </c>
      <c r="BI61">
        <f t="shared" si="46"/>
        <v>165.77336135693673</v>
      </c>
      <c r="BJ61">
        <f t="shared" si="31"/>
        <v>0</v>
      </c>
      <c r="BK61">
        <f t="shared" si="47"/>
        <v>0</v>
      </c>
      <c r="BM61">
        <f t="shared" si="48"/>
        <v>23.17571688362035</v>
      </c>
      <c r="BN61">
        <f t="shared" si="32"/>
        <v>-17.412034994106214</v>
      </c>
      <c r="BQ61" s="75">
        <f t="shared" si="49"/>
        <v>14.522312605002073</v>
      </c>
      <c r="BR61" s="78"/>
      <c r="BS61" s="78"/>
      <c r="BT61" s="78">
        <v>323.59399999999999</v>
      </c>
      <c r="BU61" s="78">
        <v>24.5962</v>
      </c>
      <c r="BV61" s="78">
        <v>-266.99490000000003</v>
      </c>
      <c r="BW61" s="84"/>
      <c r="BY61" s="78"/>
      <c r="BZ61" s="78"/>
      <c r="CA61" s="78"/>
      <c r="CC61" s="78"/>
    </row>
    <row r="62" spans="1:81">
      <c r="A62">
        <f t="shared" si="54"/>
        <v>14000</v>
      </c>
      <c r="B62">
        <f t="shared" si="33"/>
        <v>14</v>
      </c>
      <c r="C62">
        <f t="shared" si="0"/>
        <v>1.0001338389861303</v>
      </c>
      <c r="D62">
        <f t="shared" si="1"/>
        <v>1.6359954794536419E-2</v>
      </c>
      <c r="F62">
        <f t="shared" si="2"/>
        <v>1.6730287619336786</v>
      </c>
      <c r="G62">
        <f t="shared" si="3"/>
        <v>-0.3474279343043824</v>
      </c>
      <c r="H62">
        <f t="shared" si="4"/>
        <v>-0.3474279343043824</v>
      </c>
      <c r="J62">
        <f t="shared" si="5"/>
        <v>9</v>
      </c>
      <c r="M62">
        <f t="shared" si="6"/>
        <v>0.30148006348360407</v>
      </c>
      <c r="N62">
        <f t="shared" si="7"/>
        <v>-1.5707963250000001</v>
      </c>
      <c r="O62">
        <f t="shared" si="8"/>
        <v>2.0595275530270505</v>
      </c>
      <c r="P62">
        <f t="shared" si="9"/>
        <v>1.0638061300767983</v>
      </c>
      <c r="Q62">
        <f t="shared" si="10"/>
        <v>1.2411421813653676</v>
      </c>
      <c r="R62">
        <f t="shared" si="11"/>
        <v>0.63392404503661004</v>
      </c>
      <c r="S62">
        <f t="shared" si="12"/>
        <v>0.99995550087987783</v>
      </c>
      <c r="T62">
        <f t="shared" si="13"/>
        <v>-9.4339228484000351E-3</v>
      </c>
      <c r="U62">
        <f t="shared" si="14"/>
        <v>0.99989188134690865</v>
      </c>
      <c r="V62">
        <f t="shared" si="15"/>
        <v>-1.4705142054490051E-2</v>
      </c>
      <c r="X62">
        <f t="shared" si="34"/>
        <v>21.291709891067157</v>
      </c>
      <c r="Y62">
        <f t="shared" si="16"/>
        <v>-13.079090624266325</v>
      </c>
      <c r="Z62">
        <f t="shared" si="35"/>
        <v>166.92090937573369</v>
      </c>
      <c r="AC62">
        <v>1</v>
      </c>
      <c r="AD62">
        <f t="shared" si="17"/>
        <v>1.8004593140856002</v>
      </c>
      <c r="AE62">
        <f t="shared" si="18"/>
        <v>-8.8690936844804097E-7</v>
      </c>
      <c r="AF62">
        <f t="shared" si="19"/>
        <v>6.030852578352E-5</v>
      </c>
      <c r="AG62">
        <f t="shared" si="36"/>
        <v>29603.890382396483</v>
      </c>
      <c r="AH62">
        <f t="shared" si="37"/>
        <v>-17016.764286469966</v>
      </c>
      <c r="AJ62">
        <f t="shared" si="20"/>
        <v>55000</v>
      </c>
      <c r="AK62">
        <f t="shared" si="21"/>
        <v>518.88115003725011</v>
      </c>
      <c r="AL62">
        <v>1</v>
      </c>
      <c r="AM62">
        <f t="shared" si="22"/>
        <v>0.73514210487795006</v>
      </c>
      <c r="AN62">
        <f t="shared" si="38"/>
        <v>35951.851529879801</v>
      </c>
      <c r="AO62">
        <f t="shared" si="39"/>
        <v>-25910.838657898137</v>
      </c>
      <c r="AQ62">
        <f t="shared" si="23"/>
        <v>57.03989567291238</v>
      </c>
      <c r="AR62">
        <f t="shared" si="24"/>
        <v>-420.84035027474755</v>
      </c>
      <c r="AT62">
        <f t="shared" si="52"/>
        <v>-5472738.2239366053</v>
      </c>
      <c r="AU62">
        <f t="shared" si="53"/>
        <v>-13429146.057613755</v>
      </c>
      <c r="AV62">
        <f t="shared" si="42"/>
        <v>-1.9577745202544239</v>
      </c>
      <c r="AW62">
        <f t="shared" si="25"/>
        <v>-8671902.4617732558</v>
      </c>
      <c r="AX62">
        <f t="shared" si="26"/>
        <v>-16907835.646876656</v>
      </c>
      <c r="AY62">
        <f t="shared" si="50"/>
        <v>-2.0447046764783545</v>
      </c>
      <c r="BA62">
        <f t="shared" si="27"/>
        <v>0.76315444583013503</v>
      </c>
      <c r="BB62">
        <f t="shared" si="43"/>
        <v>-2.3477512282138884</v>
      </c>
      <c r="BC62">
        <f t="shared" si="44"/>
        <v>8.6930156223930632E-2</v>
      </c>
      <c r="BD62">
        <f t="shared" si="28"/>
        <v>-175.01926893026456</v>
      </c>
      <c r="BF62">
        <f t="shared" si="29"/>
        <v>21.208329537760932</v>
      </c>
      <c r="BG62">
        <f t="shared" si="30"/>
        <v>-13.988066909777359</v>
      </c>
      <c r="BH62">
        <f t="shared" si="45"/>
        <v>166.01193309022264</v>
      </c>
      <c r="BI62">
        <f t="shared" si="46"/>
        <v>166.01193309022264</v>
      </c>
      <c r="BJ62">
        <f t="shared" si="31"/>
        <v>0</v>
      </c>
      <c r="BK62">
        <f t="shared" si="47"/>
        <v>0</v>
      </c>
      <c r="BM62">
        <f t="shared" si="48"/>
        <v>23.556080765974819</v>
      </c>
      <c r="BN62">
        <f t="shared" si="32"/>
        <v>-18.968797979512804</v>
      </c>
      <c r="BQ62" s="75">
        <f t="shared" si="49"/>
        <v>14.554209572071247</v>
      </c>
      <c r="BR62" s="78"/>
      <c r="BS62" s="78"/>
      <c r="BT62" s="78">
        <v>331.13099999999997</v>
      </c>
      <c r="BU62" s="78">
        <v>24.386800000000001</v>
      </c>
      <c r="BV62" s="78">
        <v>-265.09339999999997</v>
      </c>
      <c r="BW62" s="84"/>
      <c r="BY62" s="78"/>
      <c r="BZ62" s="78"/>
      <c r="CA62" s="78"/>
      <c r="CC62" s="78"/>
    </row>
    <row r="63" spans="1:81">
      <c r="A63">
        <f t="shared" si="54"/>
        <v>14500</v>
      </c>
      <c r="B63">
        <f t="shared" si="33"/>
        <v>14.5</v>
      </c>
      <c r="C63">
        <f t="shared" si="0"/>
        <v>1.0001435689282916</v>
      </c>
      <c r="D63">
        <f t="shared" si="1"/>
        <v>1.6944128994899908E-2</v>
      </c>
      <c r="F63">
        <f t="shared" si="2"/>
        <v>1.7530649697830254</v>
      </c>
      <c r="G63">
        <f t="shared" si="3"/>
        <v>-0.37848226743739816</v>
      </c>
      <c r="H63">
        <f t="shared" si="4"/>
        <v>-0.37848226743739816</v>
      </c>
      <c r="J63">
        <f t="shared" si="5"/>
        <v>9</v>
      </c>
      <c r="M63">
        <f t="shared" si="6"/>
        <v>0.29108419922554873</v>
      </c>
      <c r="N63">
        <f t="shared" si="7"/>
        <v>-1.5707963250000001</v>
      </c>
      <c r="O63">
        <f t="shared" si="8"/>
        <v>2.1159714553692148</v>
      </c>
      <c r="P63">
        <f t="shared" si="9"/>
        <v>1.0785619596157516</v>
      </c>
      <c r="Q63">
        <f t="shared" si="10"/>
        <v>1.2568713799714692</v>
      </c>
      <c r="R63">
        <f t="shared" si="11"/>
        <v>0.65075548991717491</v>
      </c>
      <c r="S63">
        <f t="shared" si="12"/>
        <v>0.99995226584386143</v>
      </c>
      <c r="T63">
        <f t="shared" si="13"/>
        <v>-9.7708275905078121E-3</v>
      </c>
      <c r="U63">
        <f t="shared" si="14"/>
        <v>0.99988402204697358</v>
      </c>
      <c r="V63">
        <f t="shared" si="15"/>
        <v>-1.5230245888376655E-2</v>
      </c>
      <c r="X63">
        <f t="shared" si="34"/>
        <v>21.737020768742941</v>
      </c>
      <c r="Y63">
        <f t="shared" si="16"/>
        <v>-13.064474074932066</v>
      </c>
      <c r="Z63">
        <f t="shared" si="35"/>
        <v>166.93552592506794</v>
      </c>
      <c r="AC63">
        <v>1</v>
      </c>
      <c r="AD63">
        <f t="shared" si="17"/>
        <v>1.8647614324458002</v>
      </c>
      <c r="AE63">
        <f t="shared" si="18"/>
        <v>-9.5139129957245229E-7</v>
      </c>
      <c r="AF63">
        <f t="shared" si="19"/>
        <v>6.2462401704360015E-5</v>
      </c>
      <c r="AG63">
        <f t="shared" si="36"/>
        <v>29603.425002201446</v>
      </c>
      <c r="AH63">
        <f t="shared" si="37"/>
        <v>-16460.533263690882</v>
      </c>
      <c r="AJ63">
        <f t="shared" si="20"/>
        <v>55000</v>
      </c>
      <c r="AK63">
        <f t="shared" si="21"/>
        <v>537.41261968143749</v>
      </c>
      <c r="AL63">
        <v>1</v>
      </c>
      <c r="AM63">
        <f t="shared" si="22"/>
        <v>0.7613971800521625</v>
      </c>
      <c r="AN63">
        <f t="shared" si="38"/>
        <v>35075.194163786604</v>
      </c>
      <c r="AO63">
        <f t="shared" si="39"/>
        <v>-26168.741306407745</v>
      </c>
      <c r="AQ63">
        <f t="shared" si="23"/>
        <v>53.239025389261023</v>
      </c>
      <c r="AR63">
        <f t="shared" si="24"/>
        <v>-406.82601251203806</v>
      </c>
      <c r="AT63">
        <f t="shared" si="52"/>
        <v>-5120515.6161878379</v>
      </c>
      <c r="AU63">
        <f t="shared" si="53"/>
        <v>-12919786.098691201</v>
      </c>
      <c r="AV63">
        <f t="shared" si="42"/>
        <v>-1.9481360357422595</v>
      </c>
      <c r="AW63">
        <f t="shared" si="25"/>
        <v>-8600843.3965052366</v>
      </c>
      <c r="AX63">
        <f t="shared" si="26"/>
        <v>-15957300.171708107</v>
      </c>
      <c r="AY63">
        <f t="shared" si="50"/>
        <v>-2.0651481669104359</v>
      </c>
      <c r="BA63">
        <f t="shared" si="27"/>
        <v>0.76664867591455688</v>
      </c>
      <c r="BB63">
        <f t="shared" si="43"/>
        <v>-2.3080722012424881</v>
      </c>
      <c r="BC63">
        <f t="shared" si="44"/>
        <v>0.11701213116817644</v>
      </c>
      <c r="BD63">
        <f t="shared" si="28"/>
        <v>-173.29569872457151</v>
      </c>
      <c r="BF63">
        <f t="shared" si="29"/>
        <v>21.653985154735341</v>
      </c>
      <c r="BG63">
        <f t="shared" si="30"/>
        <v>-14.010308214013017</v>
      </c>
      <c r="BH63">
        <f t="shared" si="45"/>
        <v>165.98969178598699</v>
      </c>
      <c r="BI63">
        <f t="shared" si="46"/>
        <v>165.98969178598699</v>
      </c>
      <c r="BJ63">
        <f t="shared" si="31"/>
        <v>0</v>
      </c>
      <c r="BK63">
        <f t="shared" si="47"/>
        <v>0</v>
      </c>
      <c r="BM63">
        <f t="shared" si="48"/>
        <v>23.962057355977826</v>
      </c>
      <c r="BN63">
        <f t="shared" si="32"/>
        <v>-20.714609489441507</v>
      </c>
      <c r="BQ63" s="75">
        <f t="shared" si="49"/>
        <v>14.593888599042648</v>
      </c>
      <c r="BR63" s="78"/>
      <c r="BS63" s="78"/>
      <c r="BT63" s="78">
        <v>338.84399999999999</v>
      </c>
      <c r="BU63" s="78">
        <v>24.136900000000001</v>
      </c>
      <c r="BV63" s="78">
        <v>-266.42009999999999</v>
      </c>
      <c r="BW63" s="84"/>
      <c r="BY63" s="78"/>
      <c r="BZ63" s="78"/>
      <c r="CA63" s="78"/>
      <c r="CC63" s="78"/>
    </row>
    <row r="64" spans="1:81">
      <c r="A64">
        <f t="shared" si="54"/>
        <v>15000</v>
      </c>
      <c r="B64">
        <f t="shared" si="33"/>
        <v>15</v>
      </c>
      <c r="C64">
        <f t="shared" si="0"/>
        <v>1.0001536401722346</v>
      </c>
      <c r="D64">
        <f t="shared" si="1"/>
        <v>1.7528291629696959E-2</v>
      </c>
      <c r="F64">
        <f t="shared" si="2"/>
        <v>1.8425742306425965</v>
      </c>
      <c r="G64">
        <f t="shared" si="3"/>
        <v>-0.41344849504131276</v>
      </c>
      <c r="H64">
        <f t="shared" si="4"/>
        <v>-0.41344849504131276</v>
      </c>
      <c r="J64">
        <f t="shared" si="5"/>
        <v>9</v>
      </c>
      <c r="M64">
        <f t="shared" si="6"/>
        <v>0.28138139258469713</v>
      </c>
      <c r="N64">
        <f t="shared" si="7"/>
        <v>-1.5707963250000001</v>
      </c>
      <c r="O64">
        <f t="shared" si="8"/>
        <v>2.1728520849446369</v>
      </c>
      <c r="P64">
        <f t="shared" si="9"/>
        <v>1.0925481511608262</v>
      </c>
      <c r="Q64">
        <f t="shared" si="10"/>
        <v>1.2729477896454335</v>
      </c>
      <c r="R64">
        <f t="shared" si="11"/>
        <v>0.66716634958103893</v>
      </c>
      <c r="S64">
        <f t="shared" si="12"/>
        <v>0.99994891733087865</v>
      </c>
      <c r="T64">
        <f t="shared" si="13"/>
        <v>-1.0107730114487921E-2</v>
      </c>
      <c r="U64">
        <f t="shared" si="14"/>
        <v>0.99987588717731879</v>
      </c>
      <c r="V64">
        <f t="shared" si="15"/>
        <v>-1.5755341322754576E-2</v>
      </c>
      <c r="X64">
        <f t="shared" si="34"/>
        <v>22.215885222958548</v>
      </c>
      <c r="Y64">
        <f t="shared" si="16"/>
        <v>-13.342187389972025</v>
      </c>
      <c r="Z64">
        <f t="shared" si="35"/>
        <v>166.65781261002797</v>
      </c>
      <c r="AC64">
        <v>1</v>
      </c>
      <c r="AD64">
        <f t="shared" si="17"/>
        <v>1.9290635508060001</v>
      </c>
      <c r="AE64">
        <f t="shared" si="18"/>
        <v>-1.0181357545959653E-6</v>
      </c>
      <c r="AF64">
        <f t="shared" si="19"/>
        <v>6.4616277625200003E-5</v>
      </c>
      <c r="AG64">
        <f t="shared" si="36"/>
        <v>29602.943308287409</v>
      </c>
      <c r="AH64">
        <f t="shared" si="37"/>
        <v>-15942.419663953155</v>
      </c>
      <c r="AJ64">
        <f t="shared" si="20"/>
        <v>55000</v>
      </c>
      <c r="AK64">
        <f t="shared" si="21"/>
        <v>555.9440893256251</v>
      </c>
      <c r="AL64">
        <v>1</v>
      </c>
      <c r="AM64">
        <f t="shared" si="22"/>
        <v>0.78765225522637494</v>
      </c>
      <c r="AN64">
        <f t="shared" si="38"/>
        <v>34212.555476693444</v>
      </c>
      <c r="AO64">
        <f t="shared" si="39"/>
        <v>-26391.652388949427</v>
      </c>
      <c r="AQ64">
        <f t="shared" si="23"/>
        <v>49.803883427096252</v>
      </c>
      <c r="AR64">
        <f t="shared" si="24"/>
        <v>-393.69969849119587</v>
      </c>
      <c r="AT64">
        <f t="shared" si="52"/>
        <v>-4802184.2772935843</v>
      </c>
      <c r="AU64">
        <f t="shared" si="53"/>
        <v>-12448664.265414087</v>
      </c>
      <c r="AV64">
        <f t="shared" si="42"/>
        <v>-1.9389660208932056</v>
      </c>
      <c r="AW64">
        <f t="shared" si="25"/>
        <v>-8512316.2045875825</v>
      </c>
      <c r="AX64">
        <f t="shared" si="26"/>
        <v>-15073462.544019839</v>
      </c>
      <c r="AY64">
        <f t="shared" si="50"/>
        <v>-2.0848721277672073</v>
      </c>
      <c r="BA64">
        <f t="shared" si="27"/>
        <v>0.77077229294554428</v>
      </c>
      <c r="BB64">
        <f t="shared" si="43"/>
        <v>-2.2614781075536343</v>
      </c>
      <c r="BC64">
        <f t="shared" si="44"/>
        <v>0.14590610687400174</v>
      </c>
      <c r="BD64">
        <f t="shared" si="28"/>
        <v>-171.64019586138249</v>
      </c>
      <c r="BF64">
        <f t="shared" si="29"/>
        <v>22.133206341013654</v>
      </c>
      <c r="BG64">
        <f t="shared" si="30"/>
        <v>-14.32475256675003</v>
      </c>
      <c r="BH64">
        <f t="shared" si="45"/>
        <v>165.67524743324998</v>
      </c>
      <c r="BI64">
        <f t="shared" si="46"/>
        <v>165.67524743324998</v>
      </c>
      <c r="BJ64">
        <f t="shared" si="31"/>
        <v>0</v>
      </c>
      <c r="BK64">
        <f t="shared" si="47"/>
        <v>0</v>
      </c>
      <c r="BM64">
        <f t="shared" si="48"/>
        <v>24.39468444856729</v>
      </c>
      <c r="BN64">
        <f t="shared" si="32"/>
        <v>-22.68455670536753</v>
      </c>
      <c r="BQ64" s="75">
        <f t="shared" si="49"/>
        <v>14.640482692731503</v>
      </c>
      <c r="BR64" s="78"/>
      <c r="BS64" s="78"/>
      <c r="BT64" s="78">
        <v>346.73700000000002</v>
      </c>
      <c r="BU64" s="78">
        <v>24.040400000000002</v>
      </c>
      <c r="BV64" s="78">
        <v>-265.87940000000003</v>
      </c>
      <c r="BW64" s="84"/>
      <c r="BY64" s="78"/>
      <c r="BZ64" s="78"/>
      <c r="CA64" s="78"/>
      <c r="CC64" s="78"/>
    </row>
    <row r="65" spans="1:81">
      <c r="A65">
        <f t="shared" si="54"/>
        <v>15500</v>
      </c>
      <c r="B65">
        <f t="shared" si="33"/>
        <v>15.5</v>
      </c>
      <c r="C65">
        <f t="shared" si="0"/>
        <v>1.0001640527076494</v>
      </c>
      <c r="D65">
        <f t="shared" si="1"/>
        <v>1.8112442300596839E-2</v>
      </c>
      <c r="F65">
        <f t="shared" si="2"/>
        <v>1.9427483773548686</v>
      </c>
      <c r="G65">
        <f t="shared" si="3"/>
        <v>-0.45307553023693781</v>
      </c>
      <c r="H65">
        <f t="shared" si="4"/>
        <v>-0.45307553023693781</v>
      </c>
      <c r="J65">
        <f t="shared" si="5"/>
        <v>9</v>
      </c>
      <c r="M65">
        <f t="shared" si="6"/>
        <v>0.27230457346906173</v>
      </c>
      <c r="N65">
        <f t="shared" si="7"/>
        <v>-1.5707963250000001</v>
      </c>
      <c r="O65">
        <f t="shared" si="8"/>
        <v>2.2301360252259084</v>
      </c>
      <c r="P65">
        <f t="shared" si="9"/>
        <v>1.1058183218955486</v>
      </c>
      <c r="Q65">
        <f t="shared" si="10"/>
        <v>1.2893584228133816</v>
      </c>
      <c r="R65">
        <f t="shared" si="11"/>
        <v>0.68316368080807777</v>
      </c>
      <c r="S65">
        <f t="shared" si="12"/>
        <v>0.99994545534435031</v>
      </c>
      <c r="T65">
        <f t="shared" si="13"/>
        <v>-1.0444630343883937E-2</v>
      </c>
      <c r="U65">
        <f t="shared" si="14"/>
        <v>0.9998674767581287</v>
      </c>
      <c r="V65">
        <f t="shared" si="15"/>
        <v>-1.6280428068268345E-2</v>
      </c>
      <c r="X65">
        <f t="shared" si="34"/>
        <v>22.728180183096608</v>
      </c>
      <c r="Y65">
        <f t="shared" si="16"/>
        <v>-13.951663770309633</v>
      </c>
      <c r="Z65">
        <f t="shared" si="35"/>
        <v>166.04833622969036</v>
      </c>
      <c r="AC65">
        <v>1</v>
      </c>
      <c r="AD65">
        <f t="shared" si="17"/>
        <v>1.9933656691662003</v>
      </c>
      <c r="AE65">
        <f t="shared" si="18"/>
        <v>-1.0871427335185809E-6</v>
      </c>
      <c r="AF65">
        <f t="shared" si="19"/>
        <v>6.6770153546040004E-5</v>
      </c>
      <c r="AG65">
        <f t="shared" si="36"/>
        <v>29602.445302247732</v>
      </c>
      <c r="AH65">
        <f t="shared" si="37"/>
        <v>-15458.734606518461</v>
      </c>
      <c r="AJ65">
        <f t="shared" si="20"/>
        <v>55000</v>
      </c>
      <c r="AK65">
        <f t="shared" si="21"/>
        <v>574.4755589698126</v>
      </c>
      <c r="AL65">
        <v>1</v>
      </c>
      <c r="AM65">
        <f t="shared" si="22"/>
        <v>0.8139073304005876</v>
      </c>
      <c r="AN65">
        <f t="shared" si="38"/>
        <v>33365.052747450347</v>
      </c>
      <c r="AO65">
        <f t="shared" si="39"/>
        <v>-26581.585451382285</v>
      </c>
      <c r="AQ65">
        <f t="shared" si="23"/>
        <v>46.689234040339436</v>
      </c>
      <c r="AR65">
        <f t="shared" si="24"/>
        <v>-381.38100825851268</v>
      </c>
      <c r="AT65">
        <f t="shared" si="52"/>
        <v>-4513552.2937517818</v>
      </c>
      <c r="AU65">
        <f t="shared" si="53"/>
        <v>-12011566.914299948</v>
      </c>
      <c r="AV65">
        <f t="shared" si="42"/>
        <v>-1.930239399232442</v>
      </c>
      <c r="AW65">
        <f t="shared" si="25"/>
        <v>-8409466.7494868841</v>
      </c>
      <c r="AX65">
        <f t="shared" si="26"/>
        <v>-14250680.361881854</v>
      </c>
      <c r="AY65">
        <f t="shared" si="50"/>
        <v>-2.1039119128375434</v>
      </c>
      <c r="BA65">
        <f t="shared" si="27"/>
        <v>0.77546677569985101</v>
      </c>
      <c r="BB65">
        <f t="shared" si="43"/>
        <v>-2.2087360895495776</v>
      </c>
      <c r="BC65">
        <f t="shared" si="44"/>
        <v>0.17367251360510139</v>
      </c>
      <c r="BD65">
        <f t="shared" si="28"/>
        <v>-170.04929794162899</v>
      </c>
      <c r="BF65">
        <f t="shared" si="29"/>
        <v>22.645870023996608</v>
      </c>
      <c r="BG65">
        <f t="shared" si="30"/>
        <v>-14.970847152836036</v>
      </c>
      <c r="BH65">
        <f t="shared" si="45"/>
        <v>165.02915284716397</v>
      </c>
      <c r="BI65">
        <f t="shared" si="46"/>
        <v>165.02915284716397</v>
      </c>
      <c r="BJ65">
        <f t="shared" si="31"/>
        <v>0</v>
      </c>
      <c r="BK65">
        <f t="shared" si="47"/>
        <v>0</v>
      </c>
      <c r="BM65">
        <f t="shared" si="48"/>
        <v>24.854606113546183</v>
      </c>
      <c r="BN65">
        <f t="shared" si="32"/>
        <v>-24.921549211207054</v>
      </c>
      <c r="BQ65" s="75">
        <f t="shared" si="49"/>
        <v>14.69322471073556</v>
      </c>
      <c r="BR65" s="78"/>
      <c r="BS65" s="78"/>
      <c r="BT65" s="78">
        <v>354.81299999999999</v>
      </c>
      <c r="BU65" s="78">
        <v>23.629000000000001</v>
      </c>
      <c r="BV65" s="78">
        <v>-265.95490000000001</v>
      </c>
      <c r="BW65" s="84"/>
      <c r="BY65" s="78"/>
      <c r="BZ65" s="78"/>
      <c r="CA65" s="78"/>
      <c r="CC65" s="78"/>
    </row>
    <row r="66" spans="1:81">
      <c r="A66">
        <f t="shared" si="54"/>
        <v>16000</v>
      </c>
      <c r="B66">
        <f t="shared" si="33"/>
        <v>16</v>
      </c>
      <c r="C66">
        <f t="shared" si="0"/>
        <v>1.0001748065238765</v>
      </c>
      <c r="D66">
        <f t="shared" si="1"/>
        <v>1.8696580609317792E-2</v>
      </c>
      <c r="F66">
        <f t="shared" si="2"/>
        <v>2.0547984082946997</v>
      </c>
      <c r="G66">
        <f t="shared" si="3"/>
        <v>-0.49827881077625513</v>
      </c>
      <c r="H66">
        <f t="shared" si="4"/>
        <v>-0.49827881077625513</v>
      </c>
      <c r="J66">
        <f t="shared" si="5"/>
        <v>9</v>
      </c>
      <c r="M66">
        <f t="shared" si="6"/>
        <v>0.26379505554815358</v>
      </c>
      <c r="N66">
        <f t="shared" si="7"/>
        <v>-1.5707963250000001</v>
      </c>
      <c r="O66">
        <f t="shared" si="8"/>
        <v>2.2877929809805324</v>
      </c>
      <c r="P66">
        <f t="shared" si="9"/>
        <v>1.1184217503894807</v>
      </c>
      <c r="Q66">
        <f t="shared" si="10"/>
        <v>1.3060906812856581</v>
      </c>
      <c r="R66">
        <f t="shared" si="11"/>
        <v>0.69875503613416456</v>
      </c>
      <c r="S66">
        <f t="shared" si="12"/>
        <v>0.99994187988781214</v>
      </c>
      <c r="T66">
        <f t="shared" si="13"/>
        <v>-1.0781528202242563E-2</v>
      </c>
      <c r="U66">
        <f t="shared" si="14"/>
        <v>0.9998587908102694</v>
      </c>
      <c r="V66">
        <f t="shared" si="15"/>
        <v>-1.6805505835591247E-2</v>
      </c>
      <c r="X66">
        <f t="shared" si="34"/>
        <v>23.273155468558432</v>
      </c>
      <c r="Y66">
        <f t="shared" si="16"/>
        <v>-14.942097754972371</v>
      </c>
      <c r="Z66">
        <f t="shared" si="35"/>
        <v>165.05790224502763</v>
      </c>
      <c r="AC66">
        <v>1</v>
      </c>
      <c r="AD66">
        <f t="shared" si="17"/>
        <v>2.0576677875264</v>
      </c>
      <c r="AE66">
        <f t="shared" si="18"/>
        <v>-1.1584122363402984E-6</v>
      </c>
      <c r="AF66">
        <f t="shared" si="19"/>
        <v>6.8924029466880006E-5</v>
      </c>
      <c r="AG66">
        <f t="shared" si="36"/>
        <v>29601.930985729701</v>
      </c>
      <c r="AH66">
        <f t="shared" si="37"/>
        <v>-15006.250317535154</v>
      </c>
      <c r="AJ66">
        <f t="shared" si="20"/>
        <v>55000</v>
      </c>
      <c r="AK66">
        <f t="shared" si="21"/>
        <v>593.00702861400009</v>
      </c>
      <c r="AL66">
        <v>1</v>
      </c>
      <c r="AM66">
        <f t="shared" si="22"/>
        <v>0.84016240557480004</v>
      </c>
      <c r="AN66">
        <f t="shared" si="38"/>
        <v>32533.621503206694</v>
      </c>
      <c r="AO66">
        <f t="shared" si="39"/>
        <v>-26740.518675580184</v>
      </c>
      <c r="AQ66">
        <f t="shared" si="23"/>
        <v>43.85659288033014</v>
      </c>
      <c r="AR66">
        <f t="shared" si="24"/>
        <v>-369.79879116694377</v>
      </c>
      <c r="AT66">
        <f t="shared" si="52"/>
        <v>-4251053.3916602889</v>
      </c>
      <c r="AU66">
        <f t="shared" si="53"/>
        <v>-11604881.305566603</v>
      </c>
      <c r="AV66">
        <f t="shared" si="42"/>
        <v>-1.9219319536016615</v>
      </c>
      <c r="AW66">
        <f t="shared" si="25"/>
        <v>-8294966.1940693595</v>
      </c>
      <c r="AX66">
        <f t="shared" si="26"/>
        <v>-13483892.918267343</v>
      </c>
      <c r="AY66">
        <f t="shared" si="50"/>
        <v>-2.1222999218959</v>
      </c>
      <c r="BA66">
        <f t="shared" si="27"/>
        <v>0.78068109043747769</v>
      </c>
      <c r="BB66">
        <f t="shared" si="43"/>
        <v>-2.1505267987217902</v>
      </c>
      <c r="BC66">
        <f t="shared" si="44"/>
        <v>0.20036796829423853</v>
      </c>
      <c r="BD66">
        <f t="shared" si="28"/>
        <v>-168.51976105401096</v>
      </c>
      <c r="BF66">
        <f t="shared" si="29"/>
        <v>23.191226020257215</v>
      </c>
      <c r="BG66">
        <f t="shared" si="30"/>
        <v>-15.997798803446329</v>
      </c>
      <c r="BH66">
        <f t="shared" si="45"/>
        <v>164.00220119655367</v>
      </c>
      <c r="BI66">
        <f t="shared" si="46"/>
        <v>164.00220119655367</v>
      </c>
      <c r="BJ66">
        <f t="shared" si="31"/>
        <v>0</v>
      </c>
      <c r="BK66">
        <f t="shared" si="47"/>
        <v>0</v>
      </c>
      <c r="BM66">
        <f t="shared" si="48"/>
        <v>25.341752818979003</v>
      </c>
      <c r="BN66">
        <f t="shared" si="32"/>
        <v>-27.478037749435376</v>
      </c>
      <c r="BQ66" s="75">
        <f t="shared" si="49"/>
        <v>14.751434001563346</v>
      </c>
      <c r="BR66" s="78"/>
      <c r="BS66" s="78"/>
      <c r="BT66" s="78">
        <v>363.07799999999997</v>
      </c>
      <c r="BU66" s="78">
        <v>23.6126</v>
      </c>
      <c r="BV66" s="78">
        <v>-265.39159999999998</v>
      </c>
      <c r="BW66" s="84"/>
      <c r="BY66" s="78"/>
      <c r="BZ66" s="78"/>
      <c r="CA66" s="78"/>
      <c r="CC66" s="78"/>
    </row>
    <row r="67" spans="1:81">
      <c r="A67">
        <f t="shared" si="54"/>
        <v>16500</v>
      </c>
      <c r="B67">
        <f t="shared" si="33"/>
        <v>16.5</v>
      </c>
      <c r="C67">
        <f t="shared" si="0"/>
        <v>1.0001859016099077</v>
      </c>
      <c r="D67">
        <f t="shared" si="1"/>
        <v>1.9280706157628658E-2</v>
      </c>
      <c r="F67">
        <f t="shared" si="2"/>
        <v>2.1798104694372631</v>
      </c>
      <c r="G67">
        <f t="shared" si="3"/>
        <v>-0.55017177147038776</v>
      </c>
      <c r="H67">
        <f t="shared" si="4"/>
        <v>-0.55017177147038776</v>
      </c>
      <c r="J67">
        <f t="shared" si="5"/>
        <v>9</v>
      </c>
      <c r="M67">
        <f t="shared" si="6"/>
        <v>0.25580126598608827</v>
      </c>
      <c r="N67">
        <f t="shared" si="7"/>
        <v>-1.5707963250000001</v>
      </c>
      <c r="O67">
        <f t="shared" si="8"/>
        <v>2.3457954474950258</v>
      </c>
      <c r="P67">
        <f t="shared" si="9"/>
        <v>1.1304037364498536</v>
      </c>
      <c r="Q67">
        <f t="shared" si="10"/>
        <v>1.3231323633512504</v>
      </c>
      <c r="R67">
        <f t="shared" si="11"/>
        <v>0.71394837945845302</v>
      </c>
      <c r="S67">
        <f t="shared" si="12"/>
        <v>0.99993819096491632</v>
      </c>
      <c r="T67">
        <f t="shared" si="13"/>
        <v>-1.1118423613113725E-2</v>
      </c>
      <c r="U67">
        <f t="shared" si="14"/>
        <v>0.99984982935528988</v>
      </c>
      <c r="V67">
        <f t="shared" si="15"/>
        <v>-1.7330574335426261E-2</v>
      </c>
      <c r="X67">
        <f t="shared" si="34"/>
        <v>23.848920513200454</v>
      </c>
      <c r="Y67">
        <f t="shared" si="16"/>
        <v>-16.374232675754012</v>
      </c>
      <c r="Z67">
        <f t="shared" si="35"/>
        <v>163.625767324246</v>
      </c>
      <c r="AC67">
        <v>1</v>
      </c>
      <c r="AD67">
        <f t="shared" si="17"/>
        <v>2.1219699058866004</v>
      </c>
      <c r="AE67">
        <f t="shared" si="18"/>
        <v>-1.2319442630611183E-6</v>
      </c>
      <c r="AF67">
        <f t="shared" si="19"/>
        <v>7.1077905387720007E-5</v>
      </c>
      <c r="AG67">
        <f t="shared" si="36"/>
        <v>29601.400360434451</v>
      </c>
      <c r="AH67">
        <f t="shared" si="37"/>
        <v>-14582.130265359239</v>
      </c>
      <c r="AJ67">
        <f t="shared" si="20"/>
        <v>55000</v>
      </c>
      <c r="AK67">
        <f t="shared" si="21"/>
        <v>611.53849825818759</v>
      </c>
      <c r="AL67">
        <v>1</v>
      </c>
      <c r="AM67">
        <f t="shared" si="22"/>
        <v>0.86641748074901248</v>
      </c>
      <c r="AN67">
        <f t="shared" si="38"/>
        <v>31719.029979357561</v>
      </c>
      <c r="AO67">
        <f t="shared" si="39"/>
        <v>-26870.383548259193</v>
      </c>
      <c r="AQ67">
        <f t="shared" si="23"/>
        <v>41.273058347753263</v>
      </c>
      <c r="AR67">
        <f t="shared" si="24"/>
        <v>-358.88987886288851</v>
      </c>
      <c r="AT67">
        <f t="shared" si="52"/>
        <v>-4011638.6402462223</v>
      </c>
      <c r="AU67">
        <f t="shared" si="53"/>
        <v>-11225492.102804895</v>
      </c>
      <c r="AV67">
        <f t="shared" si="42"/>
        <v>-1.9140204784415289</v>
      </c>
      <c r="AW67">
        <f t="shared" si="25"/>
        <v>-8171087.295024001</v>
      </c>
      <c r="AX67">
        <f t="shared" si="26"/>
        <v>-12768547.032132447</v>
      </c>
      <c r="AY67">
        <f t="shared" si="50"/>
        <v>-2.1400660239698812</v>
      </c>
      <c r="BA67">
        <f t="shared" si="27"/>
        <v>0.78637050532906949</v>
      </c>
      <c r="BB67">
        <f t="shared" si="43"/>
        <v>-2.0874556820802281</v>
      </c>
      <c r="BC67">
        <f t="shared" si="44"/>
        <v>0.22604554552835232</v>
      </c>
      <c r="BD67">
        <f t="shared" si="28"/>
        <v>-167.04854424869393</v>
      </c>
      <c r="BF67">
        <f t="shared" si="29"/>
        <v>23.767383760091001</v>
      </c>
      <c r="BG67">
        <f t="shared" si="30"/>
        <v>-17.466361707076572</v>
      </c>
      <c r="BH67">
        <f t="shared" si="45"/>
        <v>162.53363829292343</v>
      </c>
      <c r="BI67">
        <f t="shared" si="46"/>
        <v>162.53363829292343</v>
      </c>
      <c r="BJ67">
        <f t="shared" si="31"/>
        <v>0</v>
      </c>
      <c r="BK67">
        <f t="shared" si="47"/>
        <v>0</v>
      </c>
      <c r="BM67">
        <f t="shared" si="48"/>
        <v>25.854839442171226</v>
      </c>
      <c r="BN67">
        <f t="shared" si="32"/>
        <v>-30.417817458382657</v>
      </c>
      <c r="BQ67" s="75">
        <f t="shared" si="49"/>
        <v>14.814505118204908</v>
      </c>
      <c r="BR67" s="78"/>
      <c r="BS67" s="78"/>
      <c r="BT67" s="78">
        <v>371.53500000000003</v>
      </c>
      <c r="BU67" s="78">
        <v>23.315999999999999</v>
      </c>
      <c r="BV67" s="78">
        <v>-265.2439</v>
      </c>
      <c r="BW67" s="84"/>
      <c r="BY67" s="78"/>
      <c r="BZ67" s="78"/>
      <c r="CA67" s="78"/>
      <c r="CC67" s="78"/>
    </row>
    <row r="68" spans="1:81">
      <c r="A68">
        <f t="shared" si="54"/>
        <v>17000</v>
      </c>
      <c r="B68">
        <f t="shared" si="33"/>
        <v>17</v>
      </c>
      <c r="C68">
        <f t="shared" si="0"/>
        <v>1.000197337954386</v>
      </c>
      <c r="D68">
        <f t="shared" si="1"/>
        <v>1.9864818547350518E-2</v>
      </c>
      <c r="F68">
        <f t="shared" si="2"/>
        <v>2.3184703307184846</v>
      </c>
      <c r="G68">
        <f t="shared" si="3"/>
        <v>-0.61009201641311706</v>
      </c>
      <c r="H68">
        <f t="shared" si="4"/>
        <v>-0.61009201641311706</v>
      </c>
      <c r="J68">
        <f t="shared" si="5"/>
        <v>9</v>
      </c>
      <c r="M68">
        <f t="shared" si="6"/>
        <v>0.24827769933943866</v>
      </c>
      <c r="N68">
        <f t="shared" si="7"/>
        <v>-1.5707963250000001</v>
      </c>
      <c r="O68">
        <f t="shared" si="8"/>
        <v>2.4041184172174637</v>
      </c>
      <c r="P68">
        <f t="shared" si="9"/>
        <v>1.1418059375513308</v>
      </c>
      <c r="Q68">
        <f t="shared" si="10"/>
        <v>1.3404716677716479</v>
      </c>
      <c r="R68">
        <f t="shared" si="11"/>
        <v>0.72875200861874756</v>
      </c>
      <c r="S68">
        <f t="shared" si="12"/>
        <v>0.99993438857943084</v>
      </c>
      <c r="T68">
        <f t="shared" si="13"/>
        <v>-1.1455316500050685E-2</v>
      </c>
      <c r="U68">
        <f t="shared" si="14"/>
        <v>0.99984059241542145</v>
      </c>
      <c r="V68">
        <f t="shared" si="15"/>
        <v>-1.7855633278507012E-2</v>
      </c>
      <c r="X68">
        <f t="shared" si="34"/>
        <v>24.451664448200475</v>
      </c>
      <c r="Y68">
        <f t="shared" si="16"/>
        <v>-18.321845375263504</v>
      </c>
      <c r="Z68">
        <f t="shared" si="35"/>
        <v>161.67815462473649</v>
      </c>
      <c r="AC68">
        <v>1</v>
      </c>
      <c r="AD68">
        <f t="shared" si="17"/>
        <v>2.1862720242468003</v>
      </c>
      <c r="AE68">
        <f t="shared" si="18"/>
        <v>-1.3077388136810402E-6</v>
      </c>
      <c r="AF68">
        <f t="shared" si="19"/>
        <v>7.3231781308560009E-5</v>
      </c>
      <c r="AG68">
        <f t="shared" si="36"/>
        <v>29600.853428116985</v>
      </c>
      <c r="AH68">
        <f t="shared" si="37"/>
        <v>-14183.871624936399</v>
      </c>
      <c r="AJ68">
        <f t="shared" si="20"/>
        <v>55000</v>
      </c>
      <c r="AK68">
        <f t="shared" si="21"/>
        <v>630.06996790237508</v>
      </c>
      <c r="AL68">
        <v>1</v>
      </c>
      <c r="AM68">
        <f t="shared" si="22"/>
        <v>0.89267255592322514</v>
      </c>
      <c r="AN68">
        <f t="shared" si="38"/>
        <v>30921.893441250468</v>
      </c>
      <c r="AO68">
        <f t="shared" si="39"/>
        <v>-26973.055684284293</v>
      </c>
      <c r="AQ68">
        <f t="shared" si="23"/>
        <v>38.91037128874337</v>
      </c>
      <c r="AR68">
        <f t="shared" si="24"/>
        <v>-348.5980163758519</v>
      </c>
      <c r="AT68">
        <f t="shared" si="52"/>
        <v>-3792689.3156308555</v>
      </c>
      <c r="AU68">
        <f t="shared" si="53"/>
        <v>-10870698.499312064</v>
      </c>
      <c r="AV68">
        <f t="shared" si="42"/>
        <v>-1.9064828680145396</v>
      </c>
      <c r="AW68">
        <f t="shared" si="25"/>
        <v>-8039766.7185676908</v>
      </c>
      <c r="AX68">
        <f t="shared" si="26"/>
        <v>-12100534.359647384</v>
      </c>
      <c r="AY68">
        <f t="shared" si="50"/>
        <v>-2.1572379008839233</v>
      </c>
      <c r="BA68">
        <f t="shared" si="27"/>
        <v>0.792495622739251</v>
      </c>
      <c r="BB68">
        <f t="shared" si="43"/>
        <v>-2.0200625576096227</v>
      </c>
      <c r="BC68">
        <f t="shared" si="44"/>
        <v>0.25075503286938372</v>
      </c>
      <c r="BD68">
        <f t="shared" si="28"/>
        <v>-165.63279490850314</v>
      </c>
      <c r="BF68">
        <f t="shared" si="29"/>
        <v>24.370532370472905</v>
      </c>
      <c r="BG68">
        <f t="shared" si="30"/>
        <v>-19.450322338686682</v>
      </c>
      <c r="BH68">
        <f t="shared" si="45"/>
        <v>160.54967766131332</v>
      </c>
      <c r="BI68">
        <f t="shared" si="46"/>
        <v>160.54967766131332</v>
      </c>
      <c r="BJ68">
        <f t="shared" si="31"/>
        <v>0</v>
      </c>
      <c r="BK68">
        <f t="shared" si="47"/>
        <v>0</v>
      </c>
      <c r="BM68">
        <f t="shared" si="48"/>
        <v>26.390594928082525</v>
      </c>
      <c r="BN68">
        <f t="shared" si="32"/>
        <v>-33.817527430183532</v>
      </c>
      <c r="BQ68" s="75">
        <f t="shared" si="49"/>
        <v>14.881898242675513</v>
      </c>
      <c r="BR68" s="78"/>
      <c r="BS68" s="78"/>
      <c r="BT68" s="78">
        <v>380.18900000000002</v>
      </c>
      <c r="BU68" s="78">
        <v>23.2133</v>
      </c>
      <c r="BV68" s="78">
        <v>-265.49869999999999</v>
      </c>
      <c r="BW68" s="84"/>
      <c r="BY68" s="78"/>
      <c r="BZ68" s="78"/>
      <c r="CA68" s="78"/>
      <c r="CC68" s="78"/>
    </row>
    <row r="69" spans="1:81">
      <c r="A69">
        <f t="shared" si="54"/>
        <v>17500</v>
      </c>
      <c r="B69">
        <f t="shared" si="33"/>
        <v>17.5</v>
      </c>
      <c r="C69">
        <f t="shared" si="0"/>
        <v>1.0002091155456057</v>
      </c>
      <c r="D69">
        <f t="shared" si="1"/>
        <v>2.0448917380358297E-2</v>
      </c>
      <c r="F69">
        <f t="shared" si="2"/>
        <v>2.4705728419153092</v>
      </c>
      <c r="G69">
        <f t="shared" si="3"/>
        <v>-0.67960701041999361</v>
      </c>
      <c r="H69">
        <f t="shared" si="4"/>
        <v>-0.67960701041999361</v>
      </c>
      <c r="J69">
        <f t="shared" si="5"/>
        <v>9</v>
      </c>
      <c r="M69">
        <f t="shared" si="6"/>
        <v>0.24118405078688326</v>
      </c>
      <c r="N69">
        <f t="shared" si="7"/>
        <v>-1.5707963250000001</v>
      </c>
      <c r="O69">
        <f t="shared" si="8"/>
        <v>2.4627391196331039</v>
      </c>
      <c r="P69">
        <f t="shared" si="9"/>
        <v>1.1526666809749795</v>
      </c>
      <c r="Q69">
        <f t="shared" si="10"/>
        <v>1.3580971950469334</v>
      </c>
      <c r="R69">
        <f t="shared" si="11"/>
        <v>0.74317448481736614</v>
      </c>
      <c r="S69">
        <f t="shared" si="12"/>
        <v>0.99993047273523916</v>
      </c>
      <c r="T69">
        <f t="shared" si="13"/>
        <v>-1.1792206786610141E-2</v>
      </c>
      <c r="U69">
        <f t="shared" si="14"/>
        <v>0.99983108001357823</v>
      </c>
      <c r="V69">
        <f t="shared" si="15"/>
        <v>-1.8380682375598735E-2</v>
      </c>
      <c r="X69">
        <f t="shared" si="34"/>
        <v>25.074505269903074</v>
      </c>
      <c r="Y69">
        <f t="shared" si="16"/>
        <v>-20.872058461719977</v>
      </c>
      <c r="Z69">
        <f t="shared" si="35"/>
        <v>159.12794153828003</v>
      </c>
      <c r="AC69">
        <v>1</v>
      </c>
      <c r="AD69">
        <f t="shared" si="17"/>
        <v>2.2505741426070003</v>
      </c>
      <c r="AE69">
        <f t="shared" si="18"/>
        <v>-1.3857958882000639E-6</v>
      </c>
      <c r="AF69">
        <f t="shared" si="19"/>
        <v>7.5385657229399996E-5</v>
      </c>
      <c r="AG69">
        <f t="shared" si="36"/>
        <v>29600.290190586118</v>
      </c>
      <c r="AH69">
        <f t="shared" si="37"/>
        <v>-13809.257605432813</v>
      </c>
      <c r="AJ69">
        <f t="shared" si="20"/>
        <v>55000</v>
      </c>
      <c r="AK69">
        <f t="shared" si="21"/>
        <v>648.60143754656258</v>
      </c>
      <c r="AL69">
        <v>1</v>
      </c>
      <c r="AM69">
        <f t="shared" si="22"/>
        <v>0.91892763109743758</v>
      </c>
      <c r="AN69">
        <f t="shared" si="38"/>
        <v>30142.688165630247</v>
      </c>
      <c r="AO69">
        <f t="shared" si="39"/>
        <v>-27050.347593404807</v>
      </c>
      <c r="AQ69">
        <f t="shared" si="23"/>
        <v>36.744153650872875</v>
      </c>
      <c r="AR69">
        <f t="shared" si="24"/>
        <v>-338.87295704517504</v>
      </c>
      <c r="AT69">
        <f t="shared" si="52"/>
        <v>-3591946.3484782684</v>
      </c>
      <c r="AU69">
        <f t="shared" si="53"/>
        <v>-10538147.349537713</v>
      </c>
      <c r="AV69">
        <f t="shared" si="42"/>
        <v>-1.8992981583147828</v>
      </c>
      <c r="AW69">
        <f t="shared" si="25"/>
        <v>-7902656.3204837106</v>
      </c>
      <c r="AX69">
        <f t="shared" si="26"/>
        <v>-11476138.140263317</v>
      </c>
      <c r="AY69">
        <f t="shared" si="50"/>
        <v>-2.1738413276811732</v>
      </c>
      <c r="BA69">
        <f t="shared" si="27"/>
        <v>0.79902158458484573</v>
      </c>
      <c r="BB69">
        <f t="shared" si="43"/>
        <v>-1.9488297719310079</v>
      </c>
      <c r="BC69">
        <f t="shared" si="44"/>
        <v>0.27454316936639045</v>
      </c>
      <c r="BD69">
        <f t="shared" si="28"/>
        <v>-164.26983508318614</v>
      </c>
      <c r="BF69">
        <f t="shared" si="29"/>
        <v>24.993789842975467</v>
      </c>
      <c r="BG69">
        <f t="shared" si="30"/>
        <v>-22.036811889403953</v>
      </c>
      <c r="BH69">
        <f t="shared" si="45"/>
        <v>157.96318811059604</v>
      </c>
      <c r="BI69">
        <f t="shared" si="46"/>
        <v>157.96318811059604</v>
      </c>
      <c r="BJ69">
        <f t="shared" si="31"/>
        <v>0</v>
      </c>
      <c r="BK69">
        <f t="shared" si="47"/>
        <v>0</v>
      </c>
      <c r="BM69">
        <f t="shared" si="48"/>
        <v>26.942619614906476</v>
      </c>
      <c r="BN69">
        <f t="shared" si="32"/>
        <v>-37.766976806217812</v>
      </c>
      <c r="BQ69" s="75">
        <f t="shared" si="49"/>
        <v>14.953131028354127</v>
      </c>
      <c r="BR69" s="78"/>
      <c r="BS69" s="78"/>
      <c r="BT69" s="78">
        <v>389.04500000000002</v>
      </c>
      <c r="BU69" s="78">
        <v>22.955200000000001</v>
      </c>
      <c r="BV69" s="78">
        <v>-266.06720000000001</v>
      </c>
      <c r="BW69" s="84"/>
      <c r="BY69" s="78"/>
      <c r="BZ69" s="78"/>
      <c r="CA69" s="78"/>
      <c r="CC69" s="78"/>
    </row>
    <row r="70" spans="1:81">
      <c r="A70">
        <f t="shared" si="54"/>
        <v>18000</v>
      </c>
      <c r="B70">
        <f t="shared" si="33"/>
        <v>18</v>
      </c>
      <c r="C70">
        <f t="shared" si="0"/>
        <v>1.0002212343715122</v>
      </c>
      <c r="D70">
        <f t="shared" si="1"/>
        <v>2.1033002258582414E-2</v>
      </c>
      <c r="F70">
        <f t="shared" si="2"/>
        <v>2.6342115398705128</v>
      </c>
      <c r="G70">
        <f t="shared" si="3"/>
        <v>-0.76046923898684571</v>
      </c>
      <c r="H70">
        <f t="shared" si="4"/>
        <v>-0.76046923898684571</v>
      </c>
      <c r="J70">
        <f t="shared" si="5"/>
        <v>9</v>
      </c>
      <c r="M70">
        <f t="shared" si="6"/>
        <v>0.23448449382058095</v>
      </c>
      <c r="N70">
        <f t="shared" si="7"/>
        <v>-1.5707963250000001</v>
      </c>
      <c r="O70">
        <f t="shared" si="8"/>
        <v>2.5216367905766064</v>
      </c>
      <c r="P70">
        <f t="shared" si="9"/>
        <v>1.1630212517263876</v>
      </c>
      <c r="Q70">
        <f t="shared" si="10"/>
        <v>1.3759979463047902</v>
      </c>
      <c r="R70">
        <f t="shared" si="11"/>
        <v>0.75722456869319787</v>
      </c>
      <c r="S70">
        <f t="shared" si="12"/>
        <v>0.99992644343634129</v>
      </c>
      <c r="T70">
        <f t="shared" si="13"/>
        <v>-1.2129094396352335E-2</v>
      </c>
      <c r="U70">
        <f t="shared" si="14"/>
        <v>0.99982129217335591</v>
      </c>
      <c r="V70">
        <f t="shared" si="15"/>
        <v>-1.890572133749923E-2</v>
      </c>
      <c r="X70">
        <f t="shared" si="34"/>
        <v>25.705882180593704</v>
      </c>
      <c r="Y70">
        <f t="shared" si="16"/>
        <v>-24.12275833012766</v>
      </c>
      <c r="Z70">
        <f t="shared" si="35"/>
        <v>155.87724166987235</v>
      </c>
      <c r="AC70">
        <v>1</v>
      </c>
      <c r="AD70">
        <f t="shared" si="17"/>
        <v>2.3148762609672002</v>
      </c>
      <c r="AE70">
        <f t="shared" si="18"/>
        <v>-1.4661154866181904E-6</v>
      </c>
      <c r="AF70">
        <f t="shared" si="19"/>
        <v>7.7539533150240011E-5</v>
      </c>
      <c r="AG70">
        <f t="shared" si="36"/>
        <v>29599.710649704477</v>
      </c>
      <c r="AH70">
        <f t="shared" si="37"/>
        <v>-13456.317723260878</v>
      </c>
      <c r="AJ70">
        <f t="shared" si="20"/>
        <v>55000</v>
      </c>
      <c r="AK70">
        <f t="shared" si="21"/>
        <v>667.13290719075007</v>
      </c>
      <c r="AL70">
        <v>1</v>
      </c>
      <c r="AM70">
        <f t="shared" si="22"/>
        <v>0.94518270627165002</v>
      </c>
      <c r="AN70">
        <f t="shared" si="38"/>
        <v>29381.764924395393</v>
      </c>
      <c r="AO70">
        <f t="shared" si="39"/>
        <v>-27104.003179086732</v>
      </c>
      <c r="AQ70">
        <f t="shared" si="23"/>
        <v>34.753288362299749</v>
      </c>
      <c r="AR70">
        <f t="shared" si="24"/>
        <v>-329.66969340477544</v>
      </c>
      <c r="AT70">
        <f t="shared" si="52"/>
        <v>-3407452.8585348446</v>
      </c>
      <c r="AU70">
        <f t="shared" si="53"/>
        <v>-10225778.824889351</v>
      </c>
      <c r="AV70">
        <f t="shared" si="42"/>
        <v>-1.8924465358662412</v>
      </c>
      <c r="AW70">
        <f t="shared" si="25"/>
        <v>-7761165.6383549534</v>
      </c>
      <c r="AX70">
        <f t="shared" si="26"/>
        <v>-10891987.728207821</v>
      </c>
      <c r="AY70">
        <f t="shared" si="50"/>
        <v>-2.1899004028680347</v>
      </c>
      <c r="BA70">
        <f t="shared" si="27"/>
        <v>0.80591741607776868</v>
      </c>
      <c r="BB70">
        <f t="shared" si="43"/>
        <v>-1.87418917827219</v>
      </c>
      <c r="BC70">
        <f t="shared" si="44"/>
        <v>0.29745386700179344</v>
      </c>
      <c r="BD70">
        <f t="shared" si="28"/>
        <v>-162.95714880147722</v>
      </c>
      <c r="BF70">
        <f t="shared" si="29"/>
        <v>25.625595374601641</v>
      </c>
      <c r="BG70">
        <f t="shared" si="30"/>
        <v>-25.323724433454021</v>
      </c>
      <c r="BH70">
        <f t="shared" si="45"/>
        <v>154.67627556654597</v>
      </c>
      <c r="BI70">
        <f t="shared" si="46"/>
        <v>154.67627556654597</v>
      </c>
      <c r="BJ70">
        <f t="shared" si="31"/>
        <v>0</v>
      </c>
      <c r="BK70">
        <f t="shared" si="47"/>
        <v>0</v>
      </c>
      <c r="BM70">
        <f t="shared" si="48"/>
        <v>27.499784552873834</v>
      </c>
      <c r="BN70">
        <f t="shared" si="32"/>
        <v>-42.366575631976787</v>
      </c>
      <c r="BQ70" s="75">
        <f t="shared" si="49"/>
        <v>15.027771622012946</v>
      </c>
      <c r="BR70" s="78"/>
      <c r="BS70" s="78"/>
      <c r="BT70" s="78">
        <v>398.10700000000003</v>
      </c>
      <c r="BU70" s="78">
        <v>22.738499999999998</v>
      </c>
      <c r="BV70" s="78">
        <v>-265.2319</v>
      </c>
      <c r="BW70" s="84"/>
      <c r="BY70" s="78"/>
      <c r="BZ70" s="78"/>
      <c r="CA70" s="78"/>
      <c r="CC70" s="78"/>
    </row>
    <row r="71" spans="1:81">
      <c r="A71">
        <f t="shared" si="54"/>
        <v>18500</v>
      </c>
      <c r="B71">
        <f t="shared" si="33"/>
        <v>18.5</v>
      </c>
      <c r="C71">
        <f t="shared" si="0"/>
        <v>1.0002336944197023</v>
      </c>
      <c r="D71">
        <f t="shared" si="1"/>
        <v>2.1617072784010382E-2</v>
      </c>
      <c r="F71">
        <f t="shared" si="2"/>
        <v>2.8045724326930936</v>
      </c>
      <c r="G71">
        <f t="shared" si="3"/>
        <v>-0.85446860021878002</v>
      </c>
      <c r="H71">
        <f t="shared" si="4"/>
        <v>-0.85446860021878002</v>
      </c>
      <c r="J71">
        <f t="shared" si="5"/>
        <v>9</v>
      </c>
      <c r="M71">
        <f t="shared" si="6"/>
        <v>0.22814707506867335</v>
      </c>
      <c r="N71">
        <f t="shared" si="7"/>
        <v>-1.5707963250000001</v>
      </c>
      <c r="O71">
        <f t="shared" si="8"/>
        <v>2.5807924675686258</v>
      </c>
      <c r="P71">
        <f t="shared" si="9"/>
        <v>1.1729021569290083</v>
      </c>
      <c r="Q71">
        <f t="shared" si="10"/>
        <v>1.3941633201388062</v>
      </c>
      <c r="R71">
        <f t="shared" si="11"/>
        <v>0.77091116276926397</v>
      </c>
      <c r="S71">
        <f t="shared" si="12"/>
        <v>0.99992230068685184</v>
      </c>
      <c r="T71">
        <f t="shared" si="13"/>
        <v>-1.2465979252841151E-2</v>
      </c>
      <c r="U71">
        <f t="shared" si="14"/>
        <v>0.99981122891903262</v>
      </c>
      <c r="V71">
        <f t="shared" si="15"/>
        <v>-1.9430749875039816E-2</v>
      </c>
      <c r="X71">
        <f t="shared" si="34"/>
        <v>26.327531104550932</v>
      </c>
      <c r="Y71">
        <f t="shared" si="16"/>
        <v>-28.174125991664802</v>
      </c>
      <c r="Z71">
        <f t="shared" si="35"/>
        <v>151.82587400833521</v>
      </c>
      <c r="AC71">
        <v>1</v>
      </c>
      <c r="AD71">
        <f t="shared" si="17"/>
        <v>2.3791783793274006</v>
      </c>
      <c r="AE71">
        <f t="shared" si="18"/>
        <v>-1.5486976089354184E-6</v>
      </c>
      <c r="AF71">
        <f t="shared" si="19"/>
        <v>7.9693409071079999E-5</v>
      </c>
      <c r="AG71">
        <f t="shared" si="36"/>
        <v>29599.114807388545</v>
      </c>
      <c r="AH71">
        <f t="shared" si="37"/>
        <v>-13123.294517317032</v>
      </c>
      <c r="AJ71">
        <f t="shared" si="20"/>
        <v>55000</v>
      </c>
      <c r="AK71">
        <f t="shared" si="21"/>
        <v>685.66437683493757</v>
      </c>
      <c r="AL71">
        <v>1</v>
      </c>
      <c r="AM71">
        <f t="shared" si="22"/>
        <v>0.97143778144586268</v>
      </c>
      <c r="AN71">
        <f t="shared" si="38"/>
        <v>28639.361852602502</v>
      </c>
      <c r="AO71">
        <f t="shared" si="39"/>
        <v>-27135.693763282507</v>
      </c>
      <c r="AQ71">
        <f t="shared" si="23"/>
        <v>32.91941138353819</v>
      </c>
      <c r="AR71">
        <f t="shared" si="24"/>
        <v>-320.94780128380557</v>
      </c>
      <c r="AT71">
        <f t="shared" si="52"/>
        <v>-3237507.0839997218</v>
      </c>
      <c r="AU71">
        <f t="shared" si="53"/>
        <v>-9931781.9483011775</v>
      </c>
      <c r="AV71">
        <f t="shared" si="42"/>
        <v>-1.8859093232197186</v>
      </c>
      <c r="AW71">
        <f t="shared" si="25"/>
        <v>-7616497.327523699</v>
      </c>
      <c r="AX71">
        <f t="shared" si="26"/>
        <v>-10345019.576278366</v>
      </c>
      <c r="AY71">
        <f t="shared" si="50"/>
        <v>-2.2054377386205966</v>
      </c>
      <c r="BA71">
        <f t="shared" si="27"/>
        <v>0.81315548078969757</v>
      </c>
      <c r="BB71">
        <f t="shared" si="43"/>
        <v>-1.7965281288804564</v>
      </c>
      <c r="BC71">
        <f t="shared" si="44"/>
        <v>0.31952841540087795</v>
      </c>
      <c r="BD71">
        <f t="shared" si="28"/>
        <v>-161.69237034210721</v>
      </c>
      <c r="BF71">
        <f t="shared" si="29"/>
        <v>26.247684883884869</v>
      </c>
      <c r="BG71">
        <f t="shared" si="30"/>
        <v>-29.411247879670363</v>
      </c>
      <c r="BH71">
        <f t="shared" si="45"/>
        <v>150.58875212032964</v>
      </c>
      <c r="BI71">
        <f t="shared" si="46"/>
        <v>150.58875212032964</v>
      </c>
      <c r="BJ71">
        <f t="shared" si="31"/>
        <v>0</v>
      </c>
      <c r="BK71">
        <f t="shared" si="47"/>
        <v>0</v>
      </c>
      <c r="BM71">
        <f t="shared" si="48"/>
        <v>28.044213012765326</v>
      </c>
      <c r="BN71">
        <f t="shared" si="32"/>
        <v>-47.718877537563159</v>
      </c>
      <c r="BQ71" s="75">
        <f t="shared" si="49"/>
        <v>15.10543267140468</v>
      </c>
      <c r="BR71" s="78"/>
      <c r="BS71" s="78"/>
      <c r="BT71" s="78">
        <v>407.38</v>
      </c>
      <c r="BU71" s="78">
        <v>22.7593</v>
      </c>
      <c r="BV71" s="78">
        <v>-265.7319</v>
      </c>
      <c r="BW71" s="84"/>
      <c r="BY71" s="78"/>
      <c r="BZ71" s="78"/>
      <c r="CA71" s="78"/>
      <c r="CC71" s="78"/>
    </row>
    <row r="72" spans="1:81">
      <c r="A72">
        <f t="shared" si="54"/>
        <v>19000</v>
      </c>
      <c r="B72">
        <f t="shared" si="33"/>
        <v>19</v>
      </c>
      <c r="C72">
        <f t="shared" si="0"/>
        <v>1.000246495677424</v>
      </c>
      <c r="D72">
        <f t="shared" si="1"/>
        <v>2.220112855868845E-2</v>
      </c>
      <c r="F72">
        <f t="shared" si="2"/>
        <v>2.9724380263294208</v>
      </c>
      <c r="G72">
        <f t="shared" si="3"/>
        <v>-0.96310775615427824</v>
      </c>
      <c r="H72">
        <f t="shared" si="4"/>
        <v>-0.96310775615427824</v>
      </c>
      <c r="J72">
        <f t="shared" si="5"/>
        <v>9</v>
      </c>
      <c r="M72">
        <f t="shared" si="6"/>
        <v>0.22214320467212934</v>
      </c>
      <c r="N72">
        <f t="shared" si="7"/>
        <v>-1.5707963250000001</v>
      </c>
      <c r="O72">
        <f t="shared" si="8"/>
        <v>2.6401888081308966</v>
      </c>
      <c r="P72">
        <f t="shared" si="9"/>
        <v>1.1823393677876444</v>
      </c>
      <c r="Q72">
        <f t="shared" si="10"/>
        <v>1.4125831076969333</v>
      </c>
      <c r="R72">
        <f t="shared" si="11"/>
        <v>0.7842432599564505</v>
      </c>
      <c r="S72">
        <f t="shared" si="12"/>
        <v>0.99991804449100241</v>
      </c>
      <c r="T72">
        <f t="shared" si="13"/>
        <v>-1.2802861279644221E-2</v>
      </c>
      <c r="U72">
        <f t="shared" si="14"/>
        <v>0.99980089027556784</v>
      </c>
      <c r="V72">
        <f t="shared" si="15"/>
        <v>-1.9955767699086274E-2</v>
      </c>
      <c r="X72">
        <f t="shared" si="34"/>
        <v>26.912446167318528</v>
      </c>
      <c r="Y72">
        <f t="shared" si="16"/>
        <v>-33.110025161740985</v>
      </c>
      <c r="Z72">
        <f t="shared" si="35"/>
        <v>146.88997483825901</v>
      </c>
      <c r="AC72">
        <v>1</v>
      </c>
      <c r="AD72">
        <f t="shared" si="17"/>
        <v>2.4434804976876001</v>
      </c>
      <c r="AE72">
        <f t="shared" si="18"/>
        <v>-1.6335422551517489E-6</v>
      </c>
      <c r="AF72">
        <f t="shared" si="19"/>
        <v>8.1847284991920001E-5</v>
      </c>
      <c r="AG72">
        <f t="shared" si="36"/>
        <v>29598.502665608514</v>
      </c>
      <c r="AH72">
        <f t="shared" si="37"/>
        <v>-12808.615519708281</v>
      </c>
      <c r="AJ72">
        <f t="shared" si="20"/>
        <v>55000</v>
      </c>
      <c r="AK72">
        <f t="shared" si="21"/>
        <v>704.19584647912507</v>
      </c>
      <c r="AL72">
        <v>1</v>
      </c>
      <c r="AM72">
        <f t="shared" si="22"/>
        <v>0.99769285662007512</v>
      </c>
      <c r="AN72">
        <f t="shared" si="38"/>
        <v>27915.616616755287</v>
      </c>
      <c r="AO72">
        <f t="shared" si="39"/>
        <v>-27147.015440202296</v>
      </c>
      <c r="AQ72">
        <f t="shared" si="23"/>
        <v>31.226493410256897</v>
      </c>
      <c r="AR72">
        <f t="shared" si="24"/>
        <v>-312.67087851690229</v>
      </c>
      <c r="AT72">
        <f t="shared" si="52"/>
        <v>-3080623.6186913215</v>
      </c>
      <c r="AU72">
        <f t="shared" si="53"/>
        <v>-9654557.9793613721</v>
      </c>
      <c r="AV72">
        <f t="shared" si="42"/>
        <v>-1.8796689484235845</v>
      </c>
      <c r="AW72">
        <f t="shared" si="25"/>
        <v>-7469676.8857728587</v>
      </c>
      <c r="AX72">
        <f t="shared" si="26"/>
        <v>-9832443.5914929826</v>
      </c>
      <c r="AY72">
        <f t="shared" si="50"/>
        <v>-2.2204746189277298</v>
      </c>
      <c r="BA72">
        <f t="shared" si="27"/>
        <v>0.82071102578593602</v>
      </c>
      <c r="BB72">
        <f t="shared" si="43"/>
        <v>-1.7161946407631581</v>
      </c>
      <c r="BC72">
        <f t="shared" si="44"/>
        <v>0.34080567050414534</v>
      </c>
      <c r="BD72">
        <f t="shared" si="28"/>
        <v>-160.47327342367376</v>
      </c>
      <c r="BF72">
        <f t="shared" si="29"/>
        <v>26.833052490200085</v>
      </c>
      <c r="BG72">
        <f t="shared" si="30"/>
        <v>-34.383252162389667</v>
      </c>
      <c r="BH72">
        <f t="shared" si="45"/>
        <v>145.61674783761032</v>
      </c>
      <c r="BI72">
        <f t="shared" si="46"/>
        <v>145.61674783761032</v>
      </c>
      <c r="BJ72">
        <f t="shared" si="31"/>
        <v>0</v>
      </c>
      <c r="BK72">
        <f t="shared" si="47"/>
        <v>0</v>
      </c>
      <c r="BM72">
        <f t="shared" si="48"/>
        <v>28.549247130963241</v>
      </c>
      <c r="BN72">
        <f t="shared" si="32"/>
        <v>-53.9099787387159</v>
      </c>
      <c r="BQ72" s="75">
        <f t="shared" si="49"/>
        <v>15.185766159521979</v>
      </c>
      <c r="BR72" s="78"/>
      <c r="BS72" s="78"/>
      <c r="BT72" s="78">
        <v>416.86900000000003</v>
      </c>
      <c r="BU72" s="78">
        <v>22.4206</v>
      </c>
      <c r="BV72" s="78">
        <v>-265.24939999999998</v>
      </c>
      <c r="BW72" s="84"/>
      <c r="BY72" s="78"/>
      <c r="BZ72" s="78"/>
      <c r="CA72" s="78"/>
      <c r="CC72" s="78"/>
    </row>
    <row r="73" spans="1:81">
      <c r="A73">
        <f t="shared" si="54"/>
        <v>19500</v>
      </c>
      <c r="B73">
        <f t="shared" si="33"/>
        <v>19.5</v>
      </c>
      <c r="C73">
        <f t="shared" ref="C73:C136" si="55">SQRT((A73/Fesr)^2+1)</f>
        <v>1.0002596381315774</v>
      </c>
      <c r="D73">
        <f t="shared" ref="D73:D136" si="56">ATAN(A73/Fesr)</f>
        <v>2.2785169184723224E-2</v>
      </c>
      <c r="F73">
        <f t="shared" ref="F73:F136" si="57">(Ro/(Ro+Rdcr))/SQRT((A73/(Q*Fo))^2+(1-(A73^2/Fo^2))^2)</f>
        <v>3.1229945866382764</v>
      </c>
      <c r="G73">
        <f t="shared" ref="G73:G136" si="58">-ATAN(A73*Fo/(Q*(Fo^2-A73^2)))</f>
        <v>-1.0870346082740374</v>
      </c>
      <c r="H73">
        <f t="shared" ref="H73:H136" si="59">IF(G73&gt;0,G73-Pi,G73)</f>
        <v>-1.0870346082740374</v>
      </c>
      <c r="J73">
        <f t="shared" ref="J73:J136" si="60">Vin/Vramp</f>
        <v>9</v>
      </c>
      <c r="M73">
        <f t="shared" ref="M73:M136" si="61">1/(2*Pi*_Rfb1*(Cc1ea_u+Cc2ea_u)*A73)</f>
        <v>0.21644722506515165</v>
      </c>
      <c r="N73">
        <f t="shared" ref="N73:N136" si="62">-Pi/2</f>
        <v>-1.5707963250000001</v>
      </c>
      <c r="O73">
        <f t="shared" ref="O73:O136" si="63">SQRT(1+(A73/Fz1_u)^2)</f>
        <v>2.6998099283748753</v>
      </c>
      <c r="P73">
        <f t="shared" ref="P73:P136" si="64">ATAN2(Fz1_u,A73)</f>
        <v>1.191360540452483</v>
      </c>
      <c r="Q73">
        <f t="shared" ref="Q73:Q136" si="65">SQRT(1+(A73/Fz2_u)^2)</f>
        <v>1.4312474862950149</v>
      </c>
      <c r="R73">
        <f t="shared" ref="R73:R136" si="66">ATAN2(Fz2_u,A73)</f>
        <v>0.7972298977606932</v>
      </c>
      <c r="S73">
        <f t="shared" ref="S73:S136" si="67">1/SQRT(1+(A73/Fp1_u)^2)</f>
        <v>0.99991367485313976</v>
      </c>
      <c r="T73">
        <f t="shared" ref="T73:T136" si="68">-ATAN2(Fp1_u,A73)</f>
        <v>-1.3139740400333036E-2</v>
      </c>
      <c r="U73">
        <f t="shared" ref="U73:U136" si="69">1/SQRT(1+(A73/Fp2_u)^2)</f>
        <v>0.99979027626860328</v>
      </c>
      <c r="V73">
        <f t="shared" ref="V73:V136" si="70">-ATAN2(Fp2_u,A73)</f>
        <v>-2.0480774520539809E-2</v>
      </c>
      <c r="X73">
        <f t="shared" si="34"/>
        <v>27.423957029456545</v>
      </c>
      <c r="Y73">
        <f t="shared" ref="Y73:Y136" si="71">(180/Pi)*(D73+H73+N73+P73+R73+T73+V73)</f>
        <v>-38.965475471004162</v>
      </c>
      <c r="Z73">
        <f t="shared" si="35"/>
        <v>141.03452452899583</v>
      </c>
      <c r="AC73">
        <v>1</v>
      </c>
      <c r="AD73">
        <f t="shared" ref="AD73:AD136" si="72">Rcea1_u*Cc1ea_u*A73*2*Pi</f>
        <v>2.5077826160478005</v>
      </c>
      <c r="AE73">
        <f t="shared" ref="AE73:AE136" si="73">-Rcea1_u*Cc1ea_u*Cc2ea_u*(A73*2*Pi)^2</f>
        <v>-1.7206494252671816E-6</v>
      </c>
      <c r="AF73">
        <f t="shared" ref="AF73:AF136" si="74">(Cc2ea_u+Cc1ea_u)*A73*2*Pi</f>
        <v>8.4001160912760002E-5</v>
      </c>
      <c r="AG73">
        <f t="shared" si="36"/>
        <v>29597.874226388434</v>
      </c>
      <c r="AH73">
        <f t="shared" si="37"/>
        <v>-12510.869538674755</v>
      </c>
      <c r="AJ73">
        <f t="shared" ref="AJ73:AJ136" si="75">_Rfb1</f>
        <v>55000</v>
      </c>
      <c r="AK73">
        <f t="shared" ref="AK73:AK136" si="76">_Rfb1*Rcea2_u*Cc3ea_u*A73*2*Pi</f>
        <v>722.72731612331256</v>
      </c>
      <c r="AL73">
        <v>1</v>
      </c>
      <c r="AM73">
        <f t="shared" ref="AM73:AM136" si="77">(_Rfb1+Rcea2_u)*Cc3ea_u*A73*2*Pi</f>
        <v>1.0239479317942874</v>
      </c>
      <c r="AN73">
        <f t="shared" si="38"/>
        <v>27210.577828422902</v>
      </c>
      <c r="AO73">
        <f t="shared" si="39"/>
        <v>-27139.487574217812</v>
      </c>
      <c r="AQ73">
        <f t="shared" ref="AQ73:AQ136" si="78">Eadcg/(1+(Eadcg*A73/GBP)^2)</f>
        <v>29.660493649904758</v>
      </c>
      <c r="AR73">
        <f t="shared" ref="AR73:AR136" si="79">-(A73*Eadcg*Eadcg/GBP)/(1+(Eadcg*A73/GBP)^2)</f>
        <v>-304.80606299324626</v>
      </c>
      <c r="AT73">
        <f t="shared" si="52"/>
        <v>-2935501.3281631097</v>
      </c>
      <c r="AU73">
        <f t="shared" si="53"/>
        <v>-9392690.0824213829</v>
      </c>
      <c r="AV73">
        <f t="shared" si="42"/>
        <v>-1.8737089038466286</v>
      </c>
      <c r="AW73">
        <f t="shared" si="25"/>
        <v>-7321577.7200972652</v>
      </c>
      <c r="AX73">
        <f t="shared" si="26"/>
        <v>-9351713.9842226468</v>
      </c>
      <c r="AY73">
        <f t="shared" si="50"/>
        <v>-2.2350311319664282</v>
      </c>
      <c r="BA73">
        <f t="shared" ref="BA73:BA136" si="80">SQRT(AT73^2+AU73^2)/SQRT(AW73^2+AX73^2)</f>
        <v>0.82856180003445334</v>
      </c>
      <c r="BB73">
        <f t="shared" si="43"/>
        <v>-1.6335018652795541</v>
      </c>
      <c r="BC73">
        <f t="shared" si="44"/>
        <v>0.36132222811979964</v>
      </c>
      <c r="BD73">
        <f t="shared" ref="BD73:BD136" si="81">BC73*180/Pi-180</f>
        <v>-159.29776126081657</v>
      </c>
      <c r="BF73">
        <f t="shared" ref="BF73:BF136" si="82">20*LOG(BA73*J73*F73*C73)</f>
        <v>27.345027847546991</v>
      </c>
      <c r="BG73">
        <f t="shared" ref="BG73:BG136" si="83">(180/Pi)*(D73+H73+BC73)</f>
        <v>-40.27476253947583</v>
      </c>
      <c r="BH73">
        <f t="shared" si="45"/>
        <v>139.72523746052417</v>
      </c>
      <c r="BI73">
        <f t="shared" si="46"/>
        <v>139.72523746052417</v>
      </c>
      <c r="BJ73">
        <f t="shared" ref="BJ73:BJ136" si="84">SUM((BF74&lt;0)*(BF73&gt;0))*A73</f>
        <v>0</v>
      </c>
      <c r="BK73">
        <f t="shared" si="47"/>
        <v>0</v>
      </c>
      <c r="BM73">
        <f t="shared" si="48"/>
        <v>28.978529712826546</v>
      </c>
      <c r="BN73">
        <f t="shared" ref="BN73:BN136" si="85">(H73+D73)*180/Pi</f>
        <v>-60.977001278659266</v>
      </c>
      <c r="BQ73" s="75">
        <f t="shared" si="49"/>
        <v>15.268458935005583</v>
      </c>
      <c r="BR73" s="78"/>
      <c r="BS73" s="78"/>
      <c r="BT73" s="78">
        <v>426.58</v>
      </c>
      <c r="BU73" s="78">
        <v>22.373699999999999</v>
      </c>
      <c r="BV73" s="78">
        <v>-265.14060000000001</v>
      </c>
      <c r="BW73" s="84"/>
      <c r="BY73" s="78"/>
      <c r="BZ73" s="78"/>
      <c r="CA73" s="78"/>
      <c r="CC73" s="78"/>
    </row>
    <row r="74" spans="1:81">
      <c r="A74">
        <f t="shared" si="54"/>
        <v>20000</v>
      </c>
      <c r="B74">
        <f t="shared" ref="B74:B137" si="86">A74/1000</f>
        <v>20</v>
      </c>
      <c r="C74">
        <f t="shared" si="55"/>
        <v>1.0002731217687135</v>
      </c>
      <c r="D74">
        <f t="shared" si="56"/>
        <v>2.3369194264283286E-2</v>
      </c>
      <c r="F74">
        <f t="shared" si="57"/>
        <v>3.236318683038879</v>
      </c>
      <c r="G74">
        <f t="shared" si="58"/>
        <v>-1.2252694001885298</v>
      </c>
      <c r="H74">
        <f t="shared" si="59"/>
        <v>-1.2252694001885298</v>
      </c>
      <c r="J74">
        <f t="shared" si="60"/>
        <v>9</v>
      </c>
      <c r="M74">
        <f t="shared" si="61"/>
        <v>0.21103604443852286</v>
      </c>
      <c r="N74">
        <f t="shared" si="62"/>
        <v>-1.5707963250000001</v>
      </c>
      <c r="O74">
        <f t="shared" si="63"/>
        <v>2.7596412594709978</v>
      </c>
      <c r="P74">
        <f t="shared" si="64"/>
        <v>1.199991217234005</v>
      </c>
      <c r="Q74">
        <f t="shared" si="65"/>
        <v>1.4501470118045547</v>
      </c>
      <c r="R74">
        <f t="shared" si="66"/>
        <v>0.80988011782036551</v>
      </c>
      <c r="S74">
        <f t="shared" si="67"/>
        <v>0.99990919177772608</v>
      </c>
      <c r="T74">
        <f t="shared" si="68"/>
        <v>-1.3476616538483036E-2</v>
      </c>
      <c r="U74">
        <f t="shared" si="69"/>
        <v>0.99977938692446167</v>
      </c>
      <c r="V74">
        <f t="shared" si="70"/>
        <v>-2.1005770050338015E-2</v>
      </c>
      <c r="X74">
        <f t="shared" ref="X74:X137" si="87">20*LOG(C74*J74*O74*Q74*F74*M74*S74*U74)</f>
        <v>27.817968551002558</v>
      </c>
      <c r="Y74">
        <f t="shared" si="71"/>
        <v>-45.682359500861921</v>
      </c>
      <c r="Z74">
        <f t="shared" ref="Z74:Z137" si="88">Y74+180</f>
        <v>134.31764049913807</v>
      </c>
      <c r="AC74">
        <v>1</v>
      </c>
      <c r="AD74">
        <f t="shared" si="72"/>
        <v>2.572084734408</v>
      </c>
      <c r="AE74">
        <f t="shared" si="73"/>
        <v>-1.8100191192817162E-6</v>
      </c>
      <c r="AF74">
        <f t="shared" si="74"/>
        <v>8.6155036833600004E-5</v>
      </c>
      <c r="AG74">
        <f t="shared" ref="AG74:AG137" si="89">AC74*AE74/(AE74^2+AF74^2)+AD74*AF74/(AE74^2+AF74^2)</f>
        <v>29597.229491806047</v>
      </c>
      <c r="AH74">
        <f t="shared" ref="AH74:AH137" si="90">AD74*AE74/(AE74^2+AF74^2)-AC74*AF74/(AE74^2+AF74^2)</f>
        <v>-12228.786499073845</v>
      </c>
      <c r="AJ74">
        <f t="shared" si="75"/>
        <v>55000</v>
      </c>
      <c r="AK74">
        <f t="shared" si="76"/>
        <v>741.25878576750006</v>
      </c>
      <c r="AL74">
        <v>1</v>
      </c>
      <c r="AM74">
        <f t="shared" si="77"/>
        <v>1.0502030069685002</v>
      </c>
      <c r="AN74">
        <f t="shared" ref="AN74:AN137" si="91">AJ74*AL74/(AL74^2+AM74^2)+AK74*AM74/(AL74^2+AM74^2)</f>
        <v>26524.215672461749</v>
      </c>
      <c r="AO74">
        <f t="shared" ref="AO74:AO137" si="92">AK74*AL74/(AL74^2+AM74^2)-AJ74*AM74/(AL74^2+AM74^2)</f>
        <v>-27114.552270932851</v>
      </c>
      <c r="AQ74">
        <f t="shared" si="78"/>
        <v>28.209071866223699</v>
      </c>
      <c r="AR74">
        <f t="shared" si="79"/>
        <v>-297.32361746999783</v>
      </c>
      <c r="AT74">
        <f t="shared" si="52"/>
        <v>-2800996.6653974336</v>
      </c>
      <c r="AU74">
        <f t="shared" si="53"/>
        <v>-9144918.0567825604</v>
      </c>
      <c r="AV74">
        <f t="shared" ref="AV74:AV137" si="93">ATAN2(AT74,AU74)</f>
        <v>-1.8680136983107887</v>
      </c>
      <c r="AW74">
        <f t="shared" ref="AW74:AW137" si="94">AG74-AH74*AO74/_Rfb2+AG74*AN74/_Rfb2+AN74-AO74*AR74+AQ74*AN74</f>
        <v>-7172942.3872275027</v>
      </c>
      <c r="AX74">
        <f t="shared" ref="AX74:AX137" si="95">AH74+AH74*AN74/_Rfb2+AG74*AO74/_Rfb2+AO74+AO74*AQ74+AN74*AR74</f>
        <v>-8900503.8942484055</v>
      </c>
      <c r="AY74">
        <f t="shared" si="50"/>
        <v>-2.2491262816959132</v>
      </c>
      <c r="BA74">
        <f t="shared" si="80"/>
        <v>0.83668773274080543</v>
      </c>
      <c r="BB74">
        <f t="shared" ref="BB74:BB137" si="96">20*LOG(BA74)</f>
        <v>-1.5487319692048871</v>
      </c>
      <c r="BC74">
        <f t="shared" ref="BC74:BC137" si="97">AV74-AY74</f>
        <v>0.38111258338512455</v>
      </c>
      <c r="BD74">
        <f t="shared" si="81"/>
        <v>-158.16385742775327</v>
      </c>
      <c r="BF74">
        <f t="shared" si="82"/>
        <v>27.739515809037648</v>
      </c>
      <c r="BG74">
        <f t="shared" si="83"/>
        <v>-47.027666701805508</v>
      </c>
      <c r="BH74">
        <f t="shared" ref="BH74:BH137" si="98">IF(BG74&gt;180,BG74-180,BG74+180)</f>
        <v>132.97233329819448</v>
      </c>
      <c r="BI74">
        <f t="shared" ref="BI74:BI137" si="99">IF(BH74&gt;180,BH74-360,BH74)</f>
        <v>132.97233329819448</v>
      </c>
      <c r="BJ74">
        <f t="shared" si="84"/>
        <v>0</v>
      </c>
      <c r="BK74">
        <f t="shared" ref="BK74:BK137" si="100">IF(BJ74&gt;0,BI74,0)</f>
        <v>0</v>
      </c>
      <c r="BM74">
        <f t="shared" ref="BM74:BM137" si="101">20*LOG(J74*F74*C74)</f>
        <v>29.288247778242535</v>
      </c>
      <c r="BN74">
        <f t="shared" si="85"/>
        <v>-68.863809274052244</v>
      </c>
      <c r="BQ74" s="75">
        <f t="shared" ref="BQ74:BQ137" si="102">20*LOG(BA74*7)</f>
        <v>15.35322883108025</v>
      </c>
      <c r="BR74" s="80"/>
      <c r="BS74" s="80"/>
      <c r="BT74" s="80">
        <v>436.51600000000002</v>
      </c>
      <c r="BU74" s="80">
        <v>22.074100000000001</v>
      </c>
      <c r="BV74" s="80">
        <v>-264.9151</v>
      </c>
      <c r="BW74" s="84"/>
      <c r="BY74" s="80"/>
      <c r="BZ74" s="80"/>
      <c r="CA74" s="80"/>
      <c r="CC74" s="80"/>
    </row>
    <row r="75" spans="1:81">
      <c r="A75">
        <f t="shared" si="54"/>
        <v>20500</v>
      </c>
      <c r="B75">
        <f t="shared" si="86"/>
        <v>20.5</v>
      </c>
      <c r="C75">
        <f t="shared" si="55"/>
        <v>1.000286946575035</v>
      </c>
      <c r="D75">
        <f t="shared" si="56"/>
        <v>2.395320339960082E-2</v>
      </c>
      <c r="F75">
        <f t="shared" si="57"/>
        <v>3.2912817233938241</v>
      </c>
      <c r="G75">
        <f t="shared" si="58"/>
        <v>-1.3745144203181823</v>
      </c>
      <c r="H75">
        <f t="shared" si="59"/>
        <v>-1.3745144203181823</v>
      </c>
      <c r="J75">
        <f t="shared" si="60"/>
        <v>9</v>
      </c>
      <c r="M75">
        <f t="shared" si="61"/>
        <v>0.20588882384246132</v>
      </c>
      <c r="N75">
        <f t="shared" si="62"/>
        <v>-1.5707963250000001</v>
      </c>
      <c r="O75">
        <f t="shared" si="63"/>
        <v>2.8196694198875543</v>
      </c>
      <c r="P75">
        <f t="shared" si="64"/>
        <v>1.2082550096585862</v>
      </c>
      <c r="Q75">
        <f t="shared" si="65"/>
        <v>1.4692726100388473</v>
      </c>
      <c r="R75">
        <f t="shared" si="66"/>
        <v>0.82220293039072634</v>
      </c>
      <c r="S75">
        <f t="shared" si="67"/>
        <v>0.99990459526934017</v>
      </c>
      <c r="T75">
        <f t="shared" si="68"/>
        <v>-1.3813489617673732E-2</v>
      </c>
      <c r="U75">
        <f t="shared" si="69"/>
        <v>0.99976822227014683</v>
      </c>
      <c r="V75">
        <f t="shared" si="70"/>
        <v>-2.1530753999455813E-2</v>
      </c>
      <c r="X75">
        <f t="shared" si="87"/>
        <v>28.050468228393513</v>
      </c>
      <c r="Y75">
        <f t="shared" si="71"/>
        <v>-53.069863206979335</v>
      </c>
      <c r="Z75">
        <f t="shared" si="88"/>
        <v>126.93013679302067</v>
      </c>
      <c r="AC75">
        <v>1</v>
      </c>
      <c r="AD75">
        <f t="shared" si="72"/>
        <v>2.6363868527682004</v>
      </c>
      <c r="AE75">
        <f t="shared" si="73"/>
        <v>-1.9016513371953532E-6</v>
      </c>
      <c r="AF75">
        <f t="shared" si="74"/>
        <v>8.8308912754440005E-5</v>
      </c>
      <c r="AG75">
        <f t="shared" si="89"/>
        <v>29596.568463992866</v>
      </c>
      <c r="AH75">
        <f t="shared" si="90"/>
        <v>-11961.220233037438</v>
      </c>
      <c r="AJ75">
        <f t="shared" si="75"/>
        <v>55000</v>
      </c>
      <c r="AK75">
        <f t="shared" si="76"/>
        <v>759.79025541168767</v>
      </c>
      <c r="AL75">
        <v>1</v>
      </c>
      <c r="AM75">
        <f t="shared" si="77"/>
        <v>1.0764580821427125</v>
      </c>
      <c r="AN75">
        <f t="shared" si="91"/>
        <v>25856.431738967251</v>
      </c>
      <c r="AO75">
        <f t="shared" si="92"/>
        <v>-27073.574665370954</v>
      </c>
      <c r="AQ75">
        <f t="shared" si="78"/>
        <v>26.861347781844461</v>
      </c>
      <c r="AR75">
        <f t="shared" si="79"/>
        <v>-290.19657076115664</v>
      </c>
      <c r="AT75">
        <f t="shared" si="52"/>
        <v>-2676101.3750859448</v>
      </c>
      <c r="AU75">
        <f t="shared" si="53"/>
        <v>-8910117.1711233761</v>
      </c>
      <c r="AV75">
        <f t="shared" si="93"/>
        <v>-1.8625688054274105</v>
      </c>
      <c r="AW75">
        <f t="shared" si="94"/>
        <v>-7024400.6697400734</v>
      </c>
      <c r="AX75">
        <f t="shared" si="95"/>
        <v>-8476683.207020795</v>
      </c>
      <c r="AY75">
        <f t="shared" ref="AY75:AY138" si="103">ATAN2(AW75,AX75)</f>
        <v>-2.2627780826319297</v>
      </c>
      <c r="BA75">
        <f t="shared" si="80"/>
        <v>0.84507066093837113</v>
      </c>
      <c r="BB75">
        <f t="shared" si="96"/>
        <v>-1.462139516329128</v>
      </c>
      <c r="BC75">
        <f t="shared" si="97"/>
        <v>0.40020927720451915</v>
      </c>
      <c r="BD75">
        <f t="shared" si="81"/>
        <v>-157.06969746799814</v>
      </c>
      <c r="BF75">
        <f t="shared" si="82"/>
        <v>27.972503863840394</v>
      </c>
      <c r="BG75">
        <f t="shared" si="83"/>
        <v>-54.451155259906528</v>
      </c>
      <c r="BH75">
        <f t="shared" si="98"/>
        <v>125.54884474009347</v>
      </c>
      <c r="BI75">
        <f t="shared" si="99"/>
        <v>125.54884474009347</v>
      </c>
      <c r="BJ75">
        <f t="shared" si="84"/>
        <v>0</v>
      </c>
      <c r="BK75">
        <f t="shared" si="100"/>
        <v>0</v>
      </c>
      <c r="BM75">
        <f t="shared" si="101"/>
        <v>29.434643380169522</v>
      </c>
      <c r="BN75">
        <f t="shared" si="85"/>
        <v>-77.381457791908389</v>
      </c>
      <c r="BQ75" s="75">
        <f t="shared" si="102"/>
        <v>15.439821283956007</v>
      </c>
      <c r="BR75" s="80"/>
      <c r="BS75" s="80"/>
      <c r="BT75" s="80">
        <v>446.68400000000003</v>
      </c>
      <c r="BU75" s="80">
        <v>21.761099999999999</v>
      </c>
      <c r="BV75" s="80">
        <v>-265.3082</v>
      </c>
      <c r="BW75" s="84"/>
      <c r="BY75" s="80"/>
      <c r="BZ75" s="80"/>
      <c r="CA75" s="80"/>
      <c r="CC75" s="80"/>
    </row>
    <row r="76" spans="1:81">
      <c r="A76">
        <f t="shared" si="54"/>
        <v>21000</v>
      </c>
      <c r="B76">
        <f t="shared" si="86"/>
        <v>21</v>
      </c>
      <c r="C76">
        <f t="shared" si="55"/>
        <v>1.0003011125363965</v>
      </c>
      <c r="D76">
        <f t="shared" si="56"/>
        <v>2.4537196192973225E-2</v>
      </c>
      <c r="F76">
        <f t="shared" si="57"/>
        <v>3.2729718314893219</v>
      </c>
      <c r="G76">
        <f t="shared" si="58"/>
        <v>-1.5291034363933544</v>
      </c>
      <c r="H76">
        <f t="shared" si="59"/>
        <v>-1.5291034363933544</v>
      </c>
      <c r="J76">
        <f t="shared" si="60"/>
        <v>9</v>
      </c>
      <c r="M76">
        <f t="shared" si="61"/>
        <v>0.2009867089890694</v>
      </c>
      <c r="N76">
        <f t="shared" si="62"/>
        <v>-1.5707963250000001</v>
      </c>
      <c r="O76">
        <f t="shared" si="63"/>
        <v>2.8798821015407174</v>
      </c>
      <c r="P76">
        <f t="shared" si="64"/>
        <v>1.2161737648395488</v>
      </c>
      <c r="Q76">
        <f t="shared" si="65"/>
        <v>1.4886155673376056</v>
      </c>
      <c r="R76">
        <f t="shared" si="66"/>
        <v>0.83420728339102879</v>
      </c>
      <c r="S76">
        <f t="shared" si="67"/>
        <v>0.99989988533267593</v>
      </c>
      <c r="T76">
        <f t="shared" si="68"/>
        <v>-1.4150359561488789E-2</v>
      </c>
      <c r="U76">
        <f t="shared" si="69"/>
        <v>0.99975678233334442</v>
      </c>
      <c r="V76">
        <f t="shared" si="70"/>
        <v>-2.20557260789064E-2</v>
      </c>
      <c r="X76">
        <f t="shared" si="87"/>
        <v>28.089820211283687</v>
      </c>
      <c r="Y76">
        <f t="shared" si="71"/>
        <v>-60.801570970646303</v>
      </c>
      <c r="Z76">
        <f t="shared" si="88"/>
        <v>119.19842902935369</v>
      </c>
      <c r="AC76">
        <v>1</v>
      </c>
      <c r="AD76">
        <f t="shared" si="72"/>
        <v>2.7006889711284003</v>
      </c>
      <c r="AE76">
        <f t="shared" si="73"/>
        <v>-1.9955460790080923E-6</v>
      </c>
      <c r="AF76">
        <f t="shared" si="74"/>
        <v>9.0462788675280007E-5</v>
      </c>
      <c r="AG76">
        <f t="shared" si="89"/>
        <v>29595.891145134112</v>
      </c>
      <c r="AH76">
        <f t="shared" si="90"/>
        <v>-11707.133729106705</v>
      </c>
      <c r="AJ76">
        <f t="shared" si="75"/>
        <v>55000</v>
      </c>
      <c r="AK76">
        <f t="shared" si="76"/>
        <v>778.32172505587505</v>
      </c>
      <c r="AL76">
        <v>1</v>
      </c>
      <c r="AM76">
        <f t="shared" si="77"/>
        <v>1.1027131573169251</v>
      </c>
      <c r="AN76">
        <f t="shared" si="91"/>
        <v>25207.068064009745</v>
      </c>
      <c r="AO76">
        <f t="shared" si="92"/>
        <v>-27017.843886510942</v>
      </c>
      <c r="AQ76">
        <f t="shared" si="78"/>
        <v>25.607699167747345</v>
      </c>
      <c r="AR76">
        <f t="shared" si="79"/>
        <v>-283.40040668945989</v>
      </c>
      <c r="AT76">
        <f t="shared" si="52"/>
        <v>-2559923.7829507417</v>
      </c>
      <c r="AU76">
        <f t="shared" si="53"/>
        <v>-8687280.3455195446</v>
      </c>
      <c r="AV76">
        <f t="shared" si="93"/>
        <v>-1.8573606102338542</v>
      </c>
      <c r="AW76">
        <f t="shared" si="94"/>
        <v>-6876485.0185189601</v>
      </c>
      <c r="AX76">
        <f t="shared" si="95"/>
        <v>-8078299.0778063731</v>
      </c>
      <c r="AY76">
        <f t="shared" si="103"/>
        <v>-2.276003640956942</v>
      </c>
      <c r="BA76">
        <f t="shared" si="80"/>
        <v>0.85369409775897376</v>
      </c>
      <c r="BB76">
        <f t="shared" si="96"/>
        <v>-1.3739544235653547</v>
      </c>
      <c r="BC76">
        <f t="shared" si="97"/>
        <v>0.41864303072308773</v>
      </c>
      <c r="BD76">
        <f t="shared" si="81"/>
        <v>-156.01352118959286</v>
      </c>
      <c r="BF76">
        <f t="shared" si="82"/>
        <v>28.012356154016036</v>
      </c>
      <c r="BG76">
        <f t="shared" si="83"/>
        <v>-62.218816849445076</v>
      </c>
      <c r="BH76">
        <f t="shared" si="98"/>
        <v>117.78118315055492</v>
      </c>
      <c r="BI76">
        <f t="shared" si="99"/>
        <v>117.78118315055492</v>
      </c>
      <c r="BJ76">
        <f t="shared" si="84"/>
        <v>0</v>
      </c>
      <c r="BK76">
        <f t="shared" si="100"/>
        <v>0</v>
      </c>
      <c r="BM76">
        <f t="shared" si="101"/>
        <v>29.386310577581391</v>
      </c>
      <c r="BN76">
        <f t="shared" si="85"/>
        <v>-86.205295659852212</v>
      </c>
      <c r="BQ76" s="75">
        <f t="shared" si="102"/>
        <v>15.528006376719784</v>
      </c>
      <c r="BR76" s="79"/>
      <c r="BS76" s="79"/>
      <c r="BT76" s="80">
        <v>457.08800000000002</v>
      </c>
      <c r="BU76" s="79">
        <v>21.6126</v>
      </c>
      <c r="BV76" s="79">
        <v>-265.65139999999997</v>
      </c>
      <c r="BW76" s="84"/>
      <c r="BY76" s="80"/>
      <c r="BZ76" s="79"/>
      <c r="CA76" s="79"/>
      <c r="CC76" s="80"/>
    </row>
    <row r="77" spans="1:81">
      <c r="A77">
        <f t="shared" si="54"/>
        <v>21500</v>
      </c>
      <c r="B77">
        <f t="shared" si="86"/>
        <v>21.5</v>
      </c>
      <c r="C77">
        <f t="shared" si="55"/>
        <v>1.0003156196383043</v>
      </c>
      <c r="D77">
        <f t="shared" si="56"/>
        <v>2.5121172246764752E-2</v>
      </c>
      <c r="F77">
        <f t="shared" si="57"/>
        <v>3.1798656228428333</v>
      </c>
      <c r="G77">
        <f t="shared" si="58"/>
        <v>1.4595708139710244</v>
      </c>
      <c r="H77">
        <f t="shared" si="59"/>
        <v>-1.6820218360289758</v>
      </c>
      <c r="J77">
        <f t="shared" si="60"/>
        <v>9</v>
      </c>
      <c r="M77">
        <f t="shared" si="61"/>
        <v>0.19631259947769567</v>
      </c>
      <c r="N77">
        <f t="shared" si="62"/>
        <v>-1.5707963250000001</v>
      </c>
      <c r="O77">
        <f t="shared" si="63"/>
        <v>2.9402679682218351</v>
      </c>
      <c r="P77">
        <f t="shared" si="64"/>
        <v>1.2237677165875274</v>
      </c>
      <c r="Q77">
        <f t="shared" si="65"/>
        <v>1.508167520527532</v>
      </c>
      <c r="R77">
        <f t="shared" si="66"/>
        <v>0.84590203563548094</v>
      </c>
      <c r="S77">
        <f t="shared" si="67"/>
        <v>0.99989506197254308</v>
      </c>
      <c r="T77">
        <f t="shared" si="68"/>
        <v>-1.448722629351615E-2</v>
      </c>
      <c r="U77">
        <f t="shared" si="69"/>
        <v>0.99974506714242062</v>
      </c>
      <c r="V77">
        <f t="shared" si="70"/>
        <v>-2.2580685999742223E-2</v>
      </c>
      <c r="X77">
        <f t="shared" si="87"/>
        <v>27.928333820949742</v>
      </c>
      <c r="Y77">
        <f t="shared" si="71"/>
        <v>-68.473908224047761</v>
      </c>
      <c r="Z77">
        <f t="shared" si="88"/>
        <v>111.52609177595224</v>
      </c>
      <c r="AC77">
        <v>1</v>
      </c>
      <c r="AD77">
        <f t="shared" si="72"/>
        <v>2.7649910894886003</v>
      </c>
      <c r="AE77">
        <f t="shared" si="73"/>
        <v>-2.0917033447199336E-6</v>
      </c>
      <c r="AF77">
        <f t="shared" si="74"/>
        <v>9.2616664596120008E-5</v>
      </c>
      <c r="AG77">
        <f t="shared" si="89"/>
        <v>29595.197537468721</v>
      </c>
      <c r="AH77">
        <f t="shared" si="90"/>
        <v>-11465.586439627161</v>
      </c>
      <c r="AJ77">
        <f t="shared" si="75"/>
        <v>55000</v>
      </c>
      <c r="AK77">
        <f t="shared" si="76"/>
        <v>796.85319470006255</v>
      </c>
      <c r="AL77">
        <v>1</v>
      </c>
      <c r="AM77">
        <f t="shared" si="77"/>
        <v>1.1289682324911376</v>
      </c>
      <c r="AN77">
        <f t="shared" si="91"/>
        <v>24575.915396680975</v>
      </c>
      <c r="AO77">
        <f t="shared" si="92"/>
        <v>-26948.574572542591</v>
      </c>
      <c r="AQ77">
        <f t="shared" si="78"/>
        <v>24.439591689472973</v>
      </c>
      <c r="AR77">
        <f t="shared" si="79"/>
        <v>-276.91279363757349</v>
      </c>
      <c r="AT77">
        <f t="shared" si="52"/>
        <v>-2451673.0279052053</v>
      </c>
      <c r="AU77">
        <f t="shared" si="53"/>
        <v>-8475503.079421144</v>
      </c>
      <c r="AV77">
        <f t="shared" si="93"/>
        <v>-1.8523763556310771</v>
      </c>
      <c r="AW77">
        <f t="shared" si="94"/>
        <v>-6729643.7904212307</v>
      </c>
      <c r="AX77">
        <f t="shared" si="95"/>
        <v>-7703558.7655821433</v>
      </c>
      <c r="AY77">
        <f t="shared" si="103"/>
        <v>-2.2888192244862626</v>
      </c>
      <c r="BA77">
        <f t="shared" si="80"/>
        <v>0.86254303445799552</v>
      </c>
      <c r="BB77">
        <f t="shared" si="96"/>
        <v>-1.2843845532353317</v>
      </c>
      <c r="BC77">
        <f t="shared" si="97"/>
        <v>0.43644286885518557</v>
      </c>
      <c r="BD77">
        <f t="shared" si="81"/>
        <v>-154.99366558744228</v>
      </c>
      <c r="BF77">
        <f t="shared" si="82"/>
        <v>27.851381992938254</v>
      </c>
      <c r="BG77">
        <f t="shared" si="83"/>
        <v>-69.927080803064825</v>
      </c>
      <c r="BH77">
        <f t="shared" si="98"/>
        <v>110.07291919693517</v>
      </c>
      <c r="BI77">
        <f t="shared" si="99"/>
        <v>110.07291919693517</v>
      </c>
      <c r="BJ77">
        <f t="shared" si="84"/>
        <v>0</v>
      </c>
      <c r="BK77">
        <f t="shared" si="100"/>
        <v>0</v>
      </c>
      <c r="BM77">
        <f t="shared" si="101"/>
        <v>29.135766546173585</v>
      </c>
      <c r="BN77">
        <f t="shared" si="85"/>
        <v>-94.93341521562256</v>
      </c>
      <c r="BQ77" s="75">
        <f t="shared" si="102"/>
        <v>15.617576247049804</v>
      </c>
      <c r="BR77" s="81"/>
      <c r="BS77" s="81"/>
      <c r="BT77" s="81">
        <v>467.73500000000001</v>
      </c>
      <c r="BU77" s="81">
        <v>21.3672</v>
      </c>
      <c r="BV77" s="81">
        <v>-265.05009999999999</v>
      </c>
      <c r="BW77" s="84"/>
      <c r="BY77" s="81"/>
      <c r="BZ77" s="81"/>
      <c r="CA77" s="81"/>
      <c r="CC77" s="81"/>
    </row>
    <row r="78" spans="1:81">
      <c r="A78">
        <f t="shared" si="54"/>
        <v>22000</v>
      </c>
      <c r="B78">
        <f t="shared" si="86"/>
        <v>22</v>
      </c>
      <c r="C78">
        <f t="shared" si="55"/>
        <v>1.000330467865916</v>
      </c>
      <c r="D78">
        <f t="shared" si="56"/>
        <v>2.5705131163408119E-2</v>
      </c>
      <c r="F78">
        <f t="shared" si="57"/>
        <v>3.0251027377207396</v>
      </c>
      <c r="G78">
        <f t="shared" si="58"/>
        <v>1.3149093487380601</v>
      </c>
      <c r="H78">
        <f t="shared" si="59"/>
        <v>-1.8266833012619401</v>
      </c>
      <c r="J78">
        <f t="shared" si="60"/>
        <v>9</v>
      </c>
      <c r="M78">
        <f t="shared" si="61"/>
        <v>0.19185094948956624</v>
      </c>
      <c r="N78">
        <f t="shared" si="62"/>
        <v>-1.5707963250000001</v>
      </c>
      <c r="O78">
        <f t="shared" si="63"/>
        <v>3.0008165648668625</v>
      </c>
      <c r="P78">
        <f t="shared" si="64"/>
        <v>1.2310556226108209</v>
      </c>
      <c r="Q78">
        <f t="shared" si="65"/>
        <v>1.5279204464150851</v>
      </c>
      <c r="R78">
        <f t="shared" si="66"/>
        <v>0.85729593388012515</v>
      </c>
      <c r="S78">
        <f t="shared" si="67"/>
        <v>0.99989012519386733</v>
      </c>
      <c r="T78">
        <f t="shared" si="68"/>
        <v>-1.4824089737348124E-2</v>
      </c>
      <c r="U78">
        <f t="shared" si="69"/>
        <v>0.99973307672642198</v>
      </c>
      <c r="V78">
        <f t="shared" si="70"/>
        <v>-2.3105633473055914E-2</v>
      </c>
      <c r="X78">
        <f t="shared" si="87"/>
        <v>27.585332386483643</v>
      </c>
      <c r="Y78">
        <f t="shared" si="71"/>
        <v>-75.707930857056908</v>
      </c>
      <c r="Z78">
        <f t="shared" si="88"/>
        <v>104.29206914294309</v>
      </c>
      <c r="AC78">
        <v>1</v>
      </c>
      <c r="AD78">
        <f t="shared" si="72"/>
        <v>2.8292932078488002</v>
      </c>
      <c r="AE78">
        <f t="shared" si="73"/>
        <v>-2.1901231343308768E-6</v>
      </c>
      <c r="AF78">
        <f t="shared" si="74"/>
        <v>9.4770540516960009E-5</v>
      </c>
      <c r="AG78">
        <f t="shared" si="89"/>
        <v>29594.487643289285</v>
      </c>
      <c r="AH78">
        <f t="shared" si="90"/>
        <v>-11235.723318953522</v>
      </c>
      <c r="AJ78">
        <f t="shared" si="75"/>
        <v>55000</v>
      </c>
      <c r="AK78">
        <f t="shared" si="76"/>
        <v>815.38466434425015</v>
      </c>
      <c r="AL78">
        <v>1</v>
      </c>
      <c r="AM78">
        <f t="shared" si="77"/>
        <v>1.1552233076653502</v>
      </c>
      <c r="AN78">
        <f t="shared" si="91"/>
        <v>23962.720719458546</v>
      </c>
      <c r="AO78">
        <f t="shared" si="92"/>
        <v>-26866.90882584967</v>
      </c>
      <c r="AQ78">
        <f t="shared" si="78"/>
        <v>23.349434942197526</v>
      </c>
      <c r="AR78">
        <f t="shared" si="79"/>
        <v>-270.71334871983811</v>
      </c>
      <c r="AT78">
        <f t="shared" si="52"/>
        <v>-2350645.7210888299</v>
      </c>
      <c r="AU78">
        <f t="shared" si="53"/>
        <v>-8273970.644227149</v>
      </c>
      <c r="AV78">
        <f t="shared" si="93"/>
        <v>-1.8476040896775774</v>
      </c>
      <c r="AW78">
        <f t="shared" si="94"/>
        <v>-6584252.6301684482</v>
      </c>
      <c r="AX78">
        <f t="shared" si="95"/>
        <v>-7350814.4465955328</v>
      </c>
      <c r="AY78">
        <f t="shared" si="103"/>
        <v>-2.3012403235072845</v>
      </c>
      <c r="BA78">
        <f t="shared" si="80"/>
        <v>0.87160377057272775</v>
      </c>
      <c r="BB78">
        <f t="shared" si="96"/>
        <v>-1.1936179931281394</v>
      </c>
      <c r="BC78">
        <f t="shared" si="97"/>
        <v>0.45363623382970708</v>
      </c>
      <c r="BD78">
        <f t="shared" si="81"/>
        <v>-154.00855833764851</v>
      </c>
      <c r="BF78">
        <f t="shared" si="82"/>
        <v>27.508904701499333</v>
      </c>
      <c r="BG78">
        <f t="shared" si="83"/>
        <v>-77.197006597398442</v>
      </c>
      <c r="BH78">
        <f t="shared" si="98"/>
        <v>102.80299340260156</v>
      </c>
      <c r="BI78">
        <f t="shared" si="99"/>
        <v>102.80299340260156</v>
      </c>
      <c r="BJ78">
        <f t="shared" si="84"/>
        <v>0</v>
      </c>
      <c r="BK78">
        <f t="shared" si="100"/>
        <v>0</v>
      </c>
      <c r="BM78">
        <f t="shared" si="101"/>
        <v>28.702522694627476</v>
      </c>
      <c r="BN78">
        <f t="shared" si="85"/>
        <v>-103.18844825974993</v>
      </c>
      <c r="BQ78" s="75">
        <f t="shared" si="102"/>
        <v>15.708342807156995</v>
      </c>
      <c r="BR78" s="81"/>
      <c r="BS78" s="81"/>
      <c r="BT78" s="81">
        <v>478.63</v>
      </c>
      <c r="BU78" s="81">
        <v>21.195799999999998</v>
      </c>
      <c r="BV78" s="81">
        <v>-264.35129999999998</v>
      </c>
      <c r="BW78" s="84"/>
      <c r="BY78" s="81"/>
      <c r="BZ78" s="81"/>
      <c r="CA78" s="81"/>
      <c r="CC78" s="81"/>
    </row>
    <row r="79" spans="1:81">
      <c r="A79">
        <f t="shared" si="54"/>
        <v>22500</v>
      </c>
      <c r="B79">
        <f t="shared" si="86"/>
        <v>22.5</v>
      </c>
      <c r="C79">
        <f t="shared" si="55"/>
        <v>1.0003456572040419</v>
      </c>
      <c r="D79">
        <f t="shared" si="56"/>
        <v>2.6289072545406123E-2</v>
      </c>
      <c r="F79">
        <f t="shared" si="57"/>
        <v>2.8305582909032179</v>
      </c>
      <c r="G79">
        <f t="shared" si="58"/>
        <v>1.1831369140953947</v>
      </c>
      <c r="H79">
        <f t="shared" si="59"/>
        <v>-1.9584557359046055</v>
      </c>
      <c r="J79">
        <f t="shared" si="60"/>
        <v>9</v>
      </c>
      <c r="M79">
        <f t="shared" si="61"/>
        <v>0.18758759505646475</v>
      </c>
      <c r="N79">
        <f t="shared" si="62"/>
        <v>-1.5707963250000001</v>
      </c>
      <c r="O79">
        <f t="shared" si="63"/>
        <v>3.0615182364079709</v>
      </c>
      <c r="P79">
        <f t="shared" si="64"/>
        <v>1.238054889070493</v>
      </c>
      <c r="Q79">
        <f t="shared" si="65"/>
        <v>1.5478666509480679</v>
      </c>
      <c r="R79">
        <f t="shared" si="66"/>
        <v>0.86839759333253752</v>
      </c>
      <c r="S79">
        <f t="shared" si="67"/>
        <v>0.99988507500168955</v>
      </c>
      <c r="T79">
        <f t="shared" si="68"/>
        <v>-1.5160949816581502E-2</v>
      </c>
      <c r="U79">
        <f t="shared" si="69"/>
        <v>0.99972081111507627</v>
      </c>
      <c r="V79">
        <f t="shared" si="70"/>
        <v>-2.3630568209981242E-2</v>
      </c>
      <c r="X79">
        <f t="shared" si="87"/>
        <v>27.099360637868326</v>
      </c>
      <c r="Y79">
        <f t="shared" si="71"/>
        <v>-82.236748394764561</v>
      </c>
      <c r="Z79">
        <f t="shared" si="88"/>
        <v>97.763251605235439</v>
      </c>
      <c r="AC79">
        <v>1</v>
      </c>
      <c r="AD79">
        <f t="shared" si="72"/>
        <v>2.8935953262090006</v>
      </c>
      <c r="AE79">
        <f t="shared" si="73"/>
        <v>-2.2908054478409221E-6</v>
      </c>
      <c r="AF79">
        <f t="shared" si="74"/>
        <v>9.6924416437800011E-5</v>
      </c>
      <c r="AG79">
        <f t="shared" si="89"/>
        <v>29593.761464942094</v>
      </c>
      <c r="AH79">
        <f t="shared" si="90"/>
        <v>-11016.765323227266</v>
      </c>
      <c r="AJ79">
        <f t="shared" si="75"/>
        <v>55000</v>
      </c>
      <c r="AK79">
        <f t="shared" si="76"/>
        <v>833.91613398843765</v>
      </c>
      <c r="AL79">
        <v>1</v>
      </c>
      <c r="AM79">
        <f t="shared" si="77"/>
        <v>1.1814783828395625</v>
      </c>
      <c r="AN79">
        <f t="shared" si="91"/>
        <v>23367.194055829059</v>
      </c>
      <c r="AO79">
        <f t="shared" si="92"/>
        <v>-26773.918510590716</v>
      </c>
      <c r="AQ79">
        <f t="shared" si="78"/>
        <v>22.330460178648096</v>
      </c>
      <c r="AR79">
        <f t="shared" si="79"/>
        <v>-264.78343156831983</v>
      </c>
      <c r="AT79">
        <f t="shared" si="52"/>
        <v>-2256214.6151376856</v>
      </c>
      <c r="AU79">
        <f t="shared" si="53"/>
        <v>-8081947.1530495137</v>
      </c>
      <c r="AV79">
        <f t="shared" si="93"/>
        <v>-1.8430326144634073</v>
      </c>
      <c r="AW79">
        <f t="shared" si="94"/>
        <v>-6440624.2824884197</v>
      </c>
      <c r="AX79">
        <f t="shared" si="95"/>
        <v>-7018549.7327018492</v>
      </c>
      <c r="AY79">
        <f t="shared" si="103"/>
        <v>-2.3132817041099463</v>
      </c>
      <c r="BA79">
        <f t="shared" si="80"/>
        <v>0.88086376763030128</v>
      </c>
      <c r="BB79">
        <f t="shared" si="96"/>
        <v>-1.1018250676577912</v>
      </c>
      <c r="BC79">
        <f t="shared" si="97"/>
        <v>0.470249089646539</v>
      </c>
      <c r="BD79">
        <f t="shared" si="81"/>
        <v>-153.05671181259703</v>
      </c>
      <c r="BF79">
        <f t="shared" si="82"/>
        <v>27.023469001196723</v>
      </c>
      <c r="BG79">
        <f t="shared" si="83"/>
        <v>-83.761707065452569</v>
      </c>
      <c r="BH79">
        <f t="shared" si="98"/>
        <v>96.238292934547431</v>
      </c>
      <c r="BI79">
        <f t="shared" si="99"/>
        <v>96.238292934547431</v>
      </c>
      <c r="BJ79">
        <f t="shared" si="84"/>
        <v>0</v>
      </c>
      <c r="BK79">
        <f t="shared" si="100"/>
        <v>0</v>
      </c>
      <c r="BM79">
        <f t="shared" si="101"/>
        <v>28.125294068854515</v>
      </c>
      <c r="BN79">
        <f t="shared" si="85"/>
        <v>-110.70499525285554</v>
      </c>
      <c r="BQ79" s="75">
        <f t="shared" si="102"/>
        <v>15.800135732627345</v>
      </c>
      <c r="BR79" s="80"/>
      <c r="BS79" s="80"/>
      <c r="BT79" s="80">
        <v>489.779</v>
      </c>
      <c r="BU79" s="80">
        <v>20.944800000000001</v>
      </c>
      <c r="BV79" s="80">
        <v>-263.91079999999999</v>
      </c>
      <c r="BW79" s="84"/>
      <c r="BY79" s="80"/>
      <c r="BZ79" s="80"/>
      <c r="CA79" s="80"/>
      <c r="CC79" s="80"/>
    </row>
    <row r="80" spans="1:81">
      <c r="A80">
        <f t="shared" si="54"/>
        <v>23000</v>
      </c>
      <c r="B80">
        <f t="shared" si="86"/>
        <v>23</v>
      </c>
      <c r="C80">
        <f t="shared" si="55"/>
        <v>1.0003611876371437</v>
      </c>
      <c r="D80">
        <f t="shared" si="56"/>
        <v>2.6872995995333264E-2</v>
      </c>
      <c r="F80">
        <f t="shared" si="57"/>
        <v>2.6185217245016945</v>
      </c>
      <c r="G80">
        <f t="shared" si="58"/>
        <v>1.0664225588164045</v>
      </c>
      <c r="H80">
        <f t="shared" si="59"/>
        <v>-2.0751700911835957</v>
      </c>
      <c r="J80">
        <f t="shared" si="60"/>
        <v>9</v>
      </c>
      <c r="M80">
        <f t="shared" si="61"/>
        <v>0.18350960385958509</v>
      </c>
      <c r="N80">
        <f t="shared" si="62"/>
        <v>-1.5707963250000001</v>
      </c>
      <c r="O80">
        <f t="shared" si="63"/>
        <v>3.1223640551013596</v>
      </c>
      <c r="P80">
        <f t="shared" si="64"/>
        <v>1.2447816836630961</v>
      </c>
      <c r="Q80">
        <f t="shared" si="65"/>
        <v>1.5679987581646584</v>
      </c>
      <c r="R80">
        <f t="shared" si="66"/>
        <v>0.8792154812888956</v>
      </c>
      <c r="S80">
        <f t="shared" si="67"/>
        <v>0.99987991140116683</v>
      </c>
      <c r="T80">
        <f t="shared" si="68"/>
        <v>-1.5497806454817652E-2</v>
      </c>
      <c r="U80">
        <f t="shared" si="69"/>
        <v>0.99970827033879095</v>
      </c>
      <c r="V80">
        <f t="shared" si="70"/>
        <v>-2.4155489921694077E-2</v>
      </c>
      <c r="X80">
        <f t="shared" si="87"/>
        <v>26.5152940608351</v>
      </c>
      <c r="Y80">
        <f t="shared" si="71"/>
        <v>-87.934672017487941</v>
      </c>
      <c r="Z80">
        <f t="shared" si="88"/>
        <v>92.065327982512059</v>
      </c>
      <c r="AC80">
        <v>1</v>
      </c>
      <c r="AD80">
        <f t="shared" si="72"/>
        <v>2.9578974445692001</v>
      </c>
      <c r="AE80">
        <f t="shared" si="73"/>
        <v>-2.3937502852500702E-6</v>
      </c>
      <c r="AF80">
        <f t="shared" si="74"/>
        <v>9.9078292358640012E-5</v>
      </c>
      <c r="AG80">
        <f t="shared" si="89"/>
        <v>29593.019004827074</v>
      </c>
      <c r="AH80">
        <f t="shared" si="90"/>
        <v>-10808.001149313655</v>
      </c>
      <c r="AJ80">
        <f t="shared" si="75"/>
        <v>55000</v>
      </c>
      <c r="AK80">
        <f t="shared" si="76"/>
        <v>852.44760363262515</v>
      </c>
      <c r="AL80">
        <v>1</v>
      </c>
      <c r="AM80">
        <f t="shared" si="77"/>
        <v>1.2077334580137753</v>
      </c>
      <c r="AN80">
        <f t="shared" si="91"/>
        <v>22789.014603906311</v>
      </c>
      <c r="AO80">
        <f t="shared" si="92"/>
        <v>-26670.607808669571</v>
      </c>
      <c r="AQ80">
        <f t="shared" si="78"/>
        <v>21.376616081809459</v>
      </c>
      <c r="AR80">
        <f t="shared" si="79"/>
        <v>-259.10596352761246</v>
      </c>
      <c r="AT80">
        <f t="shared" si="52"/>
        <v>-2167818.9456325783</v>
      </c>
      <c r="AU80">
        <f t="shared" si="53"/>
        <v>-7898766.1941172993</v>
      </c>
      <c r="AV80">
        <f t="shared" si="93"/>
        <v>-1.8386514370418854</v>
      </c>
      <c r="AW80">
        <f t="shared" si="94"/>
        <v>-6299017.0704556918</v>
      </c>
      <c r="AX80">
        <f t="shared" si="95"/>
        <v>-6705367.6645019567</v>
      </c>
      <c r="AY80">
        <f t="shared" si="103"/>
        <v>-2.3249574553092338</v>
      </c>
      <c r="BA80">
        <f t="shared" si="80"/>
        <v>0.89031152265079716</v>
      </c>
      <c r="BB80">
        <f t="shared" si="96"/>
        <v>-1.0091601166336135</v>
      </c>
      <c r="BC80">
        <f t="shared" si="97"/>
        <v>0.48630601826734843</v>
      </c>
      <c r="BD80">
        <f t="shared" si="81"/>
        <v>-152.13671756963058</v>
      </c>
      <c r="BF80">
        <f t="shared" si="82"/>
        <v>26.439950368999519</v>
      </c>
      <c r="BG80">
        <f t="shared" si="83"/>
        <v>-89.495496446926211</v>
      </c>
      <c r="BH80">
        <f t="shared" si="98"/>
        <v>90.504503553073789</v>
      </c>
      <c r="BI80">
        <f t="shared" si="99"/>
        <v>90.504503553073789</v>
      </c>
      <c r="BJ80">
        <f t="shared" si="84"/>
        <v>0</v>
      </c>
      <c r="BK80">
        <f t="shared" si="100"/>
        <v>0</v>
      </c>
      <c r="BM80">
        <f t="shared" si="101"/>
        <v>27.449110485633131</v>
      </c>
      <c r="BN80">
        <f t="shared" si="85"/>
        <v>-117.35877887729563</v>
      </c>
      <c r="BQ80" s="75">
        <f t="shared" si="102"/>
        <v>15.892800683651522</v>
      </c>
      <c r="BR80" s="80"/>
      <c r="BS80" s="80"/>
      <c r="BT80" s="80">
        <v>501.18700000000001</v>
      </c>
      <c r="BU80" s="80">
        <v>20.7819</v>
      </c>
      <c r="BV80" s="80">
        <v>-264.7826</v>
      </c>
      <c r="BW80" s="84"/>
      <c r="BY80" s="80"/>
      <c r="BZ80" s="80"/>
      <c r="CA80" s="80"/>
      <c r="CC80" s="80"/>
    </row>
    <row r="81" spans="1:81">
      <c r="A81">
        <f t="shared" si="54"/>
        <v>23500</v>
      </c>
      <c r="B81">
        <f t="shared" si="86"/>
        <v>23.5</v>
      </c>
      <c r="C81">
        <f t="shared" si="55"/>
        <v>1.0003770591493355</v>
      </c>
      <c r="D81">
        <f t="shared" si="56"/>
        <v>2.7456901115837366E-2</v>
      </c>
      <c r="F81">
        <f t="shared" si="57"/>
        <v>2.4062298076445212</v>
      </c>
      <c r="G81">
        <f t="shared" si="58"/>
        <v>0.96489418801705717</v>
      </c>
      <c r="H81">
        <f t="shared" si="59"/>
        <v>-2.176698461982943</v>
      </c>
      <c r="J81">
        <f t="shared" si="60"/>
        <v>9</v>
      </c>
      <c r="M81">
        <f t="shared" si="61"/>
        <v>0.17960514420299817</v>
      </c>
      <c r="N81">
        <f t="shared" si="62"/>
        <v>-1.5707963250000001</v>
      </c>
      <c r="O81">
        <f t="shared" si="63"/>
        <v>3.1833457553603348</v>
      </c>
      <c r="P81">
        <f t="shared" si="64"/>
        <v>1.2512510383106781</v>
      </c>
      <c r="Q81">
        <f t="shared" si="65"/>
        <v>1.5883096990321004</v>
      </c>
      <c r="R81">
        <f t="shared" si="66"/>
        <v>0.88975790358249429</v>
      </c>
      <c r="S81">
        <f t="shared" si="67"/>
        <v>0.9998746343975714</v>
      </c>
      <c r="T81">
        <f t="shared" si="68"/>
        <v>-1.5834659575662626E-2</v>
      </c>
      <c r="U81">
        <f t="shared" si="69"/>
        <v>0.99969545442865393</v>
      </c>
      <c r="V81">
        <f t="shared" si="70"/>
        <v>-2.4680398319413332E-2</v>
      </c>
      <c r="X81">
        <f t="shared" si="87"/>
        <v>25.873887500617307</v>
      </c>
      <c r="Y81">
        <f t="shared" si="71"/>
        <v>-92.793036148853218</v>
      </c>
      <c r="Z81">
        <f t="shared" si="88"/>
        <v>87.206963851146782</v>
      </c>
      <c r="AC81">
        <v>1</v>
      </c>
      <c r="AD81">
        <f t="shared" si="72"/>
        <v>3.0221995629294005</v>
      </c>
      <c r="AE81">
        <f t="shared" si="73"/>
        <v>-2.4989576465583197E-6</v>
      </c>
      <c r="AF81">
        <f t="shared" si="74"/>
        <v>1.0123216827948E-4</v>
      </c>
      <c r="AG81">
        <f t="shared" si="89"/>
        <v>29592.260265397792</v>
      </c>
      <c r="AH81">
        <f t="shared" si="90"/>
        <v>-10608.780028342551</v>
      </c>
      <c r="AJ81">
        <f t="shared" si="75"/>
        <v>55000</v>
      </c>
      <c r="AK81">
        <f t="shared" si="76"/>
        <v>870.97907327681264</v>
      </c>
      <c r="AL81">
        <v>1</v>
      </c>
      <c r="AM81">
        <f t="shared" si="77"/>
        <v>1.2339885331879876</v>
      </c>
      <c r="AN81">
        <f t="shared" si="91"/>
        <v>22227.836237812582</v>
      </c>
      <c r="AO81">
        <f t="shared" si="92"/>
        <v>-26557.915961764331</v>
      </c>
      <c r="AQ81">
        <f t="shared" si="78"/>
        <v>20.482479608722326</v>
      </c>
      <c r="AR81">
        <f t="shared" si="79"/>
        <v>-253.66526871422164</v>
      </c>
      <c r="AT81">
        <f t="shared" si="52"/>
        <v>-2084956.169157567</v>
      </c>
      <c r="AU81">
        <f t="shared" si="53"/>
        <v>-7723822.7726872619</v>
      </c>
      <c r="AV81">
        <f t="shared" si="93"/>
        <v>-1.8344507227150095</v>
      </c>
      <c r="AW81">
        <f t="shared" si="94"/>
        <v>-6159642.2358854692</v>
      </c>
      <c r="AX81">
        <f t="shared" si="95"/>
        <v>-6409979.9859748334</v>
      </c>
      <c r="AY81">
        <f t="shared" si="103"/>
        <v>-2.3362810310076521</v>
      </c>
      <c r="BA81">
        <f t="shared" si="80"/>
        <v>0.89993645835708969</v>
      </c>
      <c r="BB81">
        <f t="shared" si="96"/>
        <v>-0.91576307252659728</v>
      </c>
      <c r="BC81">
        <f t="shared" si="97"/>
        <v>0.50183030829264252</v>
      </c>
      <c r="BD81">
        <f t="shared" si="81"/>
        <v>-151.24724127022782</v>
      </c>
      <c r="BF81">
        <f t="shared" si="82"/>
        <v>25.799103641109923</v>
      </c>
      <c r="BG81">
        <f t="shared" si="83"/>
        <v>-94.389712002733177</v>
      </c>
      <c r="BH81">
        <f t="shared" si="98"/>
        <v>85.610287997266823</v>
      </c>
      <c r="BI81">
        <f t="shared" si="99"/>
        <v>85.610287997266823</v>
      </c>
      <c r="BJ81">
        <f t="shared" si="84"/>
        <v>0</v>
      </c>
      <c r="BK81">
        <f t="shared" si="100"/>
        <v>0</v>
      </c>
      <c r="BM81">
        <f t="shared" si="101"/>
        <v>26.714866713636525</v>
      </c>
      <c r="BN81">
        <f t="shared" si="85"/>
        <v>-123.14247073250537</v>
      </c>
      <c r="BQ81" s="75">
        <f t="shared" si="102"/>
        <v>15.98619772775854</v>
      </c>
      <c r="BR81" s="80"/>
      <c r="BS81" s="80"/>
      <c r="BT81" s="80">
        <v>512.86099999999999</v>
      </c>
      <c r="BU81" s="80">
        <v>20.634799999999998</v>
      </c>
      <c r="BV81" s="80">
        <v>-265.04300000000001</v>
      </c>
      <c r="BW81" s="84"/>
      <c r="BY81" s="80"/>
      <c r="BZ81" s="80"/>
      <c r="CA81" s="80"/>
      <c r="CC81" s="80"/>
    </row>
    <row r="82" spans="1:81">
      <c r="A82">
        <f t="shared" si="54"/>
        <v>24000</v>
      </c>
      <c r="B82">
        <f t="shared" si="86"/>
        <v>24</v>
      </c>
      <c r="C82">
        <f t="shared" si="55"/>
        <v>1.0003932717243833</v>
      </c>
      <c r="D82">
        <f t="shared" si="56"/>
        <v>2.8040787509641198E-2</v>
      </c>
      <c r="F82">
        <f t="shared" si="57"/>
        <v>2.2044874358671387</v>
      </c>
      <c r="G82">
        <f t="shared" si="58"/>
        <v>0.87742325481461192</v>
      </c>
      <c r="H82">
        <f t="shared" si="59"/>
        <v>-2.2641693951853883</v>
      </c>
      <c r="J82">
        <f t="shared" si="60"/>
        <v>9</v>
      </c>
      <c r="M82">
        <f t="shared" si="61"/>
        <v>0.1758633703654357</v>
      </c>
      <c r="N82">
        <f t="shared" si="62"/>
        <v>-1.5707963250000001</v>
      </c>
      <c r="O82">
        <f t="shared" si="63"/>
        <v>3.2444556752409999</v>
      </c>
      <c r="P82">
        <f t="shared" si="64"/>
        <v>1.2574769424462635</v>
      </c>
      <c r="Q82">
        <f t="shared" si="65"/>
        <v>1.6087927002624602</v>
      </c>
      <c r="R82">
        <f t="shared" si="66"/>
        <v>0.90003299354842459</v>
      </c>
      <c r="S82">
        <f t="shared" si="67"/>
        <v>0.99986924399629173</v>
      </c>
      <c r="T82">
        <f t="shared" si="68"/>
        <v>-1.6171509102727275E-2</v>
      </c>
      <c r="U82">
        <f t="shared" si="69"/>
        <v>0.99968236341643291</v>
      </c>
      <c r="V82">
        <f t="shared" si="70"/>
        <v>-2.5205293114401912E-2</v>
      </c>
      <c r="X82">
        <f t="shared" si="87"/>
        <v>25.206869278114045</v>
      </c>
      <c r="Y82">
        <f t="shared" si="71"/>
        <v>-96.875234222894477</v>
      </c>
      <c r="Z82">
        <f t="shared" si="88"/>
        <v>83.124765777105523</v>
      </c>
      <c r="AC82">
        <v>1</v>
      </c>
      <c r="AD82">
        <f t="shared" si="72"/>
        <v>3.0865016812896</v>
      </c>
      <c r="AE82">
        <f t="shared" si="73"/>
        <v>-2.6064275317656718E-6</v>
      </c>
      <c r="AF82">
        <f t="shared" si="74"/>
        <v>1.0338604420032E-4</v>
      </c>
      <c r="AG82">
        <f t="shared" si="89"/>
        <v>29591.485249161364</v>
      </c>
      <c r="AH82">
        <f t="shared" si="90"/>
        <v>-10418.505420056666</v>
      </c>
      <c r="AJ82">
        <f t="shared" si="75"/>
        <v>55000</v>
      </c>
      <c r="AK82">
        <f t="shared" si="76"/>
        <v>889.51054292100025</v>
      </c>
      <c r="AL82">
        <v>1</v>
      </c>
      <c r="AM82">
        <f t="shared" si="77"/>
        <v>1.2602436083622002</v>
      </c>
      <c r="AN82">
        <f t="shared" si="91"/>
        <v>21683.292420188671</v>
      </c>
      <c r="AO82">
        <f t="shared" si="92"/>
        <v>-26436.720137870318</v>
      </c>
      <c r="AQ82">
        <f t="shared" si="78"/>
        <v>19.643179470623643</v>
      </c>
      <c r="AR82">
        <f t="shared" si="79"/>
        <v>-248.44693394444786</v>
      </c>
      <c r="AT82">
        <f t="shared" si="52"/>
        <v>-2007174.872345102</v>
      </c>
      <c r="AU82">
        <f t="shared" si="53"/>
        <v>-7556566.3527983353</v>
      </c>
      <c r="AV82">
        <f t="shared" si="93"/>
        <v>-1.8304212508355138</v>
      </c>
      <c r="AW82">
        <f t="shared" si="94"/>
        <v>-6022670.3053074013</v>
      </c>
      <c r="AX82">
        <f t="shared" si="95"/>
        <v>-6131197.5373557834</v>
      </c>
      <c r="AY82">
        <f t="shared" si="103"/>
        <v>-2.3472652876436531</v>
      </c>
      <c r="BA82">
        <f t="shared" si="80"/>
        <v>0.90972882754017259</v>
      </c>
      <c r="BB82">
        <f t="shared" si="96"/>
        <v>-0.82176086244587965</v>
      </c>
      <c r="BC82">
        <f t="shared" si="97"/>
        <v>0.51684403680813928</v>
      </c>
      <c r="BD82">
        <f t="shared" si="81"/>
        <v>-150.38701799055167</v>
      </c>
      <c r="BF82">
        <f t="shared" si="82"/>
        <v>25.132657129133541</v>
      </c>
      <c r="BG82">
        <f t="shared" si="83"/>
        <v>-98.507749805236315</v>
      </c>
      <c r="BH82">
        <f t="shared" si="98"/>
        <v>81.492250194763685</v>
      </c>
      <c r="BI82">
        <f t="shared" si="99"/>
        <v>81.492250194763685</v>
      </c>
      <c r="BJ82">
        <f t="shared" si="84"/>
        <v>0</v>
      </c>
      <c r="BK82">
        <f t="shared" si="100"/>
        <v>0</v>
      </c>
      <c r="BM82">
        <f t="shared" si="101"/>
        <v>25.954417991579422</v>
      </c>
      <c r="BN82">
        <f t="shared" si="85"/>
        <v>-128.12073181468463</v>
      </c>
      <c r="BQ82" s="75">
        <f t="shared" si="102"/>
        <v>16.080199937839257</v>
      </c>
      <c r="BR82" s="80"/>
      <c r="BS82" s="80"/>
      <c r="BT82" s="80">
        <v>524.80700000000002</v>
      </c>
      <c r="BU82" s="80">
        <v>20.243600000000001</v>
      </c>
      <c r="BV82" s="80">
        <v>-263.95569999999998</v>
      </c>
      <c r="BW82" s="84"/>
      <c r="BY82" s="80"/>
      <c r="BZ82" s="80"/>
      <c r="CA82" s="80"/>
      <c r="CC82" s="80"/>
    </row>
    <row r="83" spans="1:81">
      <c r="A83">
        <f t="shared" si="54"/>
        <v>24500</v>
      </c>
      <c r="B83">
        <f t="shared" si="86"/>
        <v>24.5</v>
      </c>
      <c r="C83">
        <f t="shared" si="55"/>
        <v>1.0004098253457052</v>
      </c>
      <c r="D83">
        <f t="shared" si="56"/>
        <v>2.8624654779544078E-2</v>
      </c>
      <c r="F83">
        <f t="shared" si="57"/>
        <v>2.0187577954475957</v>
      </c>
      <c r="G83">
        <f t="shared" si="58"/>
        <v>0.80232019170296487</v>
      </c>
      <c r="H83">
        <f t="shared" si="59"/>
        <v>-2.3392724582970352</v>
      </c>
      <c r="J83">
        <f t="shared" si="60"/>
        <v>9</v>
      </c>
      <c r="M83">
        <f t="shared" si="61"/>
        <v>0.17227432199063089</v>
      </c>
      <c r="N83">
        <f t="shared" si="62"/>
        <v>-1.5707963250000001</v>
      </c>
      <c r="O83">
        <f t="shared" si="63"/>
        <v>3.3056867038313875</v>
      </c>
      <c r="P83">
        <f t="shared" si="64"/>
        <v>1.2634724277953031</v>
      </c>
      <c r="Q83">
        <f t="shared" si="65"/>
        <v>1.6294412731795285</v>
      </c>
      <c r="R83">
        <f t="shared" si="66"/>
        <v>0.91004870323024956</v>
      </c>
      <c r="S83">
        <f t="shared" si="67"/>
        <v>0.9998637402028312</v>
      </c>
      <c r="T83">
        <f t="shared" si="68"/>
        <v>-1.6508354959627321E-2</v>
      </c>
      <c r="U83">
        <f t="shared" si="69"/>
        <v>0.99966899733457515</v>
      </c>
      <c r="V83">
        <f t="shared" si="70"/>
        <v>-2.5730174017967677E-2</v>
      </c>
      <c r="X83">
        <f t="shared" si="87"/>
        <v>24.536453404125854</v>
      </c>
      <c r="Y83">
        <f t="shared" si="71"/>
        <v>-100.27686904746098</v>
      </c>
      <c r="Z83">
        <f t="shared" si="88"/>
        <v>79.723130952539023</v>
      </c>
      <c r="AC83">
        <v>1</v>
      </c>
      <c r="AD83">
        <f t="shared" si="72"/>
        <v>3.1508037996498008</v>
      </c>
      <c r="AE83">
        <f t="shared" si="73"/>
        <v>-2.7161599408721249E-6</v>
      </c>
      <c r="AF83">
        <f t="shared" si="74"/>
        <v>1.0553992012116E-4</v>
      </c>
      <c r="AG83">
        <f t="shared" si="89"/>
        <v>29590.693958678574</v>
      </c>
      <c r="AH83">
        <f t="shared" si="90"/>
        <v>-10236.629479280442</v>
      </c>
      <c r="AJ83">
        <f t="shared" si="75"/>
        <v>55000</v>
      </c>
      <c r="AK83">
        <f t="shared" si="76"/>
        <v>908.04201256518752</v>
      </c>
      <c r="AL83">
        <v>1</v>
      </c>
      <c r="AM83">
        <f t="shared" si="77"/>
        <v>1.2864986835364127</v>
      </c>
      <c r="AN83">
        <f t="shared" si="91"/>
        <v>21155.00056965413</v>
      </c>
      <c r="AO83">
        <f t="shared" si="92"/>
        <v>-26307.838370506917</v>
      </c>
      <c r="AQ83">
        <f t="shared" si="78"/>
        <v>18.854330247478629</v>
      </c>
      <c r="AR83">
        <f t="shared" si="79"/>
        <v>-243.43768499032035</v>
      </c>
      <c r="AT83">
        <f t="shared" si="52"/>
        <v>-1934068.6663907026</v>
      </c>
      <c r="AU83">
        <f t="shared" si="53"/>
        <v>-7396494.8273811983</v>
      </c>
      <c r="AV83">
        <f t="shared" si="93"/>
        <v>-1.8265543731919927</v>
      </c>
      <c r="AW83">
        <f t="shared" si="94"/>
        <v>-5888236.6187985456</v>
      </c>
      <c r="AX83">
        <f t="shared" si="95"/>
        <v>-5867921.6277413256</v>
      </c>
      <c r="AY83">
        <f t="shared" si="103"/>
        <v>-2.3579225182105503</v>
      </c>
      <c r="BA83">
        <f t="shared" si="80"/>
        <v>0.91967962946398241</v>
      </c>
      <c r="BB83">
        <f t="shared" si="96"/>
        <v>-0.72726865715453626</v>
      </c>
      <c r="BC83">
        <f t="shared" si="97"/>
        <v>0.53136814501855767</v>
      </c>
      <c r="BD83">
        <f t="shared" si="81"/>
        <v>-149.55484788795252</v>
      </c>
      <c r="BF83">
        <f t="shared" si="82"/>
        <v>24.462824834320674</v>
      </c>
      <c r="BG83">
        <f t="shared" si="83"/>
        <v>-101.94521512195669</v>
      </c>
      <c r="BH83">
        <f t="shared" si="98"/>
        <v>78.054784878043307</v>
      </c>
      <c r="BI83">
        <f t="shared" si="99"/>
        <v>78.054784878043307</v>
      </c>
      <c r="BJ83">
        <f t="shared" si="84"/>
        <v>0</v>
      </c>
      <c r="BK83">
        <f t="shared" si="100"/>
        <v>0</v>
      </c>
      <c r="BM83">
        <f t="shared" si="101"/>
        <v>25.19009349147521</v>
      </c>
      <c r="BN83">
        <f t="shared" si="85"/>
        <v>-132.39036723400417</v>
      </c>
      <c r="BQ83" s="75">
        <f t="shared" si="102"/>
        <v>16.174692143130599</v>
      </c>
      <c r="BR83" s="80"/>
      <c r="BS83" s="80"/>
      <c r="BT83" s="80">
        <v>537.03200000000004</v>
      </c>
      <c r="BU83" s="80">
        <v>20.2926</v>
      </c>
      <c r="BV83" s="80">
        <v>-264.56819999999999</v>
      </c>
      <c r="BW83" s="84"/>
      <c r="BY83" s="80"/>
      <c r="BZ83" s="80"/>
      <c r="CA83" s="80"/>
      <c r="CC83" s="80"/>
    </row>
    <row r="84" spans="1:81">
      <c r="A84">
        <f t="shared" si="54"/>
        <v>25000</v>
      </c>
      <c r="B84">
        <f t="shared" si="86"/>
        <v>25</v>
      </c>
      <c r="C84">
        <f t="shared" si="55"/>
        <v>1.0004267199963721</v>
      </c>
      <c r="D84">
        <f t="shared" si="56"/>
        <v>2.92085025284235E-2</v>
      </c>
      <c r="F84">
        <f t="shared" si="57"/>
        <v>1.8509244987926652</v>
      </c>
      <c r="G84">
        <f t="shared" si="58"/>
        <v>0.73778515067502282</v>
      </c>
      <c r="H84">
        <f t="shared" si="59"/>
        <v>-2.4038074993249774</v>
      </c>
      <c r="J84">
        <f t="shared" si="60"/>
        <v>9</v>
      </c>
      <c r="M84">
        <f t="shared" si="61"/>
        <v>0.16882883555081829</v>
      </c>
      <c r="N84">
        <f t="shared" si="62"/>
        <v>-1.5707963250000001</v>
      </c>
      <c r="O84">
        <f t="shared" si="63"/>
        <v>3.367032233885344</v>
      </c>
      <c r="P84">
        <f t="shared" si="64"/>
        <v>1.2692496454708733</v>
      </c>
      <c r="Q84">
        <f t="shared" si="65"/>
        <v>1.6502492026990572</v>
      </c>
      <c r="R84">
        <f t="shared" si="66"/>
        <v>0.91981279657563253</v>
      </c>
      <c r="S84">
        <f t="shared" si="67"/>
        <v>0.99985812302280974</v>
      </c>
      <c r="T84">
        <f t="shared" si="68"/>
        <v>-1.6845197069983504E-2</v>
      </c>
      <c r="U84">
        <f t="shared" si="69"/>
        <v>0.99965535621620794</v>
      </c>
      <c r="V84">
        <f t="shared" si="70"/>
        <v>-2.6255040741464369E-2</v>
      </c>
      <c r="X84">
        <f t="shared" si="87"/>
        <v>23.876972062046654</v>
      </c>
      <c r="Y84">
        <f t="shared" si="71"/>
        <v>-103.09992327015065</v>
      </c>
      <c r="Z84">
        <f t="shared" si="88"/>
        <v>76.900076729849346</v>
      </c>
      <c r="AC84">
        <v>1</v>
      </c>
      <c r="AD84">
        <f t="shared" si="72"/>
        <v>3.2151059180100003</v>
      </c>
      <c r="AE84">
        <f t="shared" si="73"/>
        <v>-2.828154873877682E-6</v>
      </c>
      <c r="AF84">
        <f t="shared" si="74"/>
        <v>1.07693796042E-4</v>
      </c>
      <c r="AG84">
        <f t="shared" si="89"/>
        <v>29589.886396563699</v>
      </c>
      <c r="AH84">
        <f t="shared" si="90"/>
        <v>-10062.648186412682</v>
      </c>
      <c r="AJ84">
        <f t="shared" si="75"/>
        <v>55000</v>
      </c>
      <c r="AK84">
        <f t="shared" si="76"/>
        <v>926.57348220937502</v>
      </c>
      <c r="AL84">
        <v>1</v>
      </c>
      <c r="AM84">
        <f t="shared" si="77"/>
        <v>1.3127537587106253</v>
      </c>
      <c r="AN84">
        <f t="shared" si="91"/>
        <v>20642.565926600982</v>
      </c>
      <c r="AO84">
        <f t="shared" si="92"/>
        <v>-26172.032527367948</v>
      </c>
      <c r="AQ84">
        <f t="shared" si="78"/>
        <v>18.111975484106551</v>
      </c>
      <c r="AR84">
        <f t="shared" si="79"/>
        <v>-238.62527700310383</v>
      </c>
      <c r="AT84">
        <f t="shared" si="52"/>
        <v>-1865270.9138754467</v>
      </c>
      <c r="AU84">
        <f t="shared" si="53"/>
        <v>-7243149.2751278821</v>
      </c>
      <c r="AV84">
        <f t="shared" si="93"/>
        <v>-1.8228419749744791</v>
      </c>
      <c r="AW84">
        <f t="shared" si="94"/>
        <v>-5756446.1375022717</v>
      </c>
      <c r="AX84">
        <f t="shared" si="95"/>
        <v>-5619136.26933272</v>
      </c>
      <c r="AY84">
        <f t="shared" si="103"/>
        <v>-2.3682644832011022</v>
      </c>
      <c r="BA84">
        <f t="shared" si="80"/>
        <v>0.92978053654783255</v>
      </c>
      <c r="BB84">
        <f t="shared" si="96"/>
        <v>-0.63239098621088397</v>
      </c>
      <c r="BC84">
        <f t="shared" si="97"/>
        <v>0.54542250822662308</v>
      </c>
      <c r="BD84">
        <f t="shared" si="81"/>
        <v>-148.74959219146626</v>
      </c>
      <c r="BF84">
        <f t="shared" si="82"/>
        <v>23.803938930263033</v>
      </c>
      <c r="BG84">
        <f t="shared" si="83"/>
        <v>-104.80409289937303</v>
      </c>
      <c r="BH84">
        <f t="shared" si="98"/>
        <v>75.195907100626968</v>
      </c>
      <c r="BI84">
        <f t="shared" si="99"/>
        <v>75.195907100626968</v>
      </c>
      <c r="BJ84">
        <f t="shared" si="84"/>
        <v>0</v>
      </c>
      <c r="BK84">
        <f t="shared" si="100"/>
        <v>0</v>
      </c>
      <c r="BM84">
        <f t="shared" si="101"/>
        <v>24.436329916473923</v>
      </c>
      <c r="BN84">
        <f t="shared" si="85"/>
        <v>-136.05450070790678</v>
      </c>
      <c r="BQ84" s="75">
        <f t="shared" si="102"/>
        <v>16.269569814074252</v>
      </c>
      <c r="BR84" s="80"/>
      <c r="BS84" s="80"/>
      <c r="BT84" s="80">
        <v>549.54100000000005</v>
      </c>
      <c r="BU84" s="80">
        <v>19.992000000000001</v>
      </c>
      <c r="BV84" s="80">
        <v>-264.47620000000001</v>
      </c>
      <c r="BW84" s="84"/>
      <c r="BY84" s="80"/>
      <c r="BZ84" s="80"/>
      <c r="CA84" s="80"/>
      <c r="CC84" s="80"/>
    </row>
    <row r="85" spans="1:81">
      <c r="A85">
        <f t="shared" si="54"/>
        <v>25500</v>
      </c>
      <c r="B85">
        <f t="shared" si="86"/>
        <v>25.5</v>
      </c>
      <c r="C85">
        <f t="shared" si="55"/>
        <v>1.0004439556591065</v>
      </c>
      <c r="D85">
        <f t="shared" si="56"/>
        <v>2.9792330359236747E-2</v>
      </c>
      <c r="F85">
        <f t="shared" si="57"/>
        <v>1.7008028876781796</v>
      </c>
      <c r="G85">
        <f t="shared" si="58"/>
        <v>0.68214098744697393</v>
      </c>
      <c r="H85">
        <f t="shared" si="59"/>
        <v>-2.4594516625530263</v>
      </c>
      <c r="J85">
        <f t="shared" si="60"/>
        <v>9</v>
      </c>
      <c r="M85">
        <f t="shared" si="61"/>
        <v>0.16551846622629243</v>
      </c>
      <c r="N85">
        <f t="shared" si="62"/>
        <v>-1.5707963250000001</v>
      </c>
      <c r="O85">
        <f t="shared" si="63"/>
        <v>3.4284861191215952</v>
      </c>
      <c r="P85">
        <f t="shared" si="64"/>
        <v>1.2748199361233135</v>
      </c>
      <c r="Q85">
        <f t="shared" si="65"/>
        <v>1.6712105364739753</v>
      </c>
      <c r="R85">
        <f t="shared" si="66"/>
        <v>0.92933284438859731</v>
      </c>
      <c r="S85">
        <f t="shared" si="67"/>
        <v>0.99985239246196189</v>
      </c>
      <c r="T85">
        <f t="shared" si="68"/>
        <v>-1.7182035357421646E-2</v>
      </c>
      <c r="U85">
        <f t="shared" si="69"/>
        <v>0.99964144009513678</v>
      </c>
      <c r="V85">
        <f t="shared" si="70"/>
        <v>-2.6779892996292593E-2</v>
      </c>
      <c r="X85">
        <f t="shared" si="87"/>
        <v>23.2369882830621</v>
      </c>
      <c r="Y85">
        <f t="shared" si="71"/>
        <v>-105.43940663548686</v>
      </c>
      <c r="Z85">
        <f t="shared" si="88"/>
        <v>74.560593364513139</v>
      </c>
      <c r="AC85">
        <v>1</v>
      </c>
      <c r="AD85">
        <f t="shared" si="72"/>
        <v>3.2794080363702003</v>
      </c>
      <c r="AE85">
        <f t="shared" si="73"/>
        <v>-2.9424123307823404E-6</v>
      </c>
      <c r="AF85">
        <f t="shared" si="74"/>
        <v>1.0984767196284002E-4</v>
      </c>
      <c r="AG85">
        <f t="shared" si="89"/>
        <v>29589.062565484586</v>
      </c>
      <c r="AH85">
        <f t="shared" si="90"/>
        <v>-9896.0970508024129</v>
      </c>
      <c r="AJ85">
        <f t="shared" si="75"/>
        <v>55000</v>
      </c>
      <c r="AK85">
        <f t="shared" si="76"/>
        <v>945.10495185356262</v>
      </c>
      <c r="AL85">
        <v>1</v>
      </c>
      <c r="AM85">
        <f t="shared" si="77"/>
        <v>1.3390088338848376</v>
      </c>
      <c r="AN85">
        <f t="shared" si="91"/>
        <v>20145.584959586009</v>
      </c>
      <c r="AO85">
        <f t="shared" si="92"/>
        <v>-26030.011272809625</v>
      </c>
      <c r="AQ85">
        <f t="shared" si="78"/>
        <v>17.41253839801665</v>
      </c>
      <c r="AR85">
        <f t="shared" si="79"/>
        <v>-233.99839726174673</v>
      </c>
      <c r="AT85">
        <f t="shared" si="52"/>
        <v>-1800450.1609516456</v>
      </c>
      <c r="AU85">
        <f t="shared" si="53"/>
        <v>-7096109.3866885379</v>
      </c>
      <c r="AV85">
        <f t="shared" si="93"/>
        <v>-1.8192764382693993</v>
      </c>
      <c r="AW85">
        <f t="shared" si="94"/>
        <v>-5627377.6280131517</v>
      </c>
      <c r="AX85">
        <f t="shared" si="95"/>
        <v>-5383901.1721807113</v>
      </c>
      <c r="AY85">
        <f t="shared" si="103"/>
        <v>-2.3783024389292327</v>
      </c>
      <c r="BA85">
        <f t="shared" si="80"/>
        <v>0.94002382985389921</v>
      </c>
      <c r="BB85">
        <f t="shared" si="96"/>
        <v>-0.53722273560443701</v>
      </c>
      <c r="BC85">
        <f t="shared" si="97"/>
        <v>0.55902600065983332</v>
      </c>
      <c r="BD85">
        <f t="shared" si="81"/>
        <v>-147.97016948751457</v>
      </c>
      <c r="BF85">
        <f t="shared" si="82"/>
        <v>23.164562438096187</v>
      </c>
      <c r="BG85">
        <f t="shared" si="83"/>
        <v>-107.17939503586248</v>
      </c>
      <c r="BH85">
        <f t="shared" si="98"/>
        <v>72.820604964137516</v>
      </c>
      <c r="BI85">
        <f t="shared" si="99"/>
        <v>72.820604964137516</v>
      </c>
      <c r="BJ85">
        <f t="shared" si="84"/>
        <v>0</v>
      </c>
      <c r="BK85">
        <f t="shared" si="100"/>
        <v>0</v>
      </c>
      <c r="BM85">
        <f t="shared" si="101"/>
        <v>23.701785173700621</v>
      </c>
      <c r="BN85">
        <f t="shared" si="85"/>
        <v>-139.20922554834792</v>
      </c>
      <c r="BQ85" s="75">
        <f t="shared" si="102"/>
        <v>16.364738064680701</v>
      </c>
      <c r="BR85" s="80"/>
      <c r="BS85" s="80"/>
      <c r="BT85" s="80">
        <v>562.34100000000001</v>
      </c>
      <c r="BU85" s="80">
        <v>19.682300000000001</v>
      </c>
      <c r="BV85" s="80">
        <v>-264.60399999999998</v>
      </c>
      <c r="BW85" s="84"/>
      <c r="BY85" s="80"/>
      <c r="BZ85" s="80"/>
      <c r="CA85" s="80"/>
      <c r="CC85" s="80"/>
    </row>
    <row r="86" spans="1:81">
      <c r="A86">
        <f t="shared" si="54"/>
        <v>26000</v>
      </c>
      <c r="B86">
        <f t="shared" si="86"/>
        <v>26</v>
      </c>
      <c r="C86">
        <f t="shared" si="55"/>
        <v>1.0004615323162844</v>
      </c>
      <c r="D86">
        <f t="shared" si="56"/>
        <v>3.0376137875022507E-2</v>
      </c>
      <c r="F86">
        <f t="shared" si="57"/>
        <v>1.5671708073797996</v>
      </c>
      <c r="G86">
        <f t="shared" si="58"/>
        <v>0.63392536758648987</v>
      </c>
      <c r="H86">
        <f t="shared" si="59"/>
        <v>-2.5076672824135104</v>
      </c>
      <c r="J86">
        <f t="shared" si="60"/>
        <v>9</v>
      </c>
      <c r="M86">
        <f t="shared" si="61"/>
        <v>0.16233541879886373</v>
      </c>
      <c r="N86">
        <f t="shared" si="62"/>
        <v>-1.5707963250000001</v>
      </c>
      <c r="O86">
        <f t="shared" si="63"/>
        <v>3.4900426356775642</v>
      </c>
      <c r="P86">
        <f t="shared" si="64"/>
        <v>1.2801938938138242</v>
      </c>
      <c r="Q86">
        <f t="shared" si="65"/>
        <v>1.6923195742468971</v>
      </c>
      <c r="R86">
        <f t="shared" si="66"/>
        <v>0.9386162208261728</v>
      </c>
      <c r="S86">
        <f t="shared" si="67"/>
        <v>0.99984654852613852</v>
      </c>
      <c r="T86">
        <f t="shared" si="68"/>
        <v>-1.7518869745572787E-2</v>
      </c>
      <c r="U86">
        <f t="shared" si="69"/>
        <v>0.99962724900584699</v>
      </c>
      <c r="V86">
        <f t="shared" si="70"/>
        <v>-2.7304730493900746E-2</v>
      </c>
      <c r="X86">
        <f t="shared" si="87"/>
        <v>22.621141424431247</v>
      </c>
      <c r="Y86">
        <f t="shared" si="71"/>
        <v>-107.37807523353911</v>
      </c>
      <c r="Z86">
        <f t="shared" si="88"/>
        <v>72.621924766460893</v>
      </c>
      <c r="AC86">
        <v>1</v>
      </c>
      <c r="AD86">
        <f t="shared" si="72"/>
        <v>3.3437101547304007</v>
      </c>
      <c r="AE86">
        <f t="shared" si="73"/>
        <v>-3.0589323115861011E-6</v>
      </c>
      <c r="AF86">
        <f t="shared" si="74"/>
        <v>1.1200154788368001E-4</v>
      </c>
      <c r="AG86">
        <f t="shared" si="89"/>
        <v>29588.222468162639</v>
      </c>
      <c r="AH86">
        <f t="shared" si="90"/>
        <v>-9736.5473098891071</v>
      </c>
      <c r="AJ86">
        <f t="shared" si="75"/>
        <v>55000</v>
      </c>
      <c r="AK86">
        <f t="shared" si="76"/>
        <v>963.63642149775012</v>
      </c>
      <c r="AL86">
        <v>1</v>
      </c>
      <c r="AM86">
        <f t="shared" si="77"/>
        <v>1.3652639090590502</v>
      </c>
      <c r="AN86">
        <f t="shared" si="91"/>
        <v>19663.648352966102</v>
      </c>
      <c r="AO86">
        <f t="shared" si="92"/>
        <v>-25882.432995235304</v>
      </c>
      <c r="AQ86">
        <f t="shared" si="78"/>
        <v>16.752779059284727</v>
      </c>
      <c r="AR86">
        <f t="shared" si="79"/>
        <v>-229.54657867031935</v>
      </c>
      <c r="AT86">
        <f t="shared" ref="AT86:AT149" si="104">-AR86*AH86+AG86*AQ86</f>
        <v>-1739306.1692806531</v>
      </c>
      <c r="AU86">
        <f t="shared" ref="AU86:AU149" si="105">AQ86*AH86+AG86*AR86</f>
        <v>-6954989.462385851</v>
      </c>
      <c r="AV86">
        <f t="shared" si="93"/>
        <v>-1.8158506079997709</v>
      </c>
      <c r="AW86">
        <f t="shared" si="94"/>
        <v>-5501087.3072028682</v>
      </c>
      <c r="AX86">
        <f t="shared" si="95"/>
        <v>-5161345.4124184651</v>
      </c>
      <c r="AY86">
        <f t="shared" si="103"/>
        <v>-2.3880471635970837</v>
      </c>
      <c r="BA86">
        <f t="shared" si="80"/>
        <v>0.95040234214443808</v>
      </c>
      <c r="BB86">
        <f t="shared" si="96"/>
        <v>-0.44185004197244981</v>
      </c>
      <c r="BC86">
        <f t="shared" si="97"/>
        <v>0.57219655559731275</v>
      </c>
      <c r="BD86">
        <f t="shared" si="81"/>
        <v>-147.21555227488952</v>
      </c>
      <c r="BF86">
        <f t="shared" si="82"/>
        <v>22.549334704784716</v>
      </c>
      <c r="BG86">
        <f t="shared" si="83"/>
        <v>-109.15387964426625</v>
      </c>
      <c r="BH86">
        <f t="shared" si="98"/>
        <v>70.846120355733746</v>
      </c>
      <c r="BI86">
        <f t="shared" si="99"/>
        <v>70.846120355733746</v>
      </c>
      <c r="BJ86">
        <f t="shared" si="84"/>
        <v>0</v>
      </c>
      <c r="BK86">
        <f t="shared" si="100"/>
        <v>0</v>
      </c>
      <c r="BM86">
        <f t="shared" si="101"/>
        <v>22.991184746757163</v>
      </c>
      <c r="BN86">
        <f t="shared" si="85"/>
        <v>-141.93832736937674</v>
      </c>
      <c r="BQ86" s="75">
        <f t="shared" si="102"/>
        <v>16.460110758312688</v>
      </c>
      <c r="BR86" s="80"/>
      <c r="BS86" s="80"/>
      <c r="BT86" s="80">
        <v>575.44000000000005</v>
      </c>
      <c r="BU86" s="80">
        <v>19.596</v>
      </c>
      <c r="BV86" s="80">
        <v>-264.9076</v>
      </c>
      <c r="BW86" s="84"/>
      <c r="BY86" s="80"/>
      <c r="BZ86" s="80"/>
      <c r="CA86" s="80"/>
      <c r="CC86" s="80"/>
    </row>
    <row r="87" spans="1:81">
      <c r="A87">
        <f t="shared" si="54"/>
        <v>26500</v>
      </c>
      <c r="B87">
        <f t="shared" si="86"/>
        <v>26.5</v>
      </c>
      <c r="C87">
        <f t="shared" si="55"/>
        <v>1.0004794499499332</v>
      </c>
      <c r="D87">
        <f t="shared" si="56"/>
        <v>3.0959924678902486E-2</v>
      </c>
      <c r="F87">
        <f t="shared" si="57"/>
        <v>1.4483867701678796</v>
      </c>
      <c r="G87">
        <f t="shared" si="58"/>
        <v>0.59190730232060174</v>
      </c>
      <c r="H87">
        <f t="shared" si="59"/>
        <v>-2.5496853476793984</v>
      </c>
      <c r="J87">
        <f t="shared" si="60"/>
        <v>9</v>
      </c>
      <c r="M87">
        <f t="shared" si="61"/>
        <v>0.15927248636869648</v>
      </c>
      <c r="N87">
        <f t="shared" si="62"/>
        <v>-1.5707963250000001</v>
      </c>
      <c r="O87">
        <f t="shared" si="63"/>
        <v>3.5516964472680042</v>
      </c>
      <c r="P87">
        <f t="shared" si="64"/>
        <v>1.2853814242162771</v>
      </c>
      <c r="Q87">
        <f t="shared" si="65"/>
        <v>1.71357085744406</v>
      </c>
      <c r="R87">
        <f t="shared" si="66"/>
        <v>0.94767010124635465</v>
      </c>
      <c r="S87">
        <f t="shared" si="67"/>
        <v>0.99984059122130575</v>
      </c>
      <c r="T87">
        <f t="shared" si="68"/>
        <v>-1.7855700158073268E-2</v>
      </c>
      <c r="U87">
        <f t="shared" si="69"/>
        <v>0.99961278298350265</v>
      </c>
      <c r="V87">
        <f t="shared" si="70"/>
        <v>-2.7829552945785964E-2</v>
      </c>
      <c r="X87">
        <f t="shared" si="87"/>
        <v>22.03152929568153</v>
      </c>
      <c r="Y87">
        <f t="shared" si="71"/>
        <v>-108.98548085650445</v>
      </c>
      <c r="Z87">
        <f t="shared" si="88"/>
        <v>71.014519143495548</v>
      </c>
      <c r="AC87">
        <v>1</v>
      </c>
      <c r="AD87">
        <f t="shared" si="72"/>
        <v>3.4080122730906006</v>
      </c>
      <c r="AE87">
        <f t="shared" si="73"/>
        <v>-3.1777148162889636E-6</v>
      </c>
      <c r="AF87">
        <f t="shared" si="74"/>
        <v>1.1415542380452001E-4</v>
      </c>
      <c r="AG87">
        <f t="shared" si="89"/>
        <v>29587.366107372687</v>
      </c>
      <c r="AH87">
        <f t="shared" si="90"/>
        <v>-9583.6025586288961</v>
      </c>
      <c r="AJ87">
        <f t="shared" si="75"/>
        <v>55000</v>
      </c>
      <c r="AK87">
        <f t="shared" si="76"/>
        <v>982.16789114193762</v>
      </c>
      <c r="AL87">
        <v>1</v>
      </c>
      <c r="AM87">
        <f t="shared" si="77"/>
        <v>1.3915189842332627</v>
      </c>
      <c r="AN87">
        <f t="shared" si="91"/>
        <v>19196.343614445756</v>
      </c>
      <c r="AO87">
        <f t="shared" si="92"/>
        <v>-25729.908676224302</v>
      </c>
      <c r="AQ87">
        <f t="shared" si="78"/>
        <v>16.129757090895573</v>
      </c>
      <c r="AR87">
        <f t="shared" si="79"/>
        <v>-225.26012265290211</v>
      </c>
      <c r="AT87">
        <f t="shared" si="104"/>
        <v>-1681566.4595420938</v>
      </c>
      <c r="AU87">
        <f t="shared" si="105"/>
        <v>-6819434.8996494599</v>
      </c>
      <c r="AV87">
        <f t="shared" si="93"/>
        <v>-1.8125577602048972</v>
      </c>
      <c r="AW87">
        <f t="shared" si="94"/>
        <v>-5377612.0189041905</v>
      </c>
      <c r="AX87">
        <f t="shared" si="95"/>
        <v>-4950661.6987914462</v>
      </c>
      <c r="AY87">
        <f t="shared" si="103"/>
        <v>-2.3975089814086497</v>
      </c>
      <c r="BA87">
        <f t="shared" si="80"/>
        <v>0.96090940746871856</v>
      </c>
      <c r="BB87">
        <f t="shared" si="96"/>
        <v>-0.34635109555742261</v>
      </c>
      <c r="BC87">
        <f t="shared" si="97"/>
        <v>0.58495122120375243</v>
      </c>
      <c r="BD87">
        <f t="shared" si="81"/>
        <v>-146.48476376570483</v>
      </c>
      <c r="BF87">
        <f t="shared" si="82"/>
        <v>21.960353529320159</v>
      </c>
      <c r="BG87">
        <f t="shared" si="83"/>
        <v>-110.79710042083711</v>
      </c>
      <c r="BH87">
        <f t="shared" si="98"/>
        <v>69.202899579162889</v>
      </c>
      <c r="BI87">
        <f t="shared" si="99"/>
        <v>69.202899579162889</v>
      </c>
      <c r="BJ87">
        <f t="shared" si="84"/>
        <v>0</v>
      </c>
      <c r="BK87">
        <f t="shared" si="100"/>
        <v>0</v>
      </c>
      <c r="BM87">
        <f t="shared" si="101"/>
        <v>22.306704624877579</v>
      </c>
      <c r="BN87">
        <f t="shared" si="85"/>
        <v>-144.3123366551323</v>
      </c>
      <c r="BQ87" s="75">
        <f t="shared" si="102"/>
        <v>16.555609704727715</v>
      </c>
      <c r="BR87" s="80"/>
      <c r="BS87" s="80"/>
      <c r="BT87" s="80">
        <v>588.84400000000005</v>
      </c>
      <c r="BU87" s="80">
        <v>19.373200000000001</v>
      </c>
      <c r="BV87" s="80">
        <v>-263.88170000000002</v>
      </c>
      <c r="BW87" s="84"/>
      <c r="BY87" s="80"/>
      <c r="BZ87" s="80"/>
      <c r="CA87" s="80"/>
      <c r="CC87" s="80"/>
    </row>
    <row r="88" spans="1:81">
      <c r="A88">
        <f t="shared" si="54"/>
        <v>27000</v>
      </c>
      <c r="B88">
        <f t="shared" si="86"/>
        <v>27</v>
      </c>
      <c r="C88">
        <f t="shared" si="55"/>
        <v>1.0004977085417341</v>
      </c>
      <c r="D88">
        <f t="shared" si="56"/>
        <v>3.1543690374083007E-2</v>
      </c>
      <c r="F88">
        <f t="shared" si="57"/>
        <v>1.3427273630986432</v>
      </c>
      <c r="G88">
        <f t="shared" si="58"/>
        <v>0.55506935654941048</v>
      </c>
      <c r="H88">
        <f t="shared" si="59"/>
        <v>-2.5865232934505897</v>
      </c>
      <c r="J88">
        <f t="shared" si="60"/>
        <v>9</v>
      </c>
      <c r="M88">
        <f t="shared" si="61"/>
        <v>0.15632299588038728</v>
      </c>
      <c r="N88">
        <f t="shared" si="62"/>
        <v>-1.5707963250000001</v>
      </c>
      <c r="O88">
        <f t="shared" si="63"/>
        <v>3.6134425736513851</v>
      </c>
      <c r="P88">
        <f t="shared" si="64"/>
        <v>1.2903917976919836</v>
      </c>
      <c r="Q88">
        <f t="shared" si="65"/>
        <v>1.7349591590376847</v>
      </c>
      <c r="R88">
        <f t="shared" si="66"/>
        <v>0.95650146123249413</v>
      </c>
      <c r="S88">
        <f t="shared" si="67"/>
        <v>0.99983452055354494</v>
      </c>
      <c r="T88">
        <f t="shared" si="68"/>
        <v>-1.8192526518564837E-2</v>
      </c>
      <c r="U88">
        <f t="shared" si="69"/>
        <v>0.99959804206394531</v>
      </c>
      <c r="V88">
        <f t="shared" si="70"/>
        <v>-2.8354360063495086E-2</v>
      </c>
      <c r="X88">
        <f t="shared" si="87"/>
        <v>21.468665075922814</v>
      </c>
      <c r="Y88">
        <f t="shared" si="71"/>
        <v>-110.31898741937023</v>
      </c>
      <c r="Z88">
        <f t="shared" si="88"/>
        <v>69.681012580629769</v>
      </c>
      <c r="AC88">
        <v>1</v>
      </c>
      <c r="AD88">
        <f t="shared" si="72"/>
        <v>3.4723143914508001</v>
      </c>
      <c r="AE88">
        <f t="shared" si="73"/>
        <v>-3.2987598448909276E-6</v>
      </c>
      <c r="AF88">
        <f t="shared" si="74"/>
        <v>1.1630929972536001E-4</v>
      </c>
      <c r="AG88">
        <f t="shared" si="89"/>
        <v>29586.49348594309</v>
      </c>
      <c r="AH88">
        <f t="shared" si="90"/>
        <v>-9436.8957534290457</v>
      </c>
      <c r="AJ88">
        <f t="shared" si="75"/>
        <v>55000</v>
      </c>
      <c r="AK88">
        <f t="shared" si="76"/>
        <v>1000.6993607861251</v>
      </c>
      <c r="AL88">
        <v>1</v>
      </c>
      <c r="AM88">
        <f t="shared" si="77"/>
        <v>1.417774059407475</v>
      </c>
      <c r="AN88">
        <f t="shared" si="91"/>
        <v>18743.257338995594</v>
      </c>
      <c r="AO88">
        <f t="shared" si="92"/>
        <v>-25573.004683240604</v>
      </c>
      <c r="AQ88">
        <f t="shared" si="78"/>
        <v>15.540799092260061</v>
      </c>
      <c r="AR88">
        <f t="shared" si="79"/>
        <v>-221.13003028376838</v>
      </c>
      <c r="AT88">
        <f t="shared" si="104"/>
        <v>-1626983.2926310275</v>
      </c>
      <c r="AU88">
        <f t="shared" si="105"/>
        <v>-6689119.1014957549</v>
      </c>
      <c r="AV88">
        <f t="shared" si="93"/>
        <v>-1.8093915725406637</v>
      </c>
      <c r="AW88">
        <f t="shared" si="94"/>
        <v>-5256972.0036935927</v>
      </c>
      <c r="AX88">
        <f t="shared" si="95"/>
        <v>-4751101.1722321883</v>
      </c>
      <c r="AY88">
        <f t="shared" si="103"/>
        <v>-2.4066977849773794</v>
      </c>
      <c r="BA88">
        <f t="shared" si="80"/>
        <v>0.97153881640107576</v>
      </c>
      <c r="BB88">
        <f t="shared" si="96"/>
        <v>-0.25079686243627797</v>
      </c>
      <c r="BC88">
        <f t="shared" si="97"/>
        <v>0.59730621243671567</v>
      </c>
      <c r="BD88">
        <f t="shared" si="81"/>
        <v>-145.77687491132599</v>
      </c>
      <c r="BF88">
        <f t="shared" si="82"/>
        <v>21.398132080037659</v>
      </c>
      <c r="BG88">
        <f t="shared" si="83"/>
        <v>-112.16642307689457</v>
      </c>
      <c r="BH88">
        <f t="shared" si="98"/>
        <v>67.833576923105426</v>
      </c>
      <c r="BI88">
        <f t="shared" si="99"/>
        <v>67.833576923105426</v>
      </c>
      <c r="BJ88">
        <f t="shared" si="84"/>
        <v>0</v>
      </c>
      <c r="BK88">
        <f t="shared" si="100"/>
        <v>0</v>
      </c>
      <c r="BM88">
        <f t="shared" si="101"/>
        <v>21.64892894247394</v>
      </c>
      <c r="BN88">
        <f t="shared" si="85"/>
        <v>-146.38954816556858</v>
      </c>
      <c r="BQ88" s="75">
        <f t="shared" si="102"/>
        <v>16.651163937848857</v>
      </c>
      <c r="BR88" s="80"/>
      <c r="BS88" s="80"/>
      <c r="BT88" s="80">
        <v>602.55999999999995</v>
      </c>
      <c r="BU88" s="80">
        <v>19.198</v>
      </c>
      <c r="BV88" s="80">
        <v>-264.00260000000003</v>
      </c>
      <c r="BW88" s="84"/>
      <c r="BY88" s="80"/>
      <c r="BZ88" s="80"/>
      <c r="CA88" s="80"/>
      <c r="CC88" s="80"/>
    </row>
    <row r="89" spans="1:81">
      <c r="A89">
        <f t="shared" si="54"/>
        <v>27500</v>
      </c>
      <c r="B89">
        <f t="shared" si="86"/>
        <v>27.5</v>
      </c>
      <c r="C89">
        <f t="shared" si="55"/>
        <v>1.0005163080730199</v>
      </c>
      <c r="D89">
        <f t="shared" si="56"/>
        <v>3.2127434563856659E-2</v>
      </c>
      <c r="F89">
        <f t="shared" si="57"/>
        <v>1.2485545730657508</v>
      </c>
      <c r="G89">
        <f t="shared" si="58"/>
        <v>0.52257778123307885</v>
      </c>
      <c r="H89">
        <f t="shared" si="59"/>
        <v>-2.6190148687669215</v>
      </c>
      <c r="J89">
        <f t="shared" si="60"/>
        <v>9</v>
      </c>
      <c r="M89">
        <f t="shared" si="61"/>
        <v>0.15348075959165297</v>
      </c>
      <c r="N89">
        <f t="shared" si="62"/>
        <v>-1.5707963250000001</v>
      </c>
      <c r="O89">
        <f t="shared" si="63"/>
        <v>3.6752763620533009</v>
      </c>
      <c r="P89">
        <f t="shared" si="64"/>
        <v>1.2952336977281176</v>
      </c>
      <c r="Q89">
        <f t="shared" si="65"/>
        <v>1.7564794736975258</v>
      </c>
      <c r="R89">
        <f t="shared" si="66"/>
        <v>0.96511707663628821</v>
      </c>
      <c r="S89">
        <f t="shared" si="67"/>
        <v>0.99982833652905356</v>
      </c>
      <c r="T89">
        <f t="shared" si="68"/>
        <v>-1.8529348750694761E-2</v>
      </c>
      <c r="U89">
        <f t="shared" si="69"/>
        <v>0.99958302628369633</v>
      </c>
      <c r="V89">
        <f t="shared" si="70"/>
        <v>-2.8879151558625589E-2</v>
      </c>
      <c r="X89">
        <f t="shared" si="87"/>
        <v>20.932110904022821</v>
      </c>
      <c r="Y89">
        <f t="shared" si="71"/>
        <v>-111.42547947030508</v>
      </c>
      <c r="Z89">
        <f t="shared" si="88"/>
        <v>68.574520529694922</v>
      </c>
      <c r="AC89">
        <v>1</v>
      </c>
      <c r="AD89">
        <f t="shared" si="72"/>
        <v>3.5366165098110001</v>
      </c>
      <c r="AE89">
        <f t="shared" si="73"/>
        <v>-3.422067397391995E-6</v>
      </c>
      <c r="AF89">
        <f t="shared" si="74"/>
        <v>1.184631756462E-4</v>
      </c>
      <c r="AG89">
        <f t="shared" si="89"/>
        <v>29585.604606755649</v>
      </c>
      <c r="AH89">
        <f t="shared" si="90"/>
        <v>-9296.0865429259156</v>
      </c>
      <c r="AJ89">
        <f t="shared" si="75"/>
        <v>55000</v>
      </c>
      <c r="AK89">
        <f t="shared" si="76"/>
        <v>1019.2308304303127</v>
      </c>
      <c r="AL89">
        <v>1</v>
      </c>
      <c r="AM89">
        <f t="shared" si="77"/>
        <v>1.4440291345816876</v>
      </c>
      <c r="AN89">
        <f t="shared" si="91"/>
        <v>18303.977163253483</v>
      </c>
      <c r="AO89">
        <f t="shared" si="92"/>
        <v>-25412.245472025588</v>
      </c>
      <c r="AQ89">
        <f t="shared" si="78"/>
        <v>14.983470115644774</v>
      </c>
      <c r="AR89">
        <f t="shared" si="79"/>
        <v>-217.14794065098192</v>
      </c>
      <c r="AT89">
        <f t="shared" si="104"/>
        <v>-1575331.0264310627</v>
      </c>
      <c r="AU89">
        <f t="shared" si="105"/>
        <v>-6563740.7481795708</v>
      </c>
      <c r="AV89">
        <f t="shared" si="93"/>
        <v>-1.8063460968746072</v>
      </c>
      <c r="AW89">
        <f t="shared" si="94"/>
        <v>-5139173.3144521331</v>
      </c>
      <c r="AX89">
        <f t="shared" si="95"/>
        <v>-4561968.6816226393</v>
      </c>
      <c r="AY89">
        <f t="shared" si="103"/>
        <v>-2.4156230562317371</v>
      </c>
      <c r="BA89">
        <f t="shared" si="80"/>
        <v>0.98228477618525545</v>
      </c>
      <c r="BB89">
        <f t="shared" si="96"/>
        <v>-0.15525173516904942</v>
      </c>
      <c r="BC89">
        <f t="shared" si="97"/>
        <v>0.60927695935712989</v>
      </c>
      <c r="BD89">
        <f t="shared" si="81"/>
        <v>-145.0910016343833</v>
      </c>
      <c r="BF89">
        <f t="shared" si="82"/>
        <v>20.86223248479353</v>
      </c>
      <c r="BG89">
        <f t="shared" si="83"/>
        <v>-113.30873385900883</v>
      </c>
      <c r="BH89">
        <f t="shared" si="98"/>
        <v>66.691266140991175</v>
      </c>
      <c r="BI89">
        <f t="shared" si="99"/>
        <v>66.691266140991175</v>
      </c>
      <c r="BJ89">
        <f t="shared" si="84"/>
        <v>0</v>
      </c>
      <c r="BK89">
        <f t="shared" si="100"/>
        <v>0</v>
      </c>
      <c r="BM89">
        <f t="shared" si="101"/>
        <v>21.017484219962576</v>
      </c>
      <c r="BN89">
        <f t="shared" si="85"/>
        <v>-148.21773222462551</v>
      </c>
      <c r="BQ89" s="75">
        <f t="shared" si="102"/>
        <v>16.746709065116086</v>
      </c>
      <c r="BR89" s="80"/>
      <c r="BS89" s="80"/>
      <c r="BT89" s="80">
        <v>616.59500000000003</v>
      </c>
      <c r="BU89" s="80">
        <v>18.983699999999999</v>
      </c>
      <c r="BV89" s="80">
        <v>-264.13310000000001</v>
      </c>
      <c r="BW89" s="84"/>
      <c r="BY89" s="80"/>
      <c r="BZ89" s="80"/>
      <c r="CA89" s="80"/>
      <c r="CC89" s="80"/>
    </row>
    <row r="90" spans="1:81">
      <c r="A90">
        <f t="shared" si="54"/>
        <v>28000</v>
      </c>
      <c r="B90">
        <f t="shared" si="86"/>
        <v>28</v>
      </c>
      <c r="C90">
        <f t="shared" si="55"/>
        <v>1.0005352485247774</v>
      </c>
      <c r="D90">
        <f t="shared" si="56"/>
        <v>3.2711156851603862E-2</v>
      </c>
      <c r="F90">
        <f t="shared" si="57"/>
        <v>1.1643873974852375</v>
      </c>
      <c r="G90">
        <f t="shared" si="58"/>
        <v>0.49375121405950789</v>
      </c>
      <c r="H90">
        <f t="shared" si="59"/>
        <v>-2.6478414359404923</v>
      </c>
      <c r="J90">
        <f t="shared" si="60"/>
        <v>9</v>
      </c>
      <c r="M90">
        <f t="shared" si="61"/>
        <v>0.15074003174180203</v>
      </c>
      <c r="N90">
        <f t="shared" si="62"/>
        <v>-1.5707963250000001</v>
      </c>
      <c r="O90">
        <f t="shared" si="63"/>
        <v>3.7371934612367022</v>
      </c>
      <c r="P90">
        <f t="shared" si="64"/>
        <v>1.2999152651815851</v>
      </c>
      <c r="Q90">
        <f t="shared" si="65"/>
        <v>1.7781270082470295</v>
      </c>
      <c r="R90">
        <f t="shared" si="66"/>
        <v>0.97352352449746093</v>
      </c>
      <c r="S90">
        <f t="shared" si="67"/>
        <v>0.99982203915414447</v>
      </c>
      <c r="T90">
        <f t="shared" si="68"/>
        <v>-1.886616677811593E-2</v>
      </c>
      <c r="U90">
        <f t="shared" si="69"/>
        <v>0.99956773567995383</v>
      </c>
      <c r="V90">
        <f t="shared" si="70"/>
        <v>-2.9403927142826539E-2</v>
      </c>
      <c r="X90">
        <f t="shared" si="87"/>
        <v>20.42088590828471</v>
      </c>
      <c r="Y90">
        <f t="shared" si="71"/>
        <v>-112.3431529226239</v>
      </c>
      <c r="Z90">
        <f t="shared" si="88"/>
        <v>67.656847077376099</v>
      </c>
      <c r="AC90">
        <v>1</v>
      </c>
      <c r="AD90">
        <f t="shared" si="72"/>
        <v>3.6009186281712005</v>
      </c>
      <c r="AE90">
        <f t="shared" si="73"/>
        <v>-3.5476374737921639E-6</v>
      </c>
      <c r="AF90">
        <f t="shared" si="74"/>
        <v>1.2061705156704E-4</v>
      </c>
      <c r="AG90">
        <f t="shared" si="89"/>
        <v>29584.699472745589</v>
      </c>
      <c r="AH90">
        <f t="shared" si="90"/>
        <v>-9160.8588847510291</v>
      </c>
      <c r="AJ90">
        <f t="shared" si="75"/>
        <v>55000</v>
      </c>
      <c r="AK90">
        <f t="shared" si="76"/>
        <v>1037.7623000745002</v>
      </c>
      <c r="AL90">
        <v>1</v>
      </c>
      <c r="AM90">
        <f t="shared" si="77"/>
        <v>1.4702842097559001</v>
      </c>
      <c r="AN90">
        <f t="shared" si="91"/>
        <v>17878.09344211084</v>
      </c>
      <c r="AO90">
        <f t="shared" si="92"/>
        <v>-25248.116188401575</v>
      </c>
      <c r="AQ90">
        <f t="shared" si="78"/>
        <v>14.455548630221104</v>
      </c>
      <c r="AR90">
        <f t="shared" si="79"/>
        <v>-213.30607558754261</v>
      </c>
      <c r="AT90">
        <f t="shared" si="104"/>
        <v>-1526403.7957787637</v>
      </c>
      <c r="AU90">
        <f t="shared" si="105"/>
        <v>-6443021.3830713145</v>
      </c>
      <c r="AV90">
        <f t="shared" si="93"/>
        <v>-1.8034157338474959</v>
      </c>
      <c r="AW90">
        <f t="shared" si="94"/>
        <v>-5024209.923147711</v>
      </c>
      <c r="AX90">
        <f t="shared" si="95"/>
        <v>-4382618.4860090818</v>
      </c>
      <c r="AY90">
        <f t="shared" si="103"/>
        <v>-2.4242938859877277</v>
      </c>
      <c r="BA90">
        <f t="shared" si="80"/>
        <v>0.99314187515161911</v>
      </c>
      <c r="BB90">
        <f t="shared" si="96"/>
        <v>-5.977411983630599E-2</v>
      </c>
      <c r="BC90">
        <f t="shared" si="97"/>
        <v>0.62087815214023179</v>
      </c>
      <c r="BD90">
        <f t="shared" si="81"/>
        <v>-144.42630224983441</v>
      </c>
      <c r="BF90">
        <f t="shared" si="82"/>
        <v>20.351673860644702</v>
      </c>
      <c r="BG90">
        <f t="shared" si="83"/>
        <v>-114.26223028970932</v>
      </c>
      <c r="BH90">
        <f t="shared" si="98"/>
        <v>65.737769710290678</v>
      </c>
      <c r="BI90">
        <f t="shared" si="99"/>
        <v>65.737769710290678</v>
      </c>
      <c r="BJ90">
        <f t="shared" si="84"/>
        <v>0</v>
      </c>
      <c r="BK90">
        <f t="shared" si="100"/>
        <v>0</v>
      </c>
      <c r="BM90">
        <f t="shared" si="101"/>
        <v>20.411447980481007</v>
      </c>
      <c r="BN90">
        <f t="shared" si="85"/>
        <v>-149.83592803987491</v>
      </c>
      <c r="BQ90" s="75">
        <f t="shared" si="102"/>
        <v>16.84218668044883</v>
      </c>
      <c r="BR90" s="80"/>
      <c r="BS90" s="80"/>
      <c r="BT90" s="80">
        <v>630.95699999999999</v>
      </c>
      <c r="BU90" s="80">
        <v>18.802900000000001</v>
      </c>
      <c r="BV90" s="80">
        <v>-263.74850000000004</v>
      </c>
      <c r="BW90" s="84"/>
      <c r="BY90" s="80"/>
      <c r="BZ90" s="80"/>
      <c r="CA90" s="80"/>
      <c r="CC90" s="80"/>
    </row>
    <row r="91" spans="1:81">
      <c r="A91">
        <f t="shared" si="54"/>
        <v>28500</v>
      </c>
      <c r="B91">
        <f t="shared" si="86"/>
        <v>28.5</v>
      </c>
      <c r="C91">
        <f t="shared" si="55"/>
        <v>1.0005545298776455</v>
      </c>
      <c r="D91">
        <f t="shared" si="56"/>
        <v>3.3294856840794508E-2</v>
      </c>
      <c r="F91">
        <f t="shared" si="57"/>
        <v>1.0889227540277879</v>
      </c>
      <c r="G91">
        <f t="shared" si="58"/>
        <v>0.46803236440671864</v>
      </c>
      <c r="H91">
        <f t="shared" si="59"/>
        <v>-2.6735602855932816</v>
      </c>
      <c r="J91">
        <f t="shared" si="60"/>
        <v>9</v>
      </c>
      <c r="M91">
        <f t="shared" si="61"/>
        <v>0.14809546978141955</v>
      </c>
      <c r="N91">
        <f t="shared" si="62"/>
        <v>-1.5707963250000001</v>
      </c>
      <c r="O91">
        <f t="shared" si="63"/>
        <v>3.7991897979443197</v>
      </c>
      <c r="P91">
        <f t="shared" si="64"/>
        <v>1.30444413872598</v>
      </c>
      <c r="Q91">
        <f t="shared" si="65"/>
        <v>1.7998971724348958</v>
      </c>
      <c r="R91">
        <f t="shared" si="66"/>
        <v>0.98172718471297149</v>
      </c>
      <c r="S91">
        <f t="shared" si="67"/>
        <v>0.99981562843524552</v>
      </c>
      <c r="T91">
        <f t="shared" si="68"/>
        <v>-1.9202980524486945E-2</v>
      </c>
      <c r="U91">
        <f t="shared" si="69"/>
        <v>0.99955217029059407</v>
      </c>
      <c r="V91">
        <f t="shared" si="70"/>
        <v>-2.9928686527799543E-2</v>
      </c>
      <c r="X91">
        <f t="shared" si="87"/>
        <v>19.933723822866771</v>
      </c>
      <c r="Y91">
        <f t="shared" si="71"/>
        <v>-113.10313497386362</v>
      </c>
      <c r="Z91">
        <f t="shared" si="88"/>
        <v>66.896865026136382</v>
      </c>
      <c r="AC91">
        <v>1</v>
      </c>
      <c r="AD91">
        <f t="shared" si="72"/>
        <v>3.6652207465314004</v>
      </c>
      <c r="AE91">
        <f t="shared" si="73"/>
        <v>-3.6754700740914354E-6</v>
      </c>
      <c r="AF91">
        <f t="shared" si="74"/>
        <v>1.2277092748788E-4</v>
      </c>
      <c r="AG91">
        <f t="shared" si="89"/>
        <v>29583.778086901522</v>
      </c>
      <c r="AH91">
        <f t="shared" si="90"/>
        <v>-9030.9189131638941</v>
      </c>
      <c r="AJ91">
        <f t="shared" si="75"/>
        <v>55000</v>
      </c>
      <c r="AK91">
        <f t="shared" si="76"/>
        <v>1056.2937697186878</v>
      </c>
      <c r="AL91">
        <v>1</v>
      </c>
      <c r="AM91">
        <f t="shared" si="77"/>
        <v>1.4965392849301127</v>
      </c>
      <c r="AN91">
        <f t="shared" si="91"/>
        <v>17465.200676776924</v>
      </c>
      <c r="AO91">
        <f t="shared" si="92"/>
        <v>-25081.065162265968</v>
      </c>
      <c r="AQ91">
        <f t="shared" si="78"/>
        <v>13.955004495485316</v>
      </c>
      <c r="AR91">
        <f t="shared" si="79"/>
        <v>-209.59719001994171</v>
      </c>
      <c r="AT91">
        <f t="shared" si="104"/>
        <v>-1480013.4713009472</v>
      </c>
      <c r="AU91">
        <f t="shared" si="105"/>
        <v>-6326703.2712196512</v>
      </c>
      <c r="AV91">
        <f t="shared" si="93"/>
        <v>-1.8005952092739381</v>
      </c>
      <c r="AW91">
        <f t="shared" si="94"/>
        <v>-4912065.558138622</v>
      </c>
      <c r="AX91">
        <f t="shared" si="95"/>
        <v>-4212450.3396049011</v>
      </c>
      <c r="AY91">
        <f t="shared" si="103"/>
        <v>-2.4327189923291246</v>
      </c>
      <c r="BA91">
        <f t="shared" si="80"/>
        <v>1.0041050508667062</v>
      </c>
      <c r="BB91">
        <f t="shared" si="96"/>
        <v>3.5583033571942098E-2</v>
      </c>
      <c r="BC91">
        <f t="shared" si="97"/>
        <v>0.63212378305518646</v>
      </c>
      <c r="BD91">
        <f t="shared" si="81"/>
        <v>-143.78197505970942</v>
      </c>
      <c r="BF91">
        <f t="shared" si="82"/>
        <v>19.865189930270017</v>
      </c>
      <c r="BG91">
        <f t="shared" si="83"/>
        <v>-115.0580410943838</v>
      </c>
      <c r="BH91">
        <f t="shared" si="98"/>
        <v>64.941958905616204</v>
      </c>
      <c r="BI91">
        <f t="shared" si="99"/>
        <v>64.941958905616204</v>
      </c>
      <c r="BJ91">
        <f t="shared" si="84"/>
        <v>0</v>
      </c>
      <c r="BK91">
        <f t="shared" si="100"/>
        <v>0</v>
      </c>
      <c r="BM91">
        <f t="shared" si="101"/>
        <v>19.829606896698074</v>
      </c>
      <c r="BN91">
        <f t="shared" si="85"/>
        <v>-151.27606603467439</v>
      </c>
      <c r="BQ91" s="75">
        <f t="shared" si="102"/>
        <v>16.937543833857077</v>
      </c>
      <c r="BR91" s="80"/>
      <c r="BS91" s="80"/>
      <c r="BT91" s="80">
        <v>645.654</v>
      </c>
      <c r="BU91" s="80">
        <v>18.598600000000001</v>
      </c>
      <c r="BV91" s="80">
        <v>-263.7636</v>
      </c>
      <c r="BW91" s="84"/>
      <c r="BY91" s="80"/>
      <c r="BZ91" s="80"/>
      <c r="CA91" s="80"/>
      <c r="CC91" s="80"/>
    </row>
    <row r="92" spans="1:81">
      <c r="A92">
        <f t="shared" si="54"/>
        <v>29000</v>
      </c>
      <c r="B92">
        <f t="shared" si="86"/>
        <v>29</v>
      </c>
      <c r="C92">
        <f t="shared" si="55"/>
        <v>1.0005741521119165</v>
      </c>
      <c r="D92">
        <f t="shared" si="56"/>
        <v>3.3878534134989563E-2</v>
      </c>
      <c r="F92">
        <f t="shared" si="57"/>
        <v>1.0210313205411345</v>
      </c>
      <c r="G92">
        <f t="shared" si="58"/>
        <v>0.44496405108315318</v>
      </c>
      <c r="H92">
        <f t="shared" si="59"/>
        <v>-2.6966285989168473</v>
      </c>
      <c r="J92">
        <f t="shared" si="60"/>
        <v>9</v>
      </c>
      <c r="M92">
        <f t="shared" si="61"/>
        <v>0.14554209961277437</v>
      </c>
      <c r="N92">
        <f t="shared" si="62"/>
        <v>-1.5707963250000001</v>
      </c>
      <c r="O92">
        <f t="shared" si="63"/>
        <v>3.8612615554698251</v>
      </c>
      <c r="P92">
        <f t="shared" si="64"/>
        <v>1.308827491859484</v>
      </c>
      <c r="Q92">
        <f t="shared" si="65"/>
        <v>1.8217855700289047</v>
      </c>
      <c r="R92">
        <f t="shared" si="66"/>
        <v>0.98973424234217544</v>
      </c>
      <c r="S92">
        <f t="shared" si="67"/>
        <v>0.99980910437890091</v>
      </c>
      <c r="T92">
        <f t="shared" si="68"/>
        <v>-1.9539789913472248E-2</v>
      </c>
      <c r="U92">
        <f t="shared" si="69"/>
        <v>0.99953633015417132</v>
      </c>
      <c r="V92">
        <f t="shared" si="70"/>
        <v>-3.0453429425299695E-2</v>
      </c>
      <c r="X92">
        <f t="shared" si="87"/>
        <v>19.469232785624598</v>
      </c>
      <c r="Y92">
        <f t="shared" si="71"/>
        <v>-113.73085478966047</v>
      </c>
      <c r="Z92">
        <f t="shared" si="88"/>
        <v>66.269145210339531</v>
      </c>
      <c r="AC92">
        <v>1</v>
      </c>
      <c r="AD92">
        <f t="shared" si="72"/>
        <v>3.7295228648916003</v>
      </c>
      <c r="AE92">
        <f t="shared" si="73"/>
        <v>-3.8055651982898091E-6</v>
      </c>
      <c r="AF92">
        <f t="shared" si="74"/>
        <v>1.2492480340872003E-4</v>
      </c>
      <c r="AG92">
        <f t="shared" si="89"/>
        <v>29582.840452265453</v>
      </c>
      <c r="AH92">
        <f t="shared" si="90"/>
        <v>-8905.9930272745241</v>
      </c>
      <c r="AJ92">
        <f t="shared" si="75"/>
        <v>55000</v>
      </c>
      <c r="AK92">
        <f t="shared" si="76"/>
        <v>1074.825239362875</v>
      </c>
      <c r="AL92">
        <v>1</v>
      </c>
      <c r="AM92">
        <f t="shared" si="77"/>
        <v>1.522794360104325</v>
      </c>
      <c r="AN92">
        <f t="shared" si="91"/>
        <v>17064.898721247806</v>
      </c>
      <c r="AO92">
        <f t="shared" si="92"/>
        <v>-24911.506289104789</v>
      </c>
      <c r="AQ92">
        <f t="shared" si="78"/>
        <v>13.479979538226633</v>
      </c>
      <c r="AR92">
        <f t="shared" si="79"/>
        <v>-206.01452728271761</v>
      </c>
      <c r="AT92">
        <f t="shared" si="104"/>
        <v>-1435987.8595179787</v>
      </c>
      <c r="AU92">
        <f t="shared" si="105"/>
        <v>-6214547.495228773</v>
      </c>
      <c r="AV92">
        <f t="shared" si="93"/>
        <v>-1.7978795522575721</v>
      </c>
      <c r="AW92">
        <f t="shared" si="94"/>
        <v>-4802715.3060620818</v>
      </c>
      <c r="AX92">
        <f t="shared" si="95"/>
        <v>-4050905.9211131879</v>
      </c>
      <c r="AY92">
        <f t="shared" si="103"/>
        <v>-2.4409067379133065</v>
      </c>
      <c r="BA92">
        <f t="shared" si="80"/>
        <v>1.0151695615525489</v>
      </c>
      <c r="BB92">
        <f t="shared" si="96"/>
        <v>0.13077175131641589</v>
      </c>
      <c r="BC92">
        <f t="shared" si="97"/>
        <v>0.64302718565573436</v>
      </c>
      <c r="BD92">
        <f t="shared" si="81"/>
        <v>-143.15725610765222</v>
      </c>
      <c r="BF92">
        <f t="shared" si="82"/>
        <v>19.401388819813757</v>
      </c>
      <c r="BG92">
        <f t="shared" si="83"/>
        <v>-115.72159689216937</v>
      </c>
      <c r="BH92">
        <f t="shared" si="98"/>
        <v>64.278403107830627</v>
      </c>
      <c r="BI92">
        <f t="shared" si="99"/>
        <v>64.278403107830627</v>
      </c>
      <c r="BJ92">
        <f t="shared" si="84"/>
        <v>0</v>
      </c>
      <c r="BK92">
        <f t="shared" si="100"/>
        <v>0</v>
      </c>
      <c r="BM92">
        <f t="shared" si="101"/>
        <v>19.270617068497341</v>
      </c>
      <c r="BN92">
        <f t="shared" si="85"/>
        <v>-152.56434078451716</v>
      </c>
      <c r="BQ92" s="75">
        <f t="shared" si="102"/>
        <v>17.032732551601551</v>
      </c>
      <c r="BR92" s="82"/>
      <c r="BS92" s="82"/>
      <c r="BT92" s="82">
        <v>660.69299999999998</v>
      </c>
      <c r="BU92" s="82">
        <v>18.468</v>
      </c>
      <c r="BV92" s="82">
        <v>-263.60980000000001</v>
      </c>
      <c r="BW92" s="84"/>
      <c r="BY92" s="82"/>
      <c r="BZ92" s="82"/>
      <c r="CA92" s="82"/>
      <c r="CC92" s="82"/>
    </row>
    <row r="93" spans="1:81">
      <c r="A93">
        <f t="shared" si="54"/>
        <v>29500</v>
      </c>
      <c r="B93">
        <f t="shared" si="86"/>
        <v>29.5</v>
      </c>
      <c r="C93">
        <f t="shared" si="55"/>
        <v>1.0005941152075353</v>
      </c>
      <c r="D93">
        <f t="shared" si="56"/>
        <v>3.4462188337842668E-2</v>
      </c>
      <c r="F93">
        <f t="shared" si="57"/>
        <v>0.95974227369080756</v>
      </c>
      <c r="G93">
        <f t="shared" si="58"/>
        <v>0.4241696036605675</v>
      </c>
      <c r="H93">
        <f t="shared" si="59"/>
        <v>-2.7174230463394329</v>
      </c>
      <c r="J93">
        <f t="shared" si="60"/>
        <v>9</v>
      </c>
      <c r="M93">
        <f t="shared" si="61"/>
        <v>0.14307528436510022</v>
      </c>
      <c r="N93">
        <f t="shared" si="62"/>
        <v>-1.5707963250000001</v>
      </c>
      <c r="O93">
        <f t="shared" si="63"/>
        <v>3.9234051541416832</v>
      </c>
      <c r="P93">
        <f t="shared" si="64"/>
        <v>1.3130720667957936</v>
      </c>
      <c r="Q93">
        <f t="shared" si="65"/>
        <v>1.843787990235525</v>
      </c>
      <c r="R93">
        <f t="shared" si="66"/>
        <v>0.99755069044682954</v>
      </c>
      <c r="S93">
        <f t="shared" si="67"/>
        <v>0.99980246699176945</v>
      </c>
      <c r="T93">
        <f t="shared" si="68"/>
        <v>-1.9876594868742194E-2</v>
      </c>
      <c r="U93">
        <f t="shared" si="69"/>
        <v>0.99952021530991608</v>
      </c>
      <c r="V93">
        <f t="shared" si="70"/>
        <v>-3.0978155547136517E-2</v>
      </c>
      <c r="X93">
        <f t="shared" si="87"/>
        <v>19.02599244724566</v>
      </c>
      <c r="Y93">
        <f t="shared" si="71"/>
        <v>-114.24716432013302</v>
      </c>
      <c r="Z93">
        <f t="shared" si="88"/>
        <v>65.752835679866976</v>
      </c>
      <c r="AC93">
        <v>1</v>
      </c>
      <c r="AD93">
        <f t="shared" si="72"/>
        <v>3.7938249832518007</v>
      </c>
      <c r="AE93">
        <f t="shared" si="73"/>
        <v>-3.9379228463872839E-6</v>
      </c>
      <c r="AF93">
        <f t="shared" si="74"/>
        <v>1.2707867932956E-4</v>
      </c>
      <c r="AG93">
        <f t="shared" si="89"/>
        <v>29581.886571932784</v>
      </c>
      <c r="AH93">
        <f t="shared" si="90"/>
        <v>-8785.8261736840559</v>
      </c>
      <c r="AJ93">
        <f t="shared" si="75"/>
        <v>55000</v>
      </c>
      <c r="AK93">
        <f t="shared" si="76"/>
        <v>1093.3567090070626</v>
      </c>
      <c r="AL93">
        <v>1</v>
      </c>
      <c r="AM93">
        <f t="shared" si="77"/>
        <v>1.5490494352785378</v>
      </c>
      <c r="AN93">
        <f t="shared" si="91"/>
        <v>16676.793791818171</v>
      </c>
      <c r="AO93">
        <f t="shared" si="92"/>
        <v>-24739.821296465503</v>
      </c>
      <c r="AQ93">
        <f t="shared" si="78"/>
        <v>13.028770387678305</v>
      </c>
      <c r="AR93">
        <f t="shared" si="79"/>
        <v>-202.55177883204078</v>
      </c>
      <c r="AT93">
        <f t="shared" si="104"/>
        <v>-1394169.1122087517</v>
      </c>
      <c r="AU93">
        <f t="shared" si="105"/>
        <v>-6106332.2582356306</v>
      </c>
      <c r="AV93">
        <f t="shared" si="93"/>
        <v>-1.7952640749009467</v>
      </c>
      <c r="AW93">
        <f t="shared" si="94"/>
        <v>-4696127.0078921234</v>
      </c>
      <c r="AX93">
        <f t="shared" si="95"/>
        <v>-3897465.5733693512</v>
      </c>
      <c r="AY93">
        <f t="shared" si="103"/>
        <v>-2.4488651463021021</v>
      </c>
      <c r="BA93">
        <f t="shared" si="80"/>
        <v>1.0263309603785511</v>
      </c>
      <c r="BB93">
        <f t="shared" si="96"/>
        <v>0.22574860126033783</v>
      </c>
      <c r="BC93">
        <f t="shared" si="97"/>
        <v>0.65360107140115531</v>
      </c>
      <c r="BD93">
        <f t="shared" si="81"/>
        <v>-142.5514170806938</v>
      </c>
      <c r="BF93">
        <f t="shared" si="82"/>
        <v>18.958850168021371</v>
      </c>
      <c r="BG93">
        <f t="shared" si="83"/>
        <v>-116.27375101863643</v>
      </c>
      <c r="BH93">
        <f t="shared" si="98"/>
        <v>63.726248981363568</v>
      </c>
      <c r="BI93">
        <f t="shared" si="99"/>
        <v>63.726248981363568</v>
      </c>
      <c r="BJ93">
        <f t="shared" si="84"/>
        <v>0</v>
      </c>
      <c r="BK93">
        <f t="shared" si="100"/>
        <v>0</v>
      </c>
      <c r="BM93">
        <f t="shared" si="101"/>
        <v>18.733101566761036</v>
      </c>
      <c r="BN93">
        <f t="shared" si="85"/>
        <v>-153.72233393794266</v>
      </c>
      <c r="BQ93" s="75">
        <f t="shared" si="102"/>
        <v>17.127709401545474</v>
      </c>
      <c r="BR93" s="82"/>
      <c r="BS93" s="82"/>
      <c r="BT93" s="82">
        <v>676.08299999999997</v>
      </c>
      <c r="BU93" s="82">
        <v>18.2744</v>
      </c>
      <c r="BV93" s="82">
        <v>-263.3252</v>
      </c>
      <c r="BW93" s="84"/>
      <c r="BY93" s="82"/>
      <c r="BZ93" s="82"/>
      <c r="CA93" s="82"/>
      <c r="CC93" s="82"/>
    </row>
    <row r="94" spans="1:81">
      <c r="A94">
        <f t="shared" si="54"/>
        <v>30000</v>
      </c>
      <c r="B94">
        <f t="shared" si="86"/>
        <v>30</v>
      </c>
      <c r="C94">
        <f t="shared" si="55"/>
        <v>1.0006144191441013</v>
      </c>
      <c r="D94">
        <f t="shared" si="56"/>
        <v>3.5045819053101772E-2</v>
      </c>
      <c r="F94">
        <f t="shared" si="57"/>
        <v>0.90422423085212245</v>
      </c>
      <c r="G94">
        <f t="shared" si="58"/>
        <v>0.40533711619645679</v>
      </c>
      <c r="H94">
        <f t="shared" si="59"/>
        <v>-2.7362555338035435</v>
      </c>
      <c r="J94">
        <f t="shared" si="60"/>
        <v>9</v>
      </c>
      <c r="M94">
        <f t="shared" si="61"/>
        <v>0.14069069629234857</v>
      </c>
      <c r="N94">
        <f t="shared" si="62"/>
        <v>-1.5707963250000001</v>
      </c>
      <c r="O94">
        <f t="shared" si="63"/>
        <v>3.9856172335277025</v>
      </c>
      <c r="P94">
        <f t="shared" si="64"/>
        <v>1.3171842055280072</v>
      </c>
      <c r="Q94">
        <f t="shared" si="65"/>
        <v>1.8659003994460097</v>
      </c>
      <c r="R94">
        <f t="shared" si="66"/>
        <v>1.0051823333762129</v>
      </c>
      <c r="S94">
        <f t="shared" si="67"/>
        <v>0.9997957162806258</v>
      </c>
      <c r="T94">
        <f t="shared" si="68"/>
        <v>-2.0213395313973179E-2</v>
      </c>
      <c r="U94">
        <f t="shared" si="69"/>
        <v>0.99950382579773711</v>
      </c>
      <c r="V94">
        <f t="shared" si="70"/>
        <v>-3.1502864605174916E-2</v>
      </c>
      <c r="X94">
        <f t="shared" si="87"/>
        <v>18.602611286813321</v>
      </c>
      <c r="Y94">
        <f t="shared" si="71"/>
        <v>-114.66923852707848</v>
      </c>
      <c r="Z94">
        <f t="shared" si="88"/>
        <v>65.330761472921523</v>
      </c>
      <c r="AC94">
        <v>1</v>
      </c>
      <c r="AD94">
        <f t="shared" si="72"/>
        <v>3.8581271016120002</v>
      </c>
      <c r="AE94">
        <f t="shared" si="73"/>
        <v>-4.0725430183838613E-6</v>
      </c>
      <c r="AF94">
        <f t="shared" si="74"/>
        <v>1.2923255525040001E-4</v>
      </c>
      <c r="AG94">
        <f t="shared" si="89"/>
        <v>29580.916449052154</v>
      </c>
      <c r="AH94">
        <f t="shared" si="90"/>
        <v>-8670.1803008612696</v>
      </c>
      <c r="AJ94">
        <f t="shared" si="75"/>
        <v>55000</v>
      </c>
      <c r="AK94">
        <f t="shared" si="76"/>
        <v>1111.8881786512502</v>
      </c>
      <c r="AL94">
        <v>1</v>
      </c>
      <c r="AM94">
        <f t="shared" si="77"/>
        <v>1.5753045104527499</v>
      </c>
      <c r="AN94">
        <f t="shared" si="91"/>
        <v>16300.499302087213</v>
      </c>
      <c r="AO94">
        <f t="shared" si="92"/>
        <v>-24566.361894558639</v>
      </c>
      <c r="AQ94">
        <f t="shared" si="78"/>
        <v>12.599813274114476</v>
      </c>
      <c r="AR94">
        <f t="shared" si="79"/>
        <v>-199.20304786374987</v>
      </c>
      <c r="AT94">
        <f t="shared" si="104"/>
        <v>-1354412.3177245702</v>
      </c>
      <c r="AU94">
        <f t="shared" si="105"/>
        <v>-6001851.3680978799</v>
      </c>
      <c r="AV94">
        <f t="shared" si="93"/>
        <v>-1.7927443534957375</v>
      </c>
      <c r="AW94">
        <f t="shared" si="94"/>
        <v>-4592262.474906764</v>
      </c>
      <c r="AX94">
        <f t="shared" si="95"/>
        <v>-3751645.3231621273</v>
      </c>
      <c r="AY94">
        <f t="shared" si="103"/>
        <v>-2.4566019174020441</v>
      </c>
      <c r="BA94">
        <f t="shared" si="80"/>
        <v>1.0375850722839119</v>
      </c>
      <c r="BB94">
        <f t="shared" si="96"/>
        <v>0.32047429869549626</v>
      </c>
      <c r="BC94">
        <f t="shared" si="97"/>
        <v>0.66385756390630668</v>
      </c>
      <c r="BD94">
        <f t="shared" si="81"/>
        <v>-141.96376334686957</v>
      </c>
      <c r="BF94">
        <f t="shared" si="82"/>
        <v>18.536182441804371</v>
      </c>
      <c r="BG94">
        <f t="shared" si="83"/>
        <v>-116.73167975865499</v>
      </c>
      <c r="BH94">
        <f t="shared" si="98"/>
        <v>63.268320241345009</v>
      </c>
      <c r="BI94">
        <f t="shared" si="99"/>
        <v>63.268320241345009</v>
      </c>
      <c r="BJ94">
        <f t="shared" si="84"/>
        <v>0</v>
      </c>
      <c r="BK94">
        <f t="shared" si="100"/>
        <v>0</v>
      </c>
      <c r="BM94">
        <f t="shared" si="101"/>
        <v>18.215708143108873</v>
      </c>
      <c r="BN94">
        <f t="shared" si="85"/>
        <v>-154.76791641178545</v>
      </c>
      <c r="BQ94" s="75">
        <f t="shared" si="102"/>
        <v>17.222435098980633</v>
      </c>
      <c r="BR94" s="80"/>
      <c r="BS94" s="80"/>
      <c r="BT94" s="80">
        <v>691.83100000000002</v>
      </c>
      <c r="BU94" s="80">
        <v>18.092600000000001</v>
      </c>
      <c r="BV94" s="80">
        <v>-263.57819999999998</v>
      </c>
      <c r="BW94" s="84"/>
      <c r="BY94" s="80"/>
      <c r="BZ94" s="80"/>
      <c r="CA94" s="80"/>
      <c r="CC94" s="80"/>
    </row>
    <row r="95" spans="1:81">
      <c r="A95">
        <f t="shared" si="54"/>
        <v>30500</v>
      </c>
      <c r="B95">
        <f t="shared" si="86"/>
        <v>30.5</v>
      </c>
      <c r="C95">
        <f t="shared" si="55"/>
        <v>1.0006350639008659</v>
      </c>
      <c r="D95">
        <f t="shared" si="56"/>
        <v>3.5629425884610683E-2</v>
      </c>
      <c r="F95">
        <f t="shared" si="57"/>
        <v>0.85376601900339388</v>
      </c>
      <c r="G95">
        <f t="shared" si="58"/>
        <v>0.38820690664759055</v>
      </c>
      <c r="H95">
        <f t="shared" si="59"/>
        <v>-2.7533857433524096</v>
      </c>
      <c r="J95">
        <f t="shared" si="60"/>
        <v>9</v>
      </c>
      <c r="M95">
        <f t="shared" si="61"/>
        <v>0.13838429143509695</v>
      </c>
      <c r="N95">
        <f t="shared" si="62"/>
        <v>-1.5707963250000001</v>
      </c>
      <c r="O95">
        <f t="shared" si="63"/>
        <v>4.0478946361895005</v>
      </c>
      <c r="P95">
        <f t="shared" si="64"/>
        <v>1.3211698783265386</v>
      </c>
      <c r="Q95">
        <f t="shared" si="65"/>
        <v>1.8881189333073296</v>
      </c>
      <c r="R95">
        <f t="shared" si="66"/>
        <v>1.0126347904179849</v>
      </c>
      <c r="S95">
        <f t="shared" si="67"/>
        <v>0.99978885225236014</v>
      </c>
      <c r="T95">
        <f t="shared" si="68"/>
        <v>-2.0550191172847742E-2</v>
      </c>
      <c r="U95">
        <f t="shared" si="69"/>
        <v>0.99948716165821849</v>
      </c>
      <c r="V95">
        <f t="shared" si="70"/>
        <v>-3.2027556311336101E-2</v>
      </c>
      <c r="X95">
        <f t="shared" si="87"/>
        <v>18.197758863539796</v>
      </c>
      <c r="Y95">
        <f t="shared" si="71"/>
        <v>-115.01129206466111</v>
      </c>
      <c r="Z95">
        <f t="shared" si="88"/>
        <v>64.988707935338894</v>
      </c>
      <c r="AC95">
        <v>1</v>
      </c>
      <c r="AD95">
        <f t="shared" si="72"/>
        <v>3.9224292199722002</v>
      </c>
      <c r="AE95">
        <f t="shared" si="73"/>
        <v>-4.209425714279541E-6</v>
      </c>
      <c r="AF95">
        <f t="shared" si="74"/>
        <v>1.3138643117124001E-4</v>
      </c>
      <c r="AG95">
        <f t="shared" si="89"/>
        <v>29579.93008682557</v>
      </c>
      <c r="AH95">
        <f t="shared" si="90"/>
        <v>-8558.8329655477119</v>
      </c>
      <c r="AJ95">
        <f t="shared" si="75"/>
        <v>55000</v>
      </c>
      <c r="AK95">
        <f t="shared" si="76"/>
        <v>1130.4196482954376</v>
      </c>
      <c r="AL95">
        <v>1</v>
      </c>
      <c r="AM95">
        <f t="shared" si="77"/>
        <v>1.6015595856269629</v>
      </c>
      <c r="AN95">
        <f t="shared" si="91"/>
        <v>15935.636543839943</v>
      </c>
      <c r="AO95">
        <f t="shared" si="92"/>
        <v>-24391.451811558749</v>
      </c>
      <c r="AQ95">
        <f t="shared" si="78"/>
        <v>12.191670538680377</v>
      </c>
      <c r="AR95">
        <f t="shared" si="79"/>
        <v>-195.96281640347902</v>
      </c>
      <c r="AT95">
        <f t="shared" si="104"/>
        <v>-1316584.2508798935</v>
      </c>
      <c r="AU95">
        <f t="shared" si="105"/>
        <v>-5900912.8805438988</v>
      </c>
      <c r="AV95">
        <f t="shared" si="93"/>
        <v>-1.7903162110850719</v>
      </c>
      <c r="AW95">
        <f t="shared" si="94"/>
        <v>-4491078.5469947765</v>
      </c>
      <c r="AX95">
        <f t="shared" si="95"/>
        <v>-3612994.1544363522</v>
      </c>
      <c r="AY95">
        <f t="shared" si="103"/>
        <v>-2.4641244420862378</v>
      </c>
      <c r="BA95">
        <f t="shared" si="80"/>
        <v>1.0489279730352417</v>
      </c>
      <c r="BB95">
        <f t="shared" si="96"/>
        <v>0.41491334847926326</v>
      </c>
      <c r="BC95">
        <f t="shared" si="97"/>
        <v>0.67380823100116594</v>
      </c>
      <c r="BD95">
        <f t="shared" si="81"/>
        <v>-141.39363211834296</v>
      </c>
      <c r="BF95">
        <f t="shared" si="82"/>
        <v>18.132055187974196</v>
      </c>
      <c r="BG95">
        <f t="shared" si="83"/>
        <v>-117.10959903219593</v>
      </c>
      <c r="BH95">
        <f t="shared" si="98"/>
        <v>62.890400967804069</v>
      </c>
      <c r="BI95">
        <f t="shared" si="99"/>
        <v>62.890400967804069</v>
      </c>
      <c r="BJ95">
        <f t="shared" si="84"/>
        <v>0</v>
      </c>
      <c r="BK95">
        <f t="shared" si="100"/>
        <v>0</v>
      </c>
      <c r="BM95">
        <f t="shared" si="101"/>
        <v>17.717141839494932</v>
      </c>
      <c r="BN95">
        <f t="shared" si="85"/>
        <v>-155.71596691385298</v>
      </c>
      <c r="BQ95" s="75">
        <f t="shared" si="102"/>
        <v>17.316874148764402</v>
      </c>
      <c r="BR95" s="80"/>
      <c r="BS95" s="80"/>
      <c r="BT95" s="80">
        <v>707.94600000000003</v>
      </c>
      <c r="BU95" s="80">
        <v>17.887</v>
      </c>
      <c r="BV95" s="80">
        <v>-262.84989999999999</v>
      </c>
      <c r="BW95" s="84"/>
      <c r="BY95" s="80"/>
      <c r="BZ95" s="80"/>
      <c r="CA95" s="80"/>
      <c r="CC95" s="80"/>
    </row>
    <row r="96" spans="1:81">
      <c r="A96">
        <f t="shared" si="54"/>
        <v>31000</v>
      </c>
      <c r="B96">
        <f t="shared" si="86"/>
        <v>31</v>
      </c>
      <c r="C96">
        <f t="shared" si="55"/>
        <v>1.0006560494567345</v>
      </c>
      <c r="D96">
        <f t="shared" si="56"/>
        <v>3.6213008436310742E-2</v>
      </c>
      <c r="F96">
        <f t="shared" si="57"/>
        <v>0.8077589171752203</v>
      </c>
      <c r="G96">
        <f t="shared" si="58"/>
        <v>0.37256156315357347</v>
      </c>
      <c r="H96">
        <f t="shared" si="59"/>
        <v>-2.769031086846427</v>
      </c>
      <c r="J96">
        <f t="shared" si="60"/>
        <v>9</v>
      </c>
      <c r="M96">
        <f t="shared" si="61"/>
        <v>0.13615228673453086</v>
      </c>
      <c r="N96">
        <f t="shared" si="62"/>
        <v>-1.5707963250000001</v>
      </c>
      <c r="O96">
        <f t="shared" si="63"/>
        <v>4.1102343928347507</v>
      </c>
      <c r="P96">
        <f t="shared" si="64"/>
        <v>1.3250347099062347</v>
      </c>
      <c r="Q96">
        <f t="shared" si="65"/>
        <v>1.9104398891143486</v>
      </c>
      <c r="R96">
        <f t="shared" si="66"/>
        <v>1.0199134997447854</v>
      </c>
      <c r="S96">
        <f t="shared" si="67"/>
        <v>0.99978187491397752</v>
      </c>
      <c r="T96">
        <f t="shared" si="68"/>
        <v>-2.0886982369054653E-2</v>
      </c>
      <c r="U96">
        <f t="shared" si="69"/>
        <v>0.99947022293262167</v>
      </c>
      <c r="V96">
        <f t="shared" si="70"/>
        <v>-3.2552230377598586E-2</v>
      </c>
      <c r="X96">
        <f t="shared" si="87"/>
        <v>17.810182418245464</v>
      </c>
      <c r="Y96">
        <f t="shared" si="71"/>
        <v>-115.28514785996678</v>
      </c>
      <c r="Z96">
        <f t="shared" si="88"/>
        <v>64.714852140033216</v>
      </c>
      <c r="AC96">
        <v>1</v>
      </c>
      <c r="AD96">
        <f t="shared" si="72"/>
        <v>3.9867313383324006</v>
      </c>
      <c r="AE96">
        <f t="shared" si="73"/>
        <v>-4.3485709340743237E-6</v>
      </c>
      <c r="AF96">
        <f t="shared" si="74"/>
        <v>1.3354030709208001E-4</v>
      </c>
      <c r="AG96">
        <f t="shared" si="89"/>
        <v>29578.927488508329</v>
      </c>
      <c r="AH96">
        <f t="shared" si="90"/>
        <v>-8451.5760740268342</v>
      </c>
      <c r="AJ96">
        <f t="shared" si="75"/>
        <v>55000</v>
      </c>
      <c r="AK96">
        <f t="shared" si="76"/>
        <v>1148.9511179396252</v>
      </c>
      <c r="AL96">
        <v>1</v>
      </c>
      <c r="AM96">
        <f t="shared" si="77"/>
        <v>1.6278146608011752</v>
      </c>
      <c r="AN96">
        <f t="shared" si="91"/>
        <v>15581.835232243655</v>
      </c>
      <c r="AO96">
        <f t="shared" si="92"/>
        <v>-24215.388715294885</v>
      </c>
      <c r="AQ96">
        <f t="shared" si="78"/>
        <v>11.803018638067599</v>
      </c>
      <c r="AR96">
        <f t="shared" si="79"/>
        <v>-192.82591549011033</v>
      </c>
      <c r="AT96">
        <f t="shared" si="104"/>
        <v>-1280562.2613676228</v>
      </c>
      <c r="AU96">
        <f t="shared" si="105"/>
        <v>-5803337.8821099941</v>
      </c>
      <c r="AV96">
        <f t="shared" si="93"/>
        <v>-1.7879757012961506</v>
      </c>
      <c r="AW96">
        <f t="shared" si="94"/>
        <v>-4392528.012875665</v>
      </c>
      <c r="AX96">
        <f t="shared" si="95"/>
        <v>-3481091.5109925028</v>
      </c>
      <c r="AY96">
        <f t="shared" si="103"/>
        <v>-2.4714398160600961</v>
      </c>
      <c r="BA96">
        <f t="shared" si="80"/>
        <v>1.0603559702635184</v>
      </c>
      <c r="BB96">
        <f t="shared" si="96"/>
        <v>0.50903371979916112</v>
      </c>
      <c r="BC96">
        <f t="shared" si="97"/>
        <v>0.68346411476394553</v>
      </c>
      <c r="BD96">
        <f t="shared" si="81"/>
        <v>-140.84039073063462</v>
      </c>
      <c r="BF96">
        <f t="shared" si="82"/>
        <v>17.745215634722133</v>
      </c>
      <c r="BG96">
        <f t="shared" si="83"/>
        <v>-117.41933297950347</v>
      </c>
      <c r="BH96">
        <f t="shared" si="98"/>
        <v>62.580667020496534</v>
      </c>
      <c r="BI96">
        <f t="shared" si="99"/>
        <v>62.580667020496534</v>
      </c>
      <c r="BJ96">
        <f t="shared" si="84"/>
        <v>0</v>
      </c>
      <c r="BK96">
        <f t="shared" si="100"/>
        <v>0</v>
      </c>
      <c r="BM96">
        <f t="shared" si="101"/>
        <v>17.23618191492297</v>
      </c>
      <c r="BN96">
        <f t="shared" si="85"/>
        <v>-156.57894224886886</v>
      </c>
      <c r="BQ96" s="75">
        <f t="shared" si="102"/>
        <v>17.410994520084298</v>
      </c>
      <c r="BR96" s="80"/>
      <c r="BS96" s="80"/>
      <c r="BT96" s="80">
        <v>724.43600000000004</v>
      </c>
      <c r="BU96" s="80">
        <v>17.753599999999999</v>
      </c>
      <c r="BV96" s="80">
        <v>-262.81690000000003</v>
      </c>
      <c r="BW96" s="84"/>
      <c r="BY96" s="80"/>
      <c r="BZ96" s="80"/>
      <c r="CA96" s="80"/>
      <c r="CC96" s="80"/>
    </row>
    <row r="97" spans="1:81">
      <c r="A97">
        <f t="shared" si="54"/>
        <v>31500</v>
      </c>
      <c r="B97">
        <f t="shared" si="86"/>
        <v>31.5</v>
      </c>
      <c r="C97">
        <f t="shared" si="55"/>
        <v>1.0006773757902661</v>
      </c>
      <c r="D97">
        <f t="shared" si="56"/>
        <v>3.6796566312242387E-2</v>
      </c>
      <c r="F97">
        <f t="shared" si="57"/>
        <v>0.76568098861635026</v>
      </c>
      <c r="G97">
        <f t="shared" si="58"/>
        <v>0.35821804410122854</v>
      </c>
      <c r="H97">
        <f t="shared" si="59"/>
        <v>-2.7833746058987718</v>
      </c>
      <c r="J97">
        <f t="shared" si="60"/>
        <v>9</v>
      </c>
      <c r="M97">
        <f t="shared" si="61"/>
        <v>0.13399113932604625</v>
      </c>
      <c r="N97">
        <f t="shared" si="62"/>
        <v>-1.5707963250000001</v>
      </c>
      <c r="O97">
        <f t="shared" si="63"/>
        <v>4.1726337087315484</v>
      </c>
      <c r="P97">
        <f t="shared" si="64"/>
        <v>1.3287840034746348</v>
      </c>
      <c r="Q97">
        <f t="shared" si="65"/>
        <v>1.9328597185180534</v>
      </c>
      <c r="R97">
        <f t="shared" si="66"/>
        <v>1.027023722595056</v>
      </c>
      <c r="S97">
        <f t="shared" si="67"/>
        <v>0.99977478427259914</v>
      </c>
      <c r="T97">
        <f t="shared" si="68"/>
        <v>-2.1223768826289031E-2</v>
      </c>
      <c r="U97">
        <f t="shared" si="69"/>
        <v>0.99945300966288364</v>
      </c>
      <c r="V97">
        <f t="shared" si="70"/>
        <v>-3.3076886515999063E-2</v>
      </c>
      <c r="X97">
        <f t="shared" si="87"/>
        <v>17.438713819682928</v>
      </c>
      <c r="Y97">
        <f t="shared" si="71"/>
        <v>-115.50068812856526</v>
      </c>
      <c r="Z97">
        <f t="shared" si="88"/>
        <v>64.499311871434742</v>
      </c>
      <c r="AC97">
        <v>1</v>
      </c>
      <c r="AD97">
        <f t="shared" si="72"/>
        <v>4.0510334566926005</v>
      </c>
      <c r="AE97">
        <f t="shared" si="73"/>
        <v>-4.4899786777682079E-6</v>
      </c>
      <c r="AF97">
        <f t="shared" si="74"/>
        <v>1.3569418301292001E-4</v>
      </c>
      <c r="AG97">
        <f t="shared" si="89"/>
        <v>29577.908657408931</v>
      </c>
      <c r="AH97">
        <f t="shared" si="90"/>
        <v>-8348.2147432722504</v>
      </c>
      <c r="AJ97">
        <f t="shared" si="75"/>
        <v>55000</v>
      </c>
      <c r="AK97">
        <f t="shared" si="76"/>
        <v>1167.4825875838126</v>
      </c>
      <c r="AL97">
        <v>1</v>
      </c>
      <c r="AM97">
        <f t="shared" si="77"/>
        <v>1.6540697359753878</v>
      </c>
      <c r="AN97">
        <f t="shared" si="91"/>
        <v>15238.733931988847</v>
      </c>
      <c r="AO97">
        <f t="shared" si="92"/>
        <v>-24038.446023900164</v>
      </c>
      <c r="AQ97">
        <f t="shared" si="78"/>
        <v>11.432637457911625</v>
      </c>
      <c r="AR97">
        <f t="shared" si="79"/>
        <v>-189.78749812006194</v>
      </c>
      <c r="AT97">
        <f t="shared" si="104"/>
        <v>-1246233.2834512736</v>
      </c>
      <c r="AU97">
        <f t="shared" si="105"/>
        <v>-5708959.3962939857</v>
      </c>
      <c r="AV97">
        <f t="shared" si="93"/>
        <v>-1.785719093347838</v>
      </c>
      <c r="AW97">
        <f t="shared" si="94"/>
        <v>-4296560.4093346382</v>
      </c>
      <c r="AX97">
        <f t="shared" si="95"/>
        <v>-3355545.0073416079</v>
      </c>
      <c r="AY97">
        <f t="shared" si="103"/>
        <v>-2.4785548530250963</v>
      </c>
      <c r="BA97">
        <f t="shared" si="80"/>
        <v>1.0718655862582351</v>
      </c>
      <c r="BB97">
        <f t="shared" si="96"/>
        <v>0.60280655029998553</v>
      </c>
      <c r="BC97">
        <f t="shared" si="97"/>
        <v>0.6928357596772583</v>
      </c>
      <c r="BD97">
        <f t="shared" si="81"/>
        <v>-140.30343502939297</v>
      </c>
      <c r="BF97">
        <f t="shared" si="82"/>
        <v>17.374495637943909</v>
      </c>
      <c r="BG97">
        <f t="shared" si="83"/>
        <v>-117.67076498083506</v>
      </c>
      <c r="BH97">
        <f t="shared" si="98"/>
        <v>62.32923501916494</v>
      </c>
      <c r="BI97">
        <f t="shared" si="99"/>
        <v>62.32923501916494</v>
      </c>
      <c r="BJ97">
        <f t="shared" si="84"/>
        <v>0</v>
      </c>
      <c r="BK97">
        <f t="shared" si="100"/>
        <v>0</v>
      </c>
      <c r="BM97">
        <f t="shared" si="101"/>
        <v>16.771689087643924</v>
      </c>
      <c r="BN97">
        <f t="shared" si="85"/>
        <v>-157.36732995144206</v>
      </c>
      <c r="BQ97" s="75">
        <f t="shared" si="102"/>
        <v>17.504767350585123</v>
      </c>
      <c r="BR97" s="80"/>
      <c r="BS97" s="80"/>
      <c r="BT97" s="80">
        <v>741.31</v>
      </c>
      <c r="BU97" s="80">
        <v>17.416399999999999</v>
      </c>
      <c r="BV97" s="80">
        <v>-262.19720000000001</v>
      </c>
      <c r="BW97" s="84"/>
      <c r="BY97" s="80"/>
      <c r="BZ97" s="80"/>
      <c r="CA97" s="80"/>
      <c r="CC97" s="80"/>
    </row>
    <row r="98" spans="1:81">
      <c r="A98">
        <f t="shared" si="54"/>
        <v>32000</v>
      </c>
      <c r="B98">
        <f t="shared" si="86"/>
        <v>32</v>
      </c>
      <c r="C98">
        <f t="shared" si="55"/>
        <v>1.0006990428796736</v>
      </c>
      <c r="D98">
        <f t="shared" si="56"/>
        <v>3.7380099116546758E-2</v>
      </c>
      <c r="F98">
        <f t="shared" si="57"/>
        <v>0.72708360423740293</v>
      </c>
      <c r="G98">
        <f t="shared" si="58"/>
        <v>0.3450213955014611</v>
      </c>
      <c r="H98">
        <f t="shared" si="59"/>
        <v>-2.7965712544985393</v>
      </c>
      <c r="J98">
        <f t="shared" si="60"/>
        <v>9</v>
      </c>
      <c r="M98">
        <f t="shared" si="61"/>
        <v>0.13189752777407679</v>
      </c>
      <c r="N98">
        <f t="shared" si="62"/>
        <v>-1.5707963250000001</v>
      </c>
      <c r="O98">
        <f t="shared" si="63"/>
        <v>4.2350899512637472</v>
      </c>
      <c r="P98">
        <f t="shared" si="64"/>
        <v>1.3324227628524898</v>
      </c>
      <c r="Q98">
        <f t="shared" si="65"/>
        <v>1.9553750205433584</v>
      </c>
      <c r="R98">
        <f t="shared" si="66"/>
        <v>1.0339705476341887</v>
      </c>
      <c r="S98">
        <f t="shared" si="67"/>
        <v>0.99976758033546109</v>
      </c>
      <c r="T98">
        <f t="shared" si="68"/>
        <v>-2.1560550468252438E-2</v>
      </c>
      <c r="U98">
        <f t="shared" si="69"/>
        <v>0.99943552189161788</v>
      </c>
      <c r="V98">
        <f t="shared" si="70"/>
        <v>-3.3601524438633401E-2</v>
      </c>
      <c r="X98">
        <f t="shared" si="87"/>
        <v>17.082270664770199</v>
      </c>
      <c r="Y98">
        <f t="shared" si="71"/>
        <v>-115.66621282501281</v>
      </c>
      <c r="Z98">
        <f t="shared" si="88"/>
        <v>64.333787174987194</v>
      </c>
      <c r="AC98">
        <v>1</v>
      </c>
      <c r="AD98">
        <f t="shared" si="72"/>
        <v>4.1153355750528</v>
      </c>
      <c r="AE98">
        <f t="shared" si="73"/>
        <v>-4.6336489453611935E-6</v>
      </c>
      <c r="AF98">
        <f t="shared" si="74"/>
        <v>1.3784805893376001E-4</v>
      </c>
      <c r="AG98">
        <f t="shared" si="89"/>
        <v>29576.873596889105</v>
      </c>
      <c r="AH98">
        <f t="shared" si="90"/>
        <v>-8248.5662688633965</v>
      </c>
      <c r="AJ98">
        <f t="shared" si="75"/>
        <v>55000</v>
      </c>
      <c r="AK98">
        <f t="shared" si="76"/>
        <v>1186.0140572280002</v>
      </c>
      <c r="AL98">
        <v>1</v>
      </c>
      <c r="AM98">
        <f t="shared" si="77"/>
        <v>1.6803248111496001</v>
      </c>
      <c r="AN98">
        <f t="shared" si="91"/>
        <v>14905.980379328281</v>
      </c>
      <c r="AO98">
        <f t="shared" si="92"/>
        <v>-23860.87460866644</v>
      </c>
      <c r="AQ98">
        <f t="shared" si="78"/>
        <v>11.07940077442839</v>
      </c>
      <c r="AR98">
        <f t="shared" si="79"/>
        <v>-186.84301465996037</v>
      </c>
      <c r="AT98">
        <f t="shared" si="104"/>
        <v>-1213492.9520623547</v>
      </c>
      <c r="AU98">
        <f t="shared" si="105"/>
        <v>-5617621.3985665143</v>
      </c>
      <c r="AV98">
        <f t="shared" si="93"/>
        <v>-1.7835428581443267</v>
      </c>
      <c r="AW98">
        <f t="shared" si="94"/>
        <v>-4203122.7144308267</v>
      </c>
      <c r="AX98">
        <f t="shared" si="95"/>
        <v>-3235988.328604396</v>
      </c>
      <c r="AY98">
        <f t="shared" si="103"/>
        <v>-2.4854760971880276</v>
      </c>
      <c r="BA98">
        <f t="shared" si="80"/>
        <v>1.0834535423252547</v>
      </c>
      <c r="BB98">
        <f t="shared" si="96"/>
        <v>0.69620587667279799</v>
      </c>
      <c r="BC98">
        <f t="shared" si="97"/>
        <v>0.70193323904370097</v>
      </c>
      <c r="BD98">
        <f t="shared" si="81"/>
        <v>-139.78218785689285</v>
      </c>
      <c r="BF98">
        <f t="shared" si="82"/>
        <v>17.018812781473336</v>
      </c>
      <c r="BG98">
        <f t="shared" si="83"/>
        <v>-117.87219611075051</v>
      </c>
      <c r="BH98">
        <f t="shared" si="98"/>
        <v>62.127803889249492</v>
      </c>
      <c r="BI98">
        <f t="shared" si="99"/>
        <v>62.127803889249492</v>
      </c>
      <c r="BJ98">
        <f t="shared" si="84"/>
        <v>0</v>
      </c>
      <c r="BK98">
        <f t="shared" si="100"/>
        <v>0</v>
      </c>
      <c r="BM98">
        <f t="shared" si="101"/>
        <v>16.322606904800537</v>
      </c>
      <c r="BN98">
        <f t="shared" si="85"/>
        <v>-158.09000825385769</v>
      </c>
      <c r="BQ98" s="75">
        <f t="shared" si="102"/>
        <v>17.598166676957938</v>
      </c>
      <c r="BR98" s="80"/>
      <c r="BS98" s="80"/>
      <c r="BT98" s="80">
        <v>758.57799999999997</v>
      </c>
      <c r="BU98" s="80">
        <v>17.283200000000001</v>
      </c>
      <c r="BV98" s="80">
        <v>-262.56690000000003</v>
      </c>
      <c r="BW98" s="84"/>
      <c r="BY98" s="80"/>
      <c r="BZ98" s="80"/>
      <c r="CA98" s="80"/>
      <c r="CC98" s="80"/>
    </row>
    <row r="99" spans="1:81">
      <c r="A99">
        <f t="shared" si="54"/>
        <v>32500</v>
      </c>
      <c r="B99">
        <f t="shared" si="86"/>
        <v>32.5</v>
      </c>
      <c r="C99">
        <f t="shared" si="55"/>
        <v>1.000721050702823</v>
      </c>
      <c r="D99">
        <f t="shared" si="56"/>
        <v>3.7963606453467302E-2</v>
      </c>
      <c r="F99">
        <f t="shared" si="57"/>
        <v>0.69158001998665275</v>
      </c>
      <c r="G99">
        <f t="shared" si="58"/>
        <v>0.33283973782906762</v>
      </c>
      <c r="H99">
        <f t="shared" si="59"/>
        <v>-2.8087529121709327</v>
      </c>
      <c r="J99">
        <f t="shared" si="60"/>
        <v>9</v>
      </c>
      <c r="M99">
        <f t="shared" si="61"/>
        <v>0.12986833503909098</v>
      </c>
      <c r="N99">
        <f t="shared" si="62"/>
        <v>-1.5707963250000001</v>
      </c>
      <c r="O99">
        <f t="shared" si="63"/>
        <v>4.2976006385189809</v>
      </c>
      <c r="P99">
        <f t="shared" si="64"/>
        <v>1.3359557128389679</v>
      </c>
      <c r="Q99">
        <f t="shared" si="65"/>
        <v>1.9779825349089908</v>
      </c>
      <c r="R99">
        <f t="shared" si="66"/>
        <v>1.0407588954489637</v>
      </c>
      <c r="S99">
        <f t="shared" si="67"/>
        <v>0.99976026310991484</v>
      </c>
      <c r="T99">
        <f t="shared" si="68"/>
        <v>-2.1897327218652993E-2</v>
      </c>
      <c r="U99">
        <f t="shared" si="69"/>
        <v>0.99941775966211255</v>
      </c>
      <c r="V99">
        <f t="shared" si="70"/>
        <v>-3.4126143857657568E-2</v>
      </c>
      <c r="X99">
        <f t="shared" si="87"/>
        <v>16.739853946336087</v>
      </c>
      <c r="Y99">
        <f t="shared" si="71"/>
        <v>-115.78872545142093</v>
      </c>
      <c r="Z99">
        <f t="shared" si="88"/>
        <v>64.21127454857907</v>
      </c>
      <c r="AC99">
        <v>1</v>
      </c>
      <c r="AD99">
        <f t="shared" si="72"/>
        <v>4.1796376934130004</v>
      </c>
      <c r="AE99">
        <f t="shared" si="73"/>
        <v>-4.7795817368532821E-6</v>
      </c>
      <c r="AF99">
        <f t="shared" si="74"/>
        <v>1.4000193485460001E-4</v>
      </c>
      <c r="AG99">
        <f t="shared" si="89"/>
        <v>29575.822310363801</v>
      </c>
      <c r="AH99">
        <f t="shared" si="90"/>
        <v>-8152.4591881705073</v>
      </c>
      <c r="AJ99">
        <f t="shared" si="75"/>
        <v>55000</v>
      </c>
      <c r="AK99">
        <f t="shared" si="76"/>
        <v>1204.5455268721878</v>
      </c>
      <c r="AL99">
        <v>1</v>
      </c>
      <c r="AM99">
        <f t="shared" si="77"/>
        <v>1.7065798863238126</v>
      </c>
      <c r="AN99">
        <f t="shared" si="91"/>
        <v>14583.23171342318</v>
      </c>
      <c r="AO99">
        <f t="shared" si="92"/>
        <v>-23682.904392855362</v>
      </c>
      <c r="AQ99">
        <f t="shared" si="78"/>
        <v>10.742267725585762</v>
      </c>
      <c r="AR99">
        <f t="shared" si="79"/>
        <v>-183.98819046997014</v>
      </c>
      <c r="AT99">
        <f t="shared" si="104"/>
        <v>-1182244.812449493</v>
      </c>
      <c r="AU99">
        <f t="shared" si="105"/>
        <v>-5529177.927766446</v>
      </c>
      <c r="AV99">
        <f t="shared" si="93"/>
        <v>-1.7814436553722073</v>
      </c>
      <c r="AW99">
        <f t="shared" si="94"/>
        <v>-4112159.9477746529</v>
      </c>
      <c r="AX99">
        <f t="shared" si="95"/>
        <v>-3122079.3023053668</v>
      </c>
      <c r="AY99">
        <f t="shared" si="103"/>
        <v>-2.4922098351577238</v>
      </c>
      <c r="BA99">
        <f t="shared" si="80"/>
        <v>1.0951167445394467</v>
      </c>
      <c r="BB99">
        <f t="shared" si="96"/>
        <v>0.78920838912401481</v>
      </c>
      <c r="BC99">
        <f t="shared" si="97"/>
        <v>0.71076617978551648</v>
      </c>
      <c r="BD99">
        <f t="shared" si="81"/>
        <v>-139.27609763111937</v>
      </c>
      <c r="BF99">
        <f t="shared" si="82"/>
        <v>16.677168044828043</v>
      </c>
      <c r="BG99">
        <f t="shared" si="83"/>
        <v>-118.0306309501172</v>
      </c>
      <c r="BH99">
        <f t="shared" si="98"/>
        <v>61.9693690498828</v>
      </c>
      <c r="BI99">
        <f t="shared" si="99"/>
        <v>61.9693690498828</v>
      </c>
      <c r="BJ99">
        <f t="shared" si="84"/>
        <v>0</v>
      </c>
      <c r="BK99">
        <f t="shared" si="100"/>
        <v>0</v>
      </c>
      <c r="BM99">
        <f t="shared" si="101"/>
        <v>15.887959655704027</v>
      </c>
      <c r="BN99">
        <f t="shared" si="85"/>
        <v>-158.75453331899783</v>
      </c>
      <c r="BQ99" s="75">
        <f t="shared" si="102"/>
        <v>17.691169189409152</v>
      </c>
      <c r="BR99" s="80"/>
      <c r="BS99" s="80"/>
      <c r="BT99" s="80">
        <v>776.24699999999996</v>
      </c>
      <c r="BU99" s="80">
        <v>17.007100000000001</v>
      </c>
      <c r="BV99" s="80">
        <v>-262.71769999999998</v>
      </c>
      <c r="BW99" s="84"/>
      <c r="BY99" s="80"/>
      <c r="BZ99" s="80"/>
      <c r="CA99" s="80"/>
      <c r="CC99" s="80"/>
    </row>
    <row r="100" spans="1:81">
      <c r="A100">
        <f t="shared" si="54"/>
        <v>33000</v>
      </c>
      <c r="B100">
        <f t="shared" si="86"/>
        <v>33</v>
      </c>
      <c r="C100">
        <f t="shared" si="55"/>
        <v>1.0007433992372348</v>
      </c>
      <c r="D100">
        <f t="shared" si="56"/>
        <v>3.8547087927351398E-2</v>
      </c>
      <c r="F100">
        <f t="shared" si="57"/>
        <v>0.65883577580806052</v>
      </c>
      <c r="G100">
        <f t="shared" si="58"/>
        <v>0.32156024909972458</v>
      </c>
      <c r="H100">
        <f t="shared" si="59"/>
        <v>-2.8200324009002755</v>
      </c>
      <c r="J100">
        <f t="shared" si="60"/>
        <v>9</v>
      </c>
      <c r="M100">
        <f t="shared" si="61"/>
        <v>0.12790063299304413</v>
      </c>
      <c r="N100">
        <f t="shared" si="62"/>
        <v>-1.5707963250000001</v>
      </c>
      <c r="O100">
        <f t="shared" si="63"/>
        <v>4.3601634288124513</v>
      </c>
      <c r="P100">
        <f t="shared" si="64"/>
        <v>1.3393873179772178</v>
      </c>
      <c r="Q100">
        <f t="shared" si="65"/>
        <v>2.0006791356411608</v>
      </c>
      <c r="R100">
        <f t="shared" si="66"/>
        <v>1.0473935231343756</v>
      </c>
      <c r="S100">
        <f t="shared" si="67"/>
        <v>0.99975283260342718</v>
      </c>
      <c r="T100">
        <f t="shared" si="68"/>
        <v>-2.223409900120546E-2</v>
      </c>
      <c r="U100">
        <f t="shared" si="69"/>
        <v>0.99939972301833191</v>
      </c>
      <c r="V100">
        <f t="shared" si="70"/>
        <v>-3.4650744485288584E-2</v>
      </c>
      <c r="X100">
        <f t="shared" si="87"/>
        <v>16.410543811031161</v>
      </c>
      <c r="Y100">
        <f t="shared" si="71"/>
        <v>-115.87416187219827</v>
      </c>
      <c r="Z100">
        <f t="shared" si="88"/>
        <v>64.125838127801728</v>
      </c>
      <c r="AC100">
        <v>1</v>
      </c>
      <c r="AD100">
        <f t="shared" si="72"/>
        <v>4.2439398117732008</v>
      </c>
      <c r="AE100">
        <f t="shared" si="73"/>
        <v>-4.927777052244473E-6</v>
      </c>
      <c r="AF100">
        <f t="shared" si="74"/>
        <v>1.4215581077544001E-4</v>
      </c>
      <c r="AG100">
        <f t="shared" si="89"/>
        <v>29574.754801301126</v>
      </c>
      <c r="AH100">
        <f t="shared" si="90"/>
        <v>-8059.7324287046004</v>
      </c>
      <c r="AJ100">
        <f t="shared" si="75"/>
        <v>55000</v>
      </c>
      <c r="AK100">
        <f t="shared" si="76"/>
        <v>1223.0769965163752</v>
      </c>
      <c r="AL100">
        <v>1</v>
      </c>
      <c r="AM100">
        <f t="shared" si="77"/>
        <v>1.732834961498025</v>
      </c>
      <c r="AN100">
        <f t="shared" si="91"/>
        <v>14270.154628989674</v>
      </c>
      <c r="AO100">
        <f t="shared" si="92"/>
        <v>-23504.745850579809</v>
      </c>
      <c r="AQ100">
        <f t="shared" si="78"/>
        <v>10.42027517165352</v>
      </c>
      <c r="AR100">
        <f t="shared" si="79"/>
        <v>-181.21900551022637</v>
      </c>
      <c r="AT100">
        <f t="shared" si="104"/>
        <v>-1152399.6122446302</v>
      </c>
      <c r="AU100">
        <f t="shared" si="105"/>
        <v>-5443492.2830175841</v>
      </c>
      <c r="AV100">
        <f t="shared" si="93"/>
        <v>-1.7794183215242791</v>
      </c>
      <c r="AW100">
        <f t="shared" si="94"/>
        <v>-4023615.6893494008</v>
      </c>
      <c r="AX100">
        <f t="shared" si="95"/>
        <v>-3013498.1266437308</v>
      </c>
      <c r="AY100">
        <f t="shared" si="103"/>
        <v>-2.4987621072667352</v>
      </c>
      <c r="BA100">
        <f t="shared" si="80"/>
        <v>1.1068522707442248</v>
      </c>
      <c r="BB100">
        <f t="shared" si="96"/>
        <v>0.88179320742223555</v>
      </c>
      <c r="BC100">
        <f t="shared" si="97"/>
        <v>0.71934378574245605</v>
      </c>
      <c r="BD100">
        <f t="shared" si="81"/>
        <v>-138.7846370108989</v>
      </c>
      <c r="BF100">
        <f t="shared" si="82"/>
        <v>16.348641561120658</v>
      </c>
      <c r="BG100">
        <f t="shared" si="83"/>
        <v>-118.15200640397607</v>
      </c>
      <c r="BH100">
        <f t="shared" si="98"/>
        <v>61.847993596023926</v>
      </c>
      <c r="BI100">
        <f t="shared" si="99"/>
        <v>61.847993596023926</v>
      </c>
      <c r="BJ100">
        <f t="shared" si="84"/>
        <v>0</v>
      </c>
      <c r="BK100">
        <f t="shared" si="100"/>
        <v>0</v>
      </c>
      <c r="BM100">
        <f t="shared" si="101"/>
        <v>15.466848353698424</v>
      </c>
      <c r="BN100">
        <f t="shared" si="85"/>
        <v>-159.36736939307721</v>
      </c>
      <c r="BQ100" s="75">
        <f t="shared" si="102"/>
        <v>17.783754007707373</v>
      </c>
      <c r="BR100" s="80"/>
      <c r="BS100" s="80"/>
      <c r="BT100" s="80">
        <v>794.32799999999997</v>
      </c>
      <c r="BU100" s="80">
        <v>16.8354</v>
      </c>
      <c r="BV100" s="80">
        <v>-262.79380000000003</v>
      </c>
      <c r="BW100" s="84"/>
      <c r="BY100" s="80"/>
      <c r="BZ100" s="80"/>
      <c r="CA100" s="80"/>
      <c r="CC100" s="80"/>
    </row>
    <row r="101" spans="1:81">
      <c r="A101">
        <f t="shared" si="54"/>
        <v>33500</v>
      </c>
      <c r="B101">
        <f t="shared" si="86"/>
        <v>33.5</v>
      </c>
      <c r="C101">
        <f t="shared" si="55"/>
        <v>1.0007660884600833</v>
      </c>
      <c r="D101">
        <f t="shared" si="56"/>
        <v>3.9130543142651922E-2</v>
      </c>
      <c r="F101">
        <f t="shared" si="57"/>
        <v>0.62856066129145749</v>
      </c>
      <c r="G101">
        <f t="shared" si="58"/>
        <v>0.31108593114826466</v>
      </c>
      <c r="H101">
        <f t="shared" si="59"/>
        <v>-2.8305067188517357</v>
      </c>
      <c r="J101">
        <f t="shared" si="60"/>
        <v>9</v>
      </c>
      <c r="M101">
        <f t="shared" si="61"/>
        <v>0.12599166832150618</v>
      </c>
      <c r="N101">
        <f t="shared" si="62"/>
        <v>-1.5707963250000001</v>
      </c>
      <c r="O101">
        <f t="shared" si="63"/>
        <v>4.4227761110596111</v>
      </c>
      <c r="P101">
        <f t="shared" si="64"/>
        <v>1.3427217998609342</v>
      </c>
      <c r="Q101">
        <f t="shared" si="65"/>
        <v>2.0234618249721281</v>
      </c>
      <c r="R101">
        <f t="shared" si="66"/>
        <v>1.0538790289374271</v>
      </c>
      <c r="S101">
        <f t="shared" si="67"/>
        <v>0.99974528882358016</v>
      </c>
      <c r="T101">
        <f t="shared" si="68"/>
        <v>-2.2570865739631376E-2</v>
      </c>
      <c r="U101">
        <f t="shared" si="69"/>
        <v>0.9993814120049147</v>
      </c>
      <c r="V101">
        <f t="shared" si="70"/>
        <v>-3.5175326033805437E-2</v>
      </c>
      <c r="X101">
        <f t="shared" si="87"/>
        <v>16.093494360730496</v>
      </c>
      <c r="Y101">
        <f t="shared" si="71"/>
        <v>-115.92757433499493</v>
      </c>
      <c r="Z101">
        <f t="shared" si="88"/>
        <v>64.072425665005071</v>
      </c>
      <c r="AC101">
        <v>1</v>
      </c>
      <c r="AD101">
        <f t="shared" si="72"/>
        <v>4.3082419301334003</v>
      </c>
      <c r="AE101">
        <f t="shared" si="73"/>
        <v>-5.0782348915347653E-6</v>
      </c>
      <c r="AF101">
        <f t="shared" si="74"/>
        <v>1.4430968669628002E-4</v>
      </c>
      <c r="AG101">
        <f t="shared" si="89"/>
        <v>29573.671073222322</v>
      </c>
      <c r="AH101">
        <f t="shared" si="90"/>
        <v>-7970.2345327346575</v>
      </c>
      <c r="AJ101">
        <f t="shared" si="75"/>
        <v>55000</v>
      </c>
      <c r="AK101">
        <f t="shared" si="76"/>
        <v>1241.6084661605626</v>
      </c>
      <c r="AL101">
        <v>1</v>
      </c>
      <c r="AM101">
        <f t="shared" si="77"/>
        <v>1.7590900366722377</v>
      </c>
      <c r="AN101">
        <f t="shared" si="91"/>
        <v>13966.425460945138</v>
      </c>
      <c r="AO101">
        <f t="shared" si="92"/>
        <v>-23326.591410113499</v>
      </c>
      <c r="AQ101">
        <f t="shared" si="78"/>
        <v>10.112530840810464</v>
      </c>
      <c r="AR101">
        <f t="shared" si="79"/>
        <v>-178.53167572908836</v>
      </c>
      <c r="AT101">
        <f t="shared" si="104"/>
        <v>-1123874.666279021</v>
      </c>
      <c r="AU101">
        <f t="shared" si="105"/>
        <v>-5360436.2966840202</v>
      </c>
      <c r="AV101">
        <f t="shared" si="93"/>
        <v>-1.7774638587791252</v>
      </c>
      <c r="AW101">
        <f t="shared" si="94"/>
        <v>-3937432.5269388547</v>
      </c>
      <c r="AX101">
        <f t="shared" si="95"/>
        <v>-2909945.7413552892</v>
      </c>
      <c r="AY101">
        <f t="shared" si="103"/>
        <v>-2.5051387183516183</v>
      </c>
      <c r="BA101">
        <f t="shared" si="80"/>
        <v>1.118657358668232</v>
      </c>
      <c r="BB101">
        <f t="shared" si="96"/>
        <v>0.97394167646630658</v>
      </c>
      <c r="BC101">
        <f t="shared" si="97"/>
        <v>0.72767485957249312</v>
      </c>
      <c r="BD101">
        <f t="shared" si="81"/>
        <v>-138.30730164108044</v>
      </c>
      <c r="BF101">
        <f t="shared" si="82"/>
        <v>16.032387418461749</v>
      </c>
      <c r="BG101">
        <f t="shared" si="83"/>
        <v>-118.24137572533036</v>
      </c>
      <c r="BH101">
        <f t="shared" si="98"/>
        <v>61.758624274669643</v>
      </c>
      <c r="BI101">
        <f t="shared" si="99"/>
        <v>61.758624274669643</v>
      </c>
      <c r="BJ101">
        <f t="shared" si="84"/>
        <v>0</v>
      </c>
      <c r="BK101">
        <f t="shared" si="100"/>
        <v>0</v>
      </c>
      <c r="BM101">
        <f t="shared" si="101"/>
        <v>15.058445741995442</v>
      </c>
      <c r="BN101">
        <f t="shared" si="85"/>
        <v>-159.93407408424994</v>
      </c>
      <c r="BQ101" s="75">
        <f t="shared" si="102"/>
        <v>17.875902476751445</v>
      </c>
      <c r="BR101" s="80"/>
      <c r="BS101" s="80"/>
      <c r="BT101" s="80">
        <v>812.83100000000002</v>
      </c>
      <c r="BU101" s="80">
        <v>16.6614</v>
      </c>
      <c r="BV101" s="80">
        <v>-262.23689999999999</v>
      </c>
      <c r="BW101" s="84"/>
      <c r="BY101" s="80"/>
      <c r="BZ101" s="80"/>
      <c r="CA101" s="80"/>
      <c r="CC101" s="80"/>
    </row>
    <row r="102" spans="1:81">
      <c r="A102">
        <f t="shared" ref="A102:A165" si="106">A101+500</f>
        <v>34000</v>
      </c>
      <c r="B102">
        <f t="shared" si="86"/>
        <v>34</v>
      </c>
      <c r="C102">
        <f t="shared" si="55"/>
        <v>1.0007891183481967</v>
      </c>
      <c r="D102">
        <f t="shared" si="56"/>
        <v>3.9713971703928867E-2</v>
      </c>
      <c r="F102">
        <f t="shared" si="57"/>
        <v>0.60050200486143124</v>
      </c>
      <c r="G102">
        <f t="shared" si="58"/>
        <v>0.30133299349832904</v>
      </c>
      <c r="H102">
        <f t="shared" si="59"/>
        <v>-2.8402596565016713</v>
      </c>
      <c r="J102">
        <f t="shared" si="60"/>
        <v>9</v>
      </c>
      <c r="M102">
        <f t="shared" si="61"/>
        <v>0.12413884966971933</v>
      </c>
      <c r="N102">
        <f t="shared" si="62"/>
        <v>-1.5707963250000001</v>
      </c>
      <c r="O102">
        <f t="shared" si="63"/>
        <v>4.4854365959198228</v>
      </c>
      <c r="P102">
        <f t="shared" si="64"/>
        <v>1.3459631531090686</v>
      </c>
      <c r="Q102">
        <f t="shared" si="65"/>
        <v>2.0463277275143428</v>
      </c>
      <c r="R102">
        <f t="shared" si="66"/>
        <v>1.0602198569273531</v>
      </c>
      <c r="S102">
        <f t="shared" si="67"/>
        <v>0.9997376317780714</v>
      </c>
      <c r="T102">
        <f t="shared" si="68"/>
        <v>-2.2907627357659128E-2</v>
      </c>
      <c r="U102">
        <f t="shared" si="69"/>
        <v>0.99936282666717413</v>
      </c>
      <c r="V102">
        <f t="shared" si="70"/>
        <v>-3.5699888215550063E-2</v>
      </c>
      <c r="X102">
        <f t="shared" si="87"/>
        <v>15.787928086720726</v>
      </c>
      <c r="Y102">
        <f t="shared" si="71"/>
        <v>-115.9532801810621</v>
      </c>
      <c r="Z102">
        <f t="shared" si="88"/>
        <v>64.046719818937902</v>
      </c>
      <c r="AC102">
        <v>1</v>
      </c>
      <c r="AD102">
        <f t="shared" si="72"/>
        <v>4.3725440484936007</v>
      </c>
      <c r="AE102">
        <f t="shared" si="73"/>
        <v>-5.2309552547241607E-6</v>
      </c>
      <c r="AF102">
        <f t="shared" si="74"/>
        <v>1.4646356261712002E-4</v>
      </c>
      <c r="AG102">
        <f t="shared" si="89"/>
        <v>29572.57112970173</v>
      </c>
      <c r="AH102">
        <f t="shared" si="90"/>
        <v>-7883.8229503209286</v>
      </c>
      <c r="AJ102">
        <f t="shared" si="75"/>
        <v>55000</v>
      </c>
      <c r="AK102">
        <f t="shared" si="76"/>
        <v>1260.1399358047502</v>
      </c>
      <c r="AL102">
        <v>1</v>
      </c>
      <c r="AM102">
        <f t="shared" si="77"/>
        <v>1.7853451118464503</v>
      </c>
      <c r="AN102">
        <f t="shared" si="91"/>
        <v>13671.730210577443</v>
      </c>
      <c r="AO102">
        <f t="shared" si="92"/>
        <v>-23148.616766133127</v>
      </c>
      <c r="AQ102">
        <f t="shared" si="78"/>
        <v>9.8182071690400061</v>
      </c>
      <c r="AR102">
        <f t="shared" si="79"/>
        <v>-175.92263605485883</v>
      </c>
      <c r="AT102">
        <f t="shared" si="104"/>
        <v>-1096593.2857376691</v>
      </c>
      <c r="AU102">
        <f t="shared" si="105"/>
        <v>-5279889.6750672255</v>
      </c>
      <c r="AV102">
        <f t="shared" si="93"/>
        <v>-1.7755774246708564</v>
      </c>
      <c r="AW102">
        <f t="shared" si="94"/>
        <v>-3853552.4409895986</v>
      </c>
      <c r="AX102">
        <f t="shared" si="95"/>
        <v>-2811142.3286391161</v>
      </c>
      <c r="AY102">
        <f t="shared" si="103"/>
        <v>-2.5113452480223559</v>
      </c>
      <c r="BA102">
        <f t="shared" si="80"/>
        <v>1.1305293950450144</v>
      </c>
      <c r="BB102">
        <f t="shared" si="96"/>
        <v>1.0656371795342843</v>
      </c>
      <c r="BC102">
        <f t="shared" si="97"/>
        <v>0.73576782335149948</v>
      </c>
      <c r="BD102">
        <f t="shared" si="81"/>
        <v>-137.84360897226128</v>
      </c>
      <c r="BF102">
        <f t="shared" si="82"/>
        <v>15.72762809414699</v>
      </c>
      <c r="BG102">
        <f t="shared" si="83"/>
        <v>-118.30305722809852</v>
      </c>
      <c r="BH102">
        <f t="shared" si="98"/>
        <v>61.696942771901476</v>
      </c>
      <c r="BI102">
        <f t="shared" si="99"/>
        <v>61.696942771901476</v>
      </c>
      <c r="BJ102">
        <f t="shared" si="84"/>
        <v>0</v>
      </c>
      <c r="BK102">
        <f t="shared" si="100"/>
        <v>0</v>
      </c>
      <c r="BM102">
        <f t="shared" si="101"/>
        <v>14.661990914612705</v>
      </c>
      <c r="BN102">
        <f t="shared" si="85"/>
        <v>-160.45944825583723</v>
      </c>
      <c r="BQ102" s="75">
        <f t="shared" si="102"/>
        <v>17.96759797981942</v>
      </c>
      <c r="BR102" s="80"/>
      <c r="BS102" s="80"/>
      <c r="BT102" s="80">
        <v>831.76400000000001</v>
      </c>
      <c r="BU102" s="80">
        <v>16.509799999999998</v>
      </c>
      <c r="BV102" s="80">
        <v>-262.34320000000002</v>
      </c>
      <c r="BW102" s="84"/>
      <c r="BY102" s="80"/>
      <c r="BZ102" s="80"/>
      <c r="CA102" s="80"/>
      <c r="CC102" s="80"/>
    </row>
    <row r="103" spans="1:81">
      <c r="A103">
        <f t="shared" si="106"/>
        <v>34500</v>
      </c>
      <c r="B103">
        <f t="shared" si="86"/>
        <v>34.5</v>
      </c>
      <c r="C103">
        <f t="shared" si="55"/>
        <v>1.0008124888780578</v>
      </c>
      <c r="D103">
        <f t="shared" si="56"/>
        <v>4.0297373215850946E-2</v>
      </c>
      <c r="F103">
        <f t="shared" si="57"/>
        <v>0.57443906934914202</v>
      </c>
      <c r="G103">
        <f t="shared" si="58"/>
        <v>0.2922287261078384</v>
      </c>
      <c r="H103">
        <f t="shared" si="59"/>
        <v>-2.8493639238921618</v>
      </c>
      <c r="J103">
        <f t="shared" si="60"/>
        <v>9</v>
      </c>
      <c r="M103">
        <f t="shared" si="61"/>
        <v>0.12233973590639007</v>
      </c>
      <c r="N103">
        <f t="shared" si="62"/>
        <v>-1.5707963250000001</v>
      </c>
      <c r="O103">
        <f t="shared" si="63"/>
        <v>4.5481429076410151</v>
      </c>
      <c r="P103">
        <f t="shared" si="64"/>
        <v>1.3491151601237223</v>
      </c>
      <c r="Q103">
        <f t="shared" si="65"/>
        <v>2.0692740847005502</v>
      </c>
      <c r="R103">
        <f t="shared" si="66"/>
        <v>1.0664203016660869</v>
      </c>
      <c r="S103">
        <f t="shared" si="67"/>
        <v>0.99972986147471343</v>
      </c>
      <c r="T103">
        <f t="shared" si="68"/>
        <v>-2.3244383779024064E-2</v>
      </c>
      <c r="U103">
        <f t="shared" si="69"/>
        <v>0.99934396705109829</v>
      </c>
      <c r="V103">
        <f t="shared" si="70"/>
        <v>-3.6224430742928262E-2</v>
      </c>
      <c r="X103">
        <f t="shared" si="87"/>
        <v>15.493130293289655</v>
      </c>
      <c r="Y103">
        <f t="shared" si="71"/>
        <v>-115.95498261479626</v>
      </c>
      <c r="Z103">
        <f t="shared" si="88"/>
        <v>64.045017385203735</v>
      </c>
      <c r="AC103">
        <v>1</v>
      </c>
      <c r="AD103">
        <f t="shared" si="72"/>
        <v>4.4368461668538002</v>
      </c>
      <c r="AE103">
        <f t="shared" si="73"/>
        <v>-5.3859381418126567E-6</v>
      </c>
      <c r="AF103">
        <f t="shared" si="74"/>
        <v>1.4861743853795999E-4</v>
      </c>
      <c r="AG103">
        <f t="shared" si="89"/>
        <v>29571.454974366781</v>
      </c>
      <c r="AH103">
        <f t="shared" si="90"/>
        <v>-7800.3633938236389</v>
      </c>
      <c r="AJ103">
        <f t="shared" si="75"/>
        <v>55000</v>
      </c>
      <c r="AK103">
        <f t="shared" si="76"/>
        <v>1278.6714054489375</v>
      </c>
      <c r="AL103">
        <v>1</v>
      </c>
      <c r="AM103">
        <f t="shared" si="77"/>
        <v>1.8116001870206626</v>
      </c>
      <c r="AN103">
        <f t="shared" si="91"/>
        <v>13385.764521692752</v>
      </c>
      <c r="AO103">
        <f t="shared" si="92"/>
        <v>-22970.982105464202</v>
      </c>
      <c r="AQ103">
        <f t="shared" si="78"/>
        <v>9.5365357551714727</v>
      </c>
      <c r="AR103">
        <f t="shared" si="79"/>
        <v>-173.38852483265012</v>
      </c>
      <c r="AT103">
        <f t="shared" si="104"/>
        <v>-1070484.2643181928</v>
      </c>
      <c r="AU103">
        <f t="shared" si="105"/>
        <v>-5201739.3995691193</v>
      </c>
      <c r="AV103">
        <f t="shared" si="93"/>
        <v>-1.7737563224884767</v>
      </c>
      <c r="AW103">
        <f t="shared" si="94"/>
        <v>-3771917.1346583441</v>
      </c>
      <c r="AX103">
        <f t="shared" si="95"/>
        <v>-2716825.9328325503</v>
      </c>
      <c r="AY103">
        <f t="shared" si="103"/>
        <v>-2.5173870604487552</v>
      </c>
      <c r="BA103">
        <f t="shared" si="80"/>
        <v>1.1424659056350344</v>
      </c>
      <c r="BB103">
        <f t="shared" si="96"/>
        <v>1.156864967564105</v>
      </c>
      <c r="BC103">
        <f t="shared" si="97"/>
        <v>0.74363073796027845</v>
      </c>
      <c r="BD103">
        <f t="shared" si="81"/>
        <v>-137.39309714999172</v>
      </c>
      <c r="BF103">
        <f t="shared" si="82"/>
        <v>15.433648878246835</v>
      </c>
      <c r="BG103">
        <f t="shared" si="83"/>
        <v>-118.3407550590258</v>
      </c>
      <c r="BH103">
        <f t="shared" si="98"/>
        <v>61.659244940974204</v>
      </c>
      <c r="BI103">
        <f t="shared" si="99"/>
        <v>61.659244940974204</v>
      </c>
      <c r="BJ103">
        <f t="shared" si="84"/>
        <v>0</v>
      </c>
      <c r="BK103">
        <f t="shared" si="100"/>
        <v>0</v>
      </c>
      <c r="BM103">
        <f t="shared" si="101"/>
        <v>14.276783910682731</v>
      </c>
      <c r="BN103">
        <f t="shared" si="85"/>
        <v>-160.94765790903409</v>
      </c>
      <c r="BQ103" s="75">
        <f t="shared" si="102"/>
        <v>18.058825767849243</v>
      </c>
      <c r="BR103" s="80"/>
      <c r="BS103" s="80"/>
      <c r="BT103" s="80">
        <v>851.13800000000003</v>
      </c>
      <c r="BU103" s="80">
        <v>16.276800000000001</v>
      </c>
      <c r="BV103" s="80">
        <v>-262.197</v>
      </c>
      <c r="BW103" s="84"/>
      <c r="BY103" s="80"/>
      <c r="BZ103" s="80"/>
      <c r="CA103" s="80"/>
      <c r="CC103" s="80"/>
    </row>
    <row r="104" spans="1:81">
      <c r="A104">
        <f t="shared" si="106"/>
        <v>35000</v>
      </c>
      <c r="B104">
        <f t="shared" si="86"/>
        <v>35</v>
      </c>
      <c r="C104">
        <f t="shared" si="55"/>
        <v>1.0008362000258038</v>
      </c>
      <c r="D104">
        <f t="shared" si="56"/>
        <v>4.0880747283197155E-2</v>
      </c>
      <c r="F104">
        <f t="shared" si="57"/>
        <v>0.55017836688147614</v>
      </c>
      <c r="G104">
        <f t="shared" si="58"/>
        <v>0.28370976078901133</v>
      </c>
      <c r="H104">
        <f t="shared" si="59"/>
        <v>-2.8578828892109889</v>
      </c>
      <c r="J104">
        <f t="shared" si="60"/>
        <v>9</v>
      </c>
      <c r="M104">
        <f t="shared" si="61"/>
        <v>0.12059202539344163</v>
      </c>
      <c r="N104">
        <f t="shared" si="62"/>
        <v>-1.5707963250000001</v>
      </c>
      <c r="O104">
        <f t="shared" si="63"/>
        <v>4.6108931765423646</v>
      </c>
      <c r="P104">
        <f t="shared" si="64"/>
        <v>1.3521814047353791</v>
      </c>
      <c r="Q104">
        <f t="shared" si="65"/>
        <v>2.0922982494800766</v>
      </c>
      <c r="R104">
        <f t="shared" si="66"/>
        <v>1.0724845128566232</v>
      </c>
      <c r="S104">
        <f t="shared" si="67"/>
        <v>0.99972197792143414</v>
      </c>
      <c r="T104">
        <f t="shared" si="68"/>
        <v>-2.3581134927468616E-2</v>
      </c>
      <c r="U104">
        <f t="shared" si="69"/>
        <v>0.99932483320334886</v>
      </c>
      <c r="V104">
        <f t="shared" si="70"/>
        <v>-3.6748953328410654E-2</v>
      </c>
      <c r="X104">
        <f t="shared" si="87"/>
        <v>15.208443718950914</v>
      </c>
      <c r="Y104">
        <f t="shared" si="71"/>
        <v>-115.93586926888825</v>
      </c>
      <c r="Z104">
        <f t="shared" si="88"/>
        <v>64.064130731111746</v>
      </c>
      <c r="AC104">
        <v>1</v>
      </c>
      <c r="AD104">
        <f t="shared" si="72"/>
        <v>4.5011482852140006</v>
      </c>
      <c r="AE104">
        <f t="shared" si="73"/>
        <v>-5.5431835528002557E-6</v>
      </c>
      <c r="AF104">
        <f t="shared" si="74"/>
        <v>1.5077131445879999E-4</v>
      </c>
      <c r="AG104">
        <f t="shared" si="89"/>
        <v>29570.322610897965</v>
      </c>
      <c r="AH104">
        <f t="shared" si="90"/>
        <v>-7719.7292477394967</v>
      </c>
      <c r="AJ104">
        <f t="shared" si="75"/>
        <v>55000</v>
      </c>
      <c r="AK104">
        <f t="shared" si="76"/>
        <v>1297.2028750931252</v>
      </c>
      <c r="AL104">
        <v>1</v>
      </c>
      <c r="AM104">
        <f t="shared" si="77"/>
        <v>1.8378552621948752</v>
      </c>
      <c r="AN104">
        <f t="shared" si="91"/>
        <v>13108.233614232817</v>
      </c>
      <c r="AO104">
        <f t="shared" si="92"/>
        <v>-22793.833250904405</v>
      </c>
      <c r="AQ104">
        <f t="shared" si="78"/>
        <v>9.266802361920945</v>
      </c>
      <c r="AR104">
        <f t="shared" si="79"/>
        <v>-170.92616956563182</v>
      </c>
      <c r="AT104">
        <f t="shared" si="104"/>
        <v>-1045481.4149864551</v>
      </c>
      <c r="AU104">
        <f t="shared" si="105"/>
        <v>-5125879.181927125</v>
      </c>
      <c r="AV104">
        <f t="shared" si="93"/>
        <v>-1.7719979923490272</v>
      </c>
      <c r="AW104">
        <f t="shared" si="94"/>
        <v>-3692468.3158513992</v>
      </c>
      <c r="AX104">
        <f t="shared" si="95"/>
        <v>-2626751.1885968866</v>
      </c>
      <c r="AY104">
        <f t="shared" si="103"/>
        <v>-2.5232693136894051</v>
      </c>
      <c r="BA104">
        <f t="shared" si="80"/>
        <v>1.1544645460610548</v>
      </c>
      <c r="BB104">
        <f t="shared" si="96"/>
        <v>1.2476120029855435</v>
      </c>
      <c r="BC104">
        <f t="shared" si="97"/>
        <v>0.75127132134037788</v>
      </c>
      <c r="BD104">
        <f t="shared" si="81"/>
        <v>-136.95532396879398</v>
      </c>
      <c r="BF104">
        <f t="shared" si="82"/>
        <v>15.149792494831146</v>
      </c>
      <c r="BG104">
        <f t="shared" si="83"/>
        <v>-118.35765776499842</v>
      </c>
      <c r="BH104">
        <f t="shared" si="98"/>
        <v>61.642342235001578</v>
      </c>
      <c r="BI104">
        <f t="shared" si="99"/>
        <v>61.642342235001578</v>
      </c>
      <c r="BJ104">
        <f t="shared" si="84"/>
        <v>0</v>
      </c>
      <c r="BK104">
        <f t="shared" si="100"/>
        <v>0</v>
      </c>
      <c r="BM104">
        <f t="shared" si="101"/>
        <v>13.902180491845602</v>
      </c>
      <c r="BN104">
        <f t="shared" si="85"/>
        <v>-161.40233379620443</v>
      </c>
      <c r="BQ104" s="75">
        <f t="shared" si="102"/>
        <v>18.149572803270679</v>
      </c>
      <c r="BR104" s="80"/>
      <c r="BS104" s="80"/>
      <c r="BT104" s="80">
        <v>870.96400000000006</v>
      </c>
      <c r="BU104" s="80">
        <v>16.106100000000001</v>
      </c>
      <c r="BV104" s="80">
        <v>-261.76800000000003</v>
      </c>
      <c r="BW104" s="84"/>
      <c r="BY104" s="80"/>
      <c r="BZ104" s="80"/>
      <c r="CA104" s="80"/>
      <c r="CC104" s="80"/>
    </row>
    <row r="105" spans="1:81">
      <c r="A105">
        <f t="shared" si="106"/>
        <v>35500</v>
      </c>
      <c r="B105">
        <f t="shared" si="86"/>
        <v>35.5</v>
      </c>
      <c r="C105">
        <f t="shared" si="55"/>
        <v>1.000860251767226</v>
      </c>
      <c r="D105">
        <f t="shared" si="56"/>
        <v>4.1464093510858432E-2</v>
      </c>
      <c r="F105">
        <f t="shared" si="57"/>
        <v>0.52754973531426308</v>
      </c>
      <c r="G105">
        <f t="shared" si="58"/>
        <v>0.27572064308079025</v>
      </c>
      <c r="H105">
        <f t="shared" si="59"/>
        <v>-2.8658720069192101</v>
      </c>
      <c r="J105">
        <f t="shared" si="60"/>
        <v>9</v>
      </c>
      <c r="M105">
        <f t="shared" si="61"/>
        <v>0.11889354616254809</v>
      </c>
      <c r="N105">
        <f t="shared" si="62"/>
        <v>-1.5707963250000001</v>
      </c>
      <c r="O105">
        <f t="shared" si="63"/>
        <v>4.6736856320783744</v>
      </c>
      <c r="P105">
        <f t="shared" si="64"/>
        <v>1.3551652848298494</v>
      </c>
      <c r="Q105">
        <f t="shared" si="65"/>
        <v>2.1153976812614439</v>
      </c>
      <c r="R105">
        <f t="shared" si="66"/>
        <v>1.0784164999503485</v>
      </c>
      <c r="S105">
        <f t="shared" si="67"/>
        <v>0.99971398112627674</v>
      </c>
      <c r="T105">
        <f t="shared" si="68"/>
        <v>-2.3917880726742374E-2</v>
      </c>
      <c r="U105">
        <f t="shared" si="69"/>
        <v>0.99930542517126153</v>
      </c>
      <c r="V105">
        <f t="shared" si="70"/>
        <v>-3.72734556845336E-2</v>
      </c>
      <c r="X105">
        <f t="shared" si="87"/>
        <v>14.93326346937617</v>
      </c>
      <c r="Y105">
        <f t="shared" si="71"/>
        <v>-115.89869304255511</v>
      </c>
      <c r="Z105">
        <f t="shared" si="88"/>
        <v>64.101306957444891</v>
      </c>
      <c r="AC105">
        <v>1</v>
      </c>
      <c r="AD105">
        <f t="shared" si="72"/>
        <v>4.565450403574201</v>
      </c>
      <c r="AE105">
        <f t="shared" si="73"/>
        <v>-5.7026914876869579E-6</v>
      </c>
      <c r="AF105">
        <f t="shared" si="74"/>
        <v>1.5292519037963999E-4</v>
      </c>
      <c r="AG105">
        <f t="shared" si="89"/>
        <v>29569.174043028761</v>
      </c>
      <c r="AH105">
        <f t="shared" si="90"/>
        <v>-7641.8010284112179</v>
      </c>
      <c r="AJ105">
        <f t="shared" si="75"/>
        <v>55000</v>
      </c>
      <c r="AK105">
        <f t="shared" si="76"/>
        <v>1315.7343447373128</v>
      </c>
      <c r="AL105">
        <v>1</v>
      </c>
      <c r="AM105">
        <f t="shared" si="77"/>
        <v>1.8641103373690877</v>
      </c>
      <c r="AN105">
        <f t="shared" si="91"/>
        <v>12838.85218198232</v>
      </c>
      <c r="AO105">
        <f t="shared" si="92"/>
        <v>-22617.302727649596</v>
      </c>
      <c r="AQ105">
        <f t="shared" si="78"/>
        <v>9.0083424023996646</v>
      </c>
      <c r="AR105">
        <f t="shared" si="79"/>
        <v>-168.53257383529413</v>
      </c>
      <c r="AT105">
        <f t="shared" si="104"/>
        <v>-1021523.1517195888</v>
      </c>
      <c r="AU105">
        <f t="shared" si="105"/>
        <v>-5052208.9678903455</v>
      </c>
      <c r="AV105">
        <f t="shared" si="93"/>
        <v>-1.7703000028930607</v>
      </c>
      <c r="AW105">
        <f t="shared" si="94"/>
        <v>-3615147.9372371272</v>
      </c>
      <c r="AX105">
        <f t="shared" si="95"/>
        <v>-2540688.1483402322</v>
      </c>
      <c r="AY105">
        <f t="shared" si="103"/>
        <v>-2.5289969685868412</v>
      </c>
      <c r="BA105">
        <f t="shared" si="80"/>
        <v>1.1665230933781146</v>
      </c>
      <c r="BB105">
        <f t="shared" si="96"/>
        <v>1.3378668167730354</v>
      </c>
      <c r="BC105">
        <f t="shared" si="97"/>
        <v>0.75869696569378053</v>
      </c>
      <c r="BD105">
        <f t="shared" si="81"/>
        <v>-136.5298658866927</v>
      </c>
      <c r="BF105">
        <f t="shared" si="82"/>
        <v>14.875454034901342</v>
      </c>
      <c r="BG105">
        <f t="shared" si="83"/>
        <v>-118.35651913325641</v>
      </c>
      <c r="BH105">
        <f t="shared" si="98"/>
        <v>61.643480866743587</v>
      </c>
      <c r="BI105">
        <f t="shared" si="99"/>
        <v>61.643480866743587</v>
      </c>
      <c r="BJ105">
        <f t="shared" si="84"/>
        <v>0</v>
      </c>
      <c r="BK105">
        <f t="shared" si="100"/>
        <v>0</v>
      </c>
      <c r="BM105">
        <f t="shared" si="101"/>
        <v>13.537587218128305</v>
      </c>
      <c r="BN105">
        <f t="shared" si="85"/>
        <v>-161.82665324656372</v>
      </c>
      <c r="BQ105" s="75">
        <f t="shared" si="102"/>
        <v>18.239827617058172</v>
      </c>
      <c r="BR105" s="80"/>
      <c r="BS105" s="80"/>
      <c r="BT105" s="80">
        <v>891.25099999999998</v>
      </c>
      <c r="BU105" s="80">
        <v>15.882400000000001</v>
      </c>
      <c r="BV105" s="80">
        <v>-261.38310000000001</v>
      </c>
      <c r="BW105" s="84"/>
      <c r="BY105" s="80"/>
      <c r="BZ105" s="80"/>
      <c r="CA105" s="80"/>
      <c r="CC105" s="80"/>
    </row>
    <row r="106" spans="1:81">
      <c r="A106">
        <f t="shared" si="106"/>
        <v>36000</v>
      </c>
      <c r="B106">
        <f t="shared" si="86"/>
        <v>36</v>
      </c>
      <c r="C106">
        <f t="shared" si="55"/>
        <v>1.0008846440777706</v>
      </c>
      <c r="D106">
        <f t="shared" si="56"/>
        <v>4.2047411503839172E-2</v>
      </c>
      <c r="F106">
        <f t="shared" si="57"/>
        <v>0.50640304482213505</v>
      </c>
      <c r="G106">
        <f t="shared" si="58"/>
        <v>0.268212653290751</v>
      </c>
      <c r="H106">
        <f t="shared" si="59"/>
        <v>-2.8733799967092493</v>
      </c>
      <c r="J106">
        <f t="shared" si="60"/>
        <v>9</v>
      </c>
      <c r="M106">
        <f t="shared" si="61"/>
        <v>0.11724224691029048</v>
      </c>
      <c r="N106">
        <f t="shared" si="62"/>
        <v>-1.5707963250000001</v>
      </c>
      <c r="O106">
        <f t="shared" si="63"/>
        <v>4.7365185964332444</v>
      </c>
      <c r="P106">
        <f t="shared" si="64"/>
        <v>1.3580700240425148</v>
      </c>
      <c r="Q106">
        <f t="shared" si="65"/>
        <v>2.1385699410914767</v>
      </c>
      <c r="R106">
        <f t="shared" si="66"/>
        <v>1.0842201366974142</v>
      </c>
      <c r="S106">
        <f t="shared" si="67"/>
        <v>0.99970587109739939</v>
      </c>
      <c r="T106">
        <f t="shared" si="68"/>
        <v>-2.4254621100602208E-2</v>
      </c>
      <c r="U106">
        <f t="shared" si="69"/>
        <v>0.99928574300284467</v>
      </c>
      <c r="V106">
        <f t="shared" si="70"/>
        <v>-3.779793752390017E-2</v>
      </c>
      <c r="X106">
        <f t="shared" si="87"/>
        <v>14.667032316897773</v>
      </c>
      <c r="Y106">
        <f t="shared" si="71"/>
        <v>-115.84583872011446</v>
      </c>
      <c r="Z106">
        <f t="shared" si="88"/>
        <v>64.154161279885543</v>
      </c>
      <c r="AC106">
        <v>1</v>
      </c>
      <c r="AD106">
        <f t="shared" si="72"/>
        <v>4.6297525219344005</v>
      </c>
      <c r="AE106">
        <f t="shared" si="73"/>
        <v>-5.8644619464727614E-6</v>
      </c>
      <c r="AF106">
        <f t="shared" si="74"/>
        <v>1.5507906630048002E-4</v>
      </c>
      <c r="AG106">
        <f t="shared" si="89"/>
        <v>29568.009274545668</v>
      </c>
      <c r="AH106">
        <f t="shared" si="90"/>
        <v>-7566.4658887612522</v>
      </c>
      <c r="AJ106">
        <f t="shared" si="75"/>
        <v>55000</v>
      </c>
      <c r="AK106">
        <f t="shared" si="76"/>
        <v>1334.2658143815001</v>
      </c>
      <c r="AL106">
        <v>1</v>
      </c>
      <c r="AM106">
        <f t="shared" si="77"/>
        <v>1.8903654125433</v>
      </c>
      <c r="AN106">
        <f t="shared" si="91"/>
        <v>12577.344260204434</v>
      </c>
      <c r="AO106">
        <f t="shared" si="92"/>
        <v>-22441.510756758962</v>
      </c>
      <c r="AQ106">
        <f t="shared" si="78"/>
        <v>8.7605368589974457</v>
      </c>
      <c r="AR106">
        <f t="shared" si="79"/>
        <v>-166.20490528889954</v>
      </c>
      <c r="AT106">
        <f t="shared" si="104"/>
        <v>-998552.11131641734</v>
      </c>
      <c r="AU106">
        <f t="shared" si="105"/>
        <v>-4980634.4843680058</v>
      </c>
      <c r="AV106">
        <f t="shared" si="93"/>
        <v>-1.7686600435550504</v>
      </c>
      <c r="AW106">
        <f t="shared" si="94"/>
        <v>-3539898.3994879853</v>
      </c>
      <c r="AX106">
        <f t="shared" si="95"/>
        <v>-2458421.200467471</v>
      </c>
      <c r="AY106">
        <f t="shared" si="103"/>
        <v>-2.5345747972508641</v>
      </c>
      <c r="BA106">
        <f t="shared" si="80"/>
        <v>1.1786394383081407</v>
      </c>
      <c r="BB106">
        <f t="shared" si="96"/>
        <v>1.4276193775216817</v>
      </c>
      <c r="BC106">
        <f t="shared" si="97"/>
        <v>0.76591475369581374</v>
      </c>
      <c r="BD106">
        <f t="shared" si="81"/>
        <v>-136.1163170962835</v>
      </c>
      <c r="BF106">
        <f t="shared" si="82"/>
        <v>14.610076255893009</v>
      </c>
      <c r="BG106">
        <f t="shared" si="83"/>
        <v>-118.33972481178529</v>
      </c>
      <c r="BH106">
        <f t="shared" si="98"/>
        <v>61.660275188214712</v>
      </c>
      <c r="BI106">
        <f t="shared" si="99"/>
        <v>61.660275188214712</v>
      </c>
      <c r="BJ106">
        <f t="shared" si="84"/>
        <v>0</v>
      </c>
      <c r="BK106">
        <f t="shared" si="100"/>
        <v>0</v>
      </c>
      <c r="BM106">
        <f t="shared" si="101"/>
        <v>13.182456878371326</v>
      </c>
      <c r="BN106">
        <f t="shared" si="85"/>
        <v>-162.22340771550179</v>
      </c>
      <c r="BQ106" s="75">
        <f t="shared" si="102"/>
        <v>18.329580177806818</v>
      </c>
      <c r="BR106" s="80"/>
      <c r="BS106" s="80"/>
      <c r="BT106" s="80">
        <v>912.01099999999997</v>
      </c>
      <c r="BU106" s="80">
        <v>15.6715</v>
      </c>
      <c r="BV106" s="80">
        <v>-261.74869999999999</v>
      </c>
      <c r="BW106" s="84"/>
      <c r="BY106" s="80"/>
      <c r="BZ106" s="80"/>
      <c r="CA106" s="80"/>
      <c r="CC106" s="80"/>
    </row>
    <row r="107" spans="1:81">
      <c r="A107">
        <f t="shared" si="106"/>
        <v>36500</v>
      </c>
      <c r="B107">
        <f t="shared" si="86"/>
        <v>36.5</v>
      </c>
      <c r="C107">
        <f t="shared" si="55"/>
        <v>1.0009093769325383</v>
      </c>
      <c r="D107">
        <f t="shared" si="56"/>
        <v>4.2630700867258883E-2</v>
      </c>
      <c r="F107">
        <f t="shared" si="57"/>
        <v>0.48660542605412827</v>
      </c>
      <c r="G107">
        <f t="shared" si="58"/>
        <v>0.26114282849825765</v>
      </c>
      <c r="H107">
        <f t="shared" si="59"/>
        <v>-2.8804498215017427</v>
      </c>
      <c r="J107">
        <f t="shared" si="60"/>
        <v>9</v>
      </c>
      <c r="M107">
        <f t="shared" si="61"/>
        <v>0.11563618873343719</v>
      </c>
      <c r="N107">
        <f t="shared" si="62"/>
        <v>-1.5707963250000001</v>
      </c>
      <c r="O107">
        <f t="shared" si="63"/>
        <v>4.7993904785994728</v>
      </c>
      <c r="P107">
        <f t="shared" si="64"/>
        <v>1.3608986825975411</v>
      </c>
      <c r="Q107">
        <f t="shared" si="65"/>
        <v>2.161812687061142</v>
      </c>
      <c r="R107">
        <f t="shared" si="66"/>
        <v>1.0898991656268791</v>
      </c>
      <c r="S107">
        <f t="shared" si="67"/>
        <v>0.99969764784307558</v>
      </c>
      <c r="T107">
        <f t="shared" si="68"/>
        <v>-2.4591355972812368E-2</v>
      </c>
      <c r="U107">
        <f t="shared" si="69"/>
        <v>0.99926578674678068</v>
      </c>
      <c r="V107">
        <f t="shared" si="70"/>
        <v>-3.8322398559181063E-2</v>
      </c>
      <c r="X107">
        <f t="shared" si="87"/>
        <v>14.409236384778714</v>
      </c>
      <c r="Y107">
        <f t="shared" si="71"/>
        <v>-115.77937812834212</v>
      </c>
      <c r="Z107">
        <f t="shared" si="88"/>
        <v>64.220621871657883</v>
      </c>
      <c r="AC107">
        <v>1</v>
      </c>
      <c r="AD107">
        <f t="shared" si="72"/>
        <v>4.6940546402946008</v>
      </c>
      <c r="AE107">
        <f t="shared" si="73"/>
        <v>-6.0284949291576672E-6</v>
      </c>
      <c r="AF107">
        <f t="shared" si="74"/>
        <v>1.5723294222132002E-4</v>
      </c>
      <c r="AG107">
        <f t="shared" si="89"/>
        <v>29566.828309288139</v>
      </c>
      <c r="AH107">
        <f t="shared" si="90"/>
        <v>-7493.6171637323387</v>
      </c>
      <c r="AJ107">
        <f t="shared" si="75"/>
        <v>55000</v>
      </c>
      <c r="AK107">
        <f t="shared" si="76"/>
        <v>1352.7972840256878</v>
      </c>
      <c r="AL107">
        <v>1</v>
      </c>
      <c r="AM107">
        <f t="shared" si="77"/>
        <v>1.9166204877175128</v>
      </c>
      <c r="AN107">
        <f t="shared" si="91"/>
        <v>12323.443068340384</v>
      </c>
      <c r="AO107">
        <f t="shared" si="92"/>
        <v>-22266.566179975864</v>
      </c>
      <c r="AQ107">
        <f t="shared" si="78"/>
        <v>8.5228085879865123</v>
      </c>
      <c r="AR107">
        <f t="shared" si="79"/>
        <v>-163.94048459421455</v>
      </c>
      <c r="AT107">
        <f t="shared" si="104"/>
        <v>-976514.81095187971</v>
      </c>
      <c r="AU107">
        <f t="shared" si="105"/>
        <v>-4911066.82565678</v>
      </c>
      <c r="AV107">
        <f t="shared" si="93"/>
        <v>-1.7670759173651136</v>
      </c>
      <c r="AW107">
        <f t="shared" si="94"/>
        <v>-3466662.7223732239</v>
      </c>
      <c r="AX107">
        <f t="shared" si="95"/>
        <v>-2379748.0708218208</v>
      </c>
      <c r="AY107">
        <f t="shared" si="103"/>
        <v>-2.5400073911505268</v>
      </c>
      <c r="BA107">
        <f t="shared" si="80"/>
        <v>1.1908115780769739</v>
      </c>
      <c r="BB107">
        <f t="shared" si="96"/>
        <v>1.5168609714671402</v>
      </c>
      <c r="BC107">
        <f t="shared" si="97"/>
        <v>0.77293147378541316</v>
      </c>
      <c r="BD107">
        <f t="shared" si="81"/>
        <v>-135.71428864866539</v>
      </c>
      <c r="BF107">
        <f t="shared" si="82"/>
        <v>14.353145265945662</v>
      </c>
      <c r="BG107">
        <f t="shared" si="83"/>
        <v>-118.30934746833989</v>
      </c>
      <c r="BH107">
        <f t="shared" si="98"/>
        <v>61.690652531660106</v>
      </c>
      <c r="BI107">
        <f t="shared" si="99"/>
        <v>61.690652531660106</v>
      </c>
      <c r="BJ107">
        <f t="shared" si="84"/>
        <v>0</v>
      </c>
      <c r="BK107">
        <f t="shared" si="100"/>
        <v>0</v>
      </c>
      <c r="BM107">
        <f t="shared" si="101"/>
        <v>12.836284294478519</v>
      </c>
      <c r="BN107">
        <f t="shared" si="85"/>
        <v>-162.59505881967448</v>
      </c>
      <c r="BQ107" s="75">
        <f t="shared" si="102"/>
        <v>18.418821771752278</v>
      </c>
      <c r="BR107" s="80"/>
      <c r="BS107" s="80"/>
      <c r="BT107" s="80">
        <v>933.25400000000002</v>
      </c>
      <c r="BU107" s="80">
        <v>15.471399999999999</v>
      </c>
      <c r="BV107" s="80">
        <v>-261.20730000000003</v>
      </c>
      <c r="BW107" s="84"/>
      <c r="BY107" s="80"/>
      <c r="BZ107" s="80"/>
      <c r="CA107" s="80"/>
      <c r="CC107" s="80"/>
    </row>
    <row r="108" spans="1:81">
      <c r="A108">
        <f t="shared" si="106"/>
        <v>37000</v>
      </c>
      <c r="B108">
        <f t="shared" si="86"/>
        <v>37</v>
      </c>
      <c r="C108">
        <f t="shared" si="55"/>
        <v>1.0009344503062849</v>
      </c>
      <c r="D108">
        <f t="shared" si="56"/>
        <v>4.3213961206353776E-2</v>
      </c>
      <c r="F108">
        <f t="shared" si="57"/>
        <v>0.46803893048445833</v>
      </c>
      <c r="G108">
        <f t="shared" si="58"/>
        <v>0.25447314742885957</v>
      </c>
      <c r="H108">
        <f t="shared" si="59"/>
        <v>-2.8871195025711405</v>
      </c>
      <c r="J108">
        <f t="shared" si="60"/>
        <v>9</v>
      </c>
      <c r="M108">
        <f t="shared" si="61"/>
        <v>0.11407353753433667</v>
      </c>
      <c r="N108">
        <f t="shared" si="62"/>
        <v>-1.5707963250000001</v>
      </c>
      <c r="O108">
        <f t="shared" si="63"/>
        <v>4.8622997688990575</v>
      </c>
      <c r="P108">
        <f t="shared" si="64"/>
        <v>1.3636541673626121</v>
      </c>
      <c r="Q108">
        <f t="shared" si="65"/>
        <v>2.1851236699285095</v>
      </c>
      <c r="R108">
        <f t="shared" si="66"/>
        <v>1.0954572024456759</v>
      </c>
      <c r="S108">
        <f t="shared" si="67"/>
        <v>0.99968931137169392</v>
      </c>
      <c r="T108">
        <f t="shared" si="68"/>
        <v>-2.4928085267144583E-2</v>
      </c>
      <c r="U108">
        <f t="shared" si="69"/>
        <v>0.99924555645242408</v>
      </c>
      <c r="V108">
        <f t="shared" si="70"/>
        <v>-3.8846838503115537E-2</v>
      </c>
      <c r="X108">
        <f t="shared" si="87"/>
        <v>14.159401212306062</v>
      </c>
      <c r="Y108">
        <f t="shared" si="71"/>
        <v>-115.70111601159257</v>
      </c>
      <c r="Z108">
        <f t="shared" si="88"/>
        <v>64.298883988407425</v>
      </c>
      <c r="AC108">
        <v>1</v>
      </c>
      <c r="AD108">
        <f t="shared" si="72"/>
        <v>4.7583567586548012</v>
      </c>
      <c r="AE108">
        <f t="shared" si="73"/>
        <v>-6.1947904357416736E-6</v>
      </c>
      <c r="AF108">
        <f t="shared" si="74"/>
        <v>1.5938681814216E-4</v>
      </c>
      <c r="AG108">
        <f t="shared" si="89"/>
        <v>29565.631151148547</v>
      </c>
      <c r="AH108">
        <f t="shared" si="90"/>
        <v>-7423.1539525842436</v>
      </c>
      <c r="AJ108">
        <f t="shared" si="75"/>
        <v>55000</v>
      </c>
      <c r="AK108">
        <f t="shared" si="76"/>
        <v>1371.3287536698751</v>
      </c>
      <c r="AL108">
        <v>1</v>
      </c>
      <c r="AM108">
        <f t="shared" si="77"/>
        <v>1.9428755628917254</v>
      </c>
      <c r="AN108">
        <f t="shared" si="91"/>
        <v>12076.890832280005</v>
      </c>
      <c r="AO108">
        <f t="shared" si="92"/>
        <v>-22092.567320078055</v>
      </c>
      <c r="AQ108">
        <f t="shared" si="78"/>
        <v>8.2946189687742002</v>
      </c>
      <c r="AR108">
        <f t="shared" si="79"/>
        <v>-161.73677527212811</v>
      </c>
      <c r="AT108">
        <f t="shared" si="104"/>
        <v>-955361.33766942925</v>
      </c>
      <c r="AU108">
        <f t="shared" si="105"/>
        <v>-4843422.0748551795</v>
      </c>
      <c r="AV108">
        <f t="shared" si="93"/>
        <v>-1.7655455342418938</v>
      </c>
      <c r="AW108">
        <f t="shared" si="94"/>
        <v>-3395384.6877654279</v>
      </c>
      <c r="AX108">
        <f t="shared" si="95"/>
        <v>-2304478.9003786547</v>
      </c>
      <c r="AY108">
        <f t="shared" si="103"/>
        <v>-2.5452991688339779</v>
      </c>
      <c r="BA108">
        <f t="shared" si="80"/>
        <v>1.2030376097983495</v>
      </c>
      <c r="BB108">
        <f t="shared" si="96"/>
        <v>1.6055840924755409</v>
      </c>
      <c r="BC108">
        <f t="shared" si="97"/>
        <v>0.77975363459208413</v>
      </c>
      <c r="BD108">
        <f t="shared" si="81"/>
        <v>-135.32340762683694</v>
      </c>
      <c r="BF108">
        <f t="shared" si="82"/>
        <v>14.104186588996015</v>
      </c>
      <c r="BG108">
        <f t="shared" si="83"/>
        <v>-118.26719266709719</v>
      </c>
      <c r="BH108">
        <f t="shared" si="98"/>
        <v>61.732807332902809</v>
      </c>
      <c r="BI108">
        <f t="shared" si="99"/>
        <v>61.732807332902809</v>
      </c>
      <c r="BJ108">
        <f t="shared" si="84"/>
        <v>0</v>
      </c>
      <c r="BK108">
        <f t="shared" si="100"/>
        <v>0</v>
      </c>
      <c r="BM108">
        <f t="shared" si="101"/>
        <v>12.498602496520475</v>
      </c>
      <c r="BN108">
        <f t="shared" si="85"/>
        <v>-162.94378504026025</v>
      </c>
      <c r="BQ108" s="75">
        <f t="shared" si="102"/>
        <v>18.507544892760677</v>
      </c>
      <c r="BR108" s="80"/>
      <c r="BS108" s="80"/>
      <c r="BT108" s="80">
        <v>954.99300000000005</v>
      </c>
      <c r="BU108" s="80">
        <v>15.352499999999999</v>
      </c>
      <c r="BV108" s="80">
        <v>-261.26609999999999</v>
      </c>
      <c r="BW108" s="84"/>
      <c r="BY108" s="80"/>
      <c r="BZ108" s="80"/>
      <c r="CA108" s="80"/>
      <c r="CC108" s="80"/>
    </row>
    <row r="109" spans="1:81">
      <c r="A109">
        <f t="shared" si="106"/>
        <v>37500</v>
      </c>
      <c r="B109">
        <f t="shared" si="86"/>
        <v>37.5</v>
      </c>
      <c r="C109">
        <f t="shared" si="55"/>
        <v>1.0009598641734212</v>
      </c>
      <c r="D109">
        <f t="shared" si="56"/>
        <v>4.3797192126478299E-2</v>
      </c>
      <c r="F109">
        <f t="shared" si="57"/>
        <v>0.45059854955415357</v>
      </c>
      <c r="G109">
        <f t="shared" si="58"/>
        <v>0.24816984796656807</v>
      </c>
      <c r="H109">
        <f t="shared" si="59"/>
        <v>-2.8934228020334323</v>
      </c>
      <c r="J109">
        <f t="shared" si="60"/>
        <v>9</v>
      </c>
      <c r="M109">
        <f t="shared" si="61"/>
        <v>0.11255255703387886</v>
      </c>
      <c r="N109">
        <f t="shared" si="62"/>
        <v>-1.5707963250000001</v>
      </c>
      <c r="O109">
        <f t="shared" si="63"/>
        <v>4.9252450339096416</v>
      </c>
      <c r="P109">
        <f t="shared" si="64"/>
        <v>1.3663392411833091</v>
      </c>
      <c r="Q109">
        <f t="shared" si="65"/>
        <v>2.2085007289493856</v>
      </c>
      <c r="R109">
        <f t="shared" si="66"/>
        <v>1.1008977403475009</v>
      </c>
      <c r="S109">
        <f t="shared" si="67"/>
        <v>0.99968086169175807</v>
      </c>
      <c r="T109">
        <f t="shared" si="68"/>
        <v>-2.5264808907378165E-2</v>
      </c>
      <c r="U109">
        <f t="shared" si="69"/>
        <v>0.99922505216980173</v>
      </c>
      <c r="V109">
        <f t="shared" si="70"/>
        <v>-3.9371257068512383E-2</v>
      </c>
      <c r="X109">
        <f t="shared" si="87"/>
        <v>13.917088183952204</v>
      </c>
      <c r="Y109">
        <f t="shared" si="71"/>
        <v>-115.61262835376388</v>
      </c>
      <c r="Z109">
        <f t="shared" si="88"/>
        <v>64.387371646236119</v>
      </c>
      <c r="AC109">
        <v>1</v>
      </c>
      <c r="AD109">
        <f t="shared" si="72"/>
        <v>4.8226588770150007</v>
      </c>
      <c r="AE109">
        <f t="shared" si="73"/>
        <v>-6.3633484662247839E-6</v>
      </c>
      <c r="AF109">
        <f t="shared" si="74"/>
        <v>1.61540694063E-4</v>
      </c>
      <c r="AG109">
        <f t="shared" si="89"/>
        <v>29564.417804072138</v>
      </c>
      <c r="AH109">
        <f t="shared" si="90"/>
        <v>-7354.9807346067701</v>
      </c>
      <c r="AJ109">
        <f t="shared" si="75"/>
        <v>55000</v>
      </c>
      <c r="AK109">
        <f t="shared" si="76"/>
        <v>1389.8602233140625</v>
      </c>
      <c r="AL109">
        <v>1</v>
      </c>
      <c r="AM109">
        <f t="shared" si="77"/>
        <v>1.9691306380659377</v>
      </c>
      <c r="AN109">
        <f t="shared" si="91"/>
        <v>11837.438590148335</v>
      </c>
      <c r="AO109">
        <f t="shared" si="92"/>
        <v>-21919.602780771082</v>
      </c>
      <c r="AQ109">
        <f t="shared" si="78"/>
        <v>8.0754648615840399</v>
      </c>
      <c r="AR109">
        <f t="shared" si="79"/>
        <v>-159.59137432705458</v>
      </c>
      <c r="AT109">
        <f t="shared" si="104"/>
        <v>-935045.06645492977</v>
      </c>
      <c r="AU109">
        <f t="shared" si="105"/>
        <v>-4777620.957011058</v>
      </c>
      <c r="AV109">
        <f t="shared" si="93"/>
        <v>-1.7640669047396533</v>
      </c>
      <c r="AW109">
        <f t="shared" si="94"/>
        <v>-3326008.9581339806</v>
      </c>
      <c r="AX109">
        <f t="shared" si="95"/>
        <v>-2232435.3928788658</v>
      </c>
      <c r="AY109">
        <f t="shared" si="103"/>
        <v>-2.550454383294229</v>
      </c>
      <c r="BA109">
        <f t="shared" si="80"/>
        <v>1.215315724355295</v>
      </c>
      <c r="BB109">
        <f t="shared" si="96"/>
        <v>1.6937823411236397</v>
      </c>
      <c r="BC109">
        <f t="shared" si="97"/>
        <v>0.78638747855457569</v>
      </c>
      <c r="BD109">
        <f t="shared" si="81"/>
        <v>-134.94331636540352</v>
      </c>
      <c r="BF109">
        <f t="shared" si="82"/>
        <v>13.862761593939046</v>
      </c>
      <c r="BG109">
        <f t="shared" si="83"/>
        <v>-118.21483719202998</v>
      </c>
      <c r="BH109">
        <f t="shared" si="98"/>
        <v>61.785162807970025</v>
      </c>
      <c r="BI109">
        <f t="shared" si="99"/>
        <v>61.785162807970025</v>
      </c>
      <c r="BJ109">
        <f t="shared" si="84"/>
        <v>0</v>
      </c>
      <c r="BK109">
        <f t="shared" si="100"/>
        <v>0</v>
      </c>
      <c r="BM109">
        <f t="shared" si="101"/>
        <v>12.168979252815406</v>
      </c>
      <c r="BN109">
        <f t="shared" si="85"/>
        <v>-163.27152082662647</v>
      </c>
      <c r="BQ109" s="75">
        <f t="shared" si="102"/>
        <v>18.595743141408775</v>
      </c>
      <c r="BR109" s="80"/>
      <c r="BS109" s="80"/>
      <c r="BT109" s="80">
        <v>977.23699999999997</v>
      </c>
      <c r="BU109" s="80">
        <v>15.0807</v>
      </c>
      <c r="BV109" s="80">
        <v>-260.93240000000003</v>
      </c>
      <c r="BW109" s="84"/>
      <c r="BY109" s="80"/>
      <c r="BZ109" s="80"/>
      <c r="CA109" s="80"/>
      <c r="CC109" s="80"/>
    </row>
    <row r="110" spans="1:81">
      <c r="A110">
        <f t="shared" si="106"/>
        <v>38000</v>
      </c>
      <c r="B110">
        <f t="shared" si="86"/>
        <v>38</v>
      </c>
      <c r="C110">
        <f t="shared" si="55"/>
        <v>1.0009856185080128</v>
      </c>
      <c r="D110">
        <f t="shared" si="56"/>
        <v>4.4380393233106802E-2</v>
      </c>
      <c r="F110">
        <f t="shared" si="57"/>
        <v>0.43419053234253369</v>
      </c>
      <c r="G110">
        <f t="shared" si="58"/>
        <v>0.24220285319470133</v>
      </c>
      <c r="H110">
        <f t="shared" si="59"/>
        <v>-2.8993897968052988</v>
      </c>
      <c r="J110">
        <f t="shared" si="60"/>
        <v>9</v>
      </c>
      <c r="M110">
        <f t="shared" si="61"/>
        <v>0.11107160233606467</v>
      </c>
      <c r="N110">
        <f t="shared" si="62"/>
        <v>-1.5707963250000001</v>
      </c>
      <c r="O110">
        <f t="shared" si="63"/>
        <v>4.9882249117615549</v>
      </c>
      <c r="P110">
        <f t="shared" si="64"/>
        <v>1.3689565315554832</v>
      </c>
      <c r="Q110">
        <f t="shared" si="65"/>
        <v>2.2319417879064192</v>
      </c>
      <c r="R110">
        <f t="shared" si="66"/>
        <v>1.1062241542245037</v>
      </c>
      <c r="S110">
        <f t="shared" si="67"/>
        <v>0.99967229881188713</v>
      </c>
      <c r="T110">
        <f t="shared" si="68"/>
        <v>-2.5601526817300123E-2</v>
      </c>
      <c r="U110">
        <f t="shared" si="69"/>
        <v>0.99920427394961253</v>
      </c>
      <c r="V110">
        <f t="shared" si="70"/>
        <v>-3.989565396825083E-2</v>
      </c>
      <c r="X110">
        <f t="shared" si="87"/>
        <v>13.681891298986667</v>
      </c>
      <c r="Y110">
        <f t="shared" si="71"/>
        <v>-115.51529452553186</v>
      </c>
      <c r="Z110">
        <f t="shared" si="88"/>
        <v>64.484705474468143</v>
      </c>
      <c r="AC110">
        <v>1</v>
      </c>
      <c r="AD110">
        <f t="shared" si="72"/>
        <v>4.8869609953752002</v>
      </c>
      <c r="AE110">
        <f t="shared" si="73"/>
        <v>-6.5341690206069956E-6</v>
      </c>
      <c r="AF110">
        <f t="shared" si="74"/>
        <v>1.6369456998384E-4</v>
      </c>
      <c r="AG110">
        <f t="shared" si="89"/>
        <v>29563.18827205705</v>
      </c>
      <c r="AH110">
        <f t="shared" si="90"/>
        <v>-7289.0070151712271</v>
      </c>
      <c r="AJ110">
        <f t="shared" si="75"/>
        <v>55000</v>
      </c>
      <c r="AK110">
        <f t="shared" si="76"/>
        <v>1408.3916929582501</v>
      </c>
      <c r="AL110">
        <v>1</v>
      </c>
      <c r="AM110">
        <f t="shared" si="77"/>
        <v>1.9953857132401502</v>
      </c>
      <c r="AN110">
        <f t="shared" si="91"/>
        <v>11604.845985052203</v>
      </c>
      <c r="AO110">
        <f t="shared" si="92"/>
        <v>-21747.752189967232</v>
      </c>
      <c r="AQ110">
        <f t="shared" si="78"/>
        <v>7.864875841567831</v>
      </c>
      <c r="AR110">
        <f t="shared" si="79"/>
        <v>-157.5020036032374</v>
      </c>
      <c r="AT110">
        <f t="shared" si="104"/>
        <v>-915522.40392689826</v>
      </c>
      <c r="AU110">
        <f t="shared" si="105"/>
        <v>-4713588.5209313538</v>
      </c>
      <c r="AV110">
        <f t="shared" si="93"/>
        <v>-1.7626381342155744</v>
      </c>
      <c r="AW110">
        <f t="shared" si="94"/>
        <v>-3258481.1736676292</v>
      </c>
      <c r="AX110">
        <f t="shared" si="95"/>
        <v>-2163450.0266538672</v>
      </c>
      <c r="AY110">
        <f t="shared" si="103"/>
        <v>-2.5554771289978659</v>
      </c>
      <c r="BA110">
        <f t="shared" si="80"/>
        <v>1.2276442007346156</v>
      </c>
      <c r="BB110">
        <f t="shared" si="96"/>
        <v>1.7814503320735375</v>
      </c>
      <c r="BC110">
        <f t="shared" si="97"/>
        <v>0.79283899478229158</v>
      </c>
      <c r="BD110">
        <f t="shared" si="81"/>
        <v>-134.57367171367287</v>
      </c>
      <c r="BF110">
        <f t="shared" si="82"/>
        <v>13.628464264239559</v>
      </c>
      <c r="BG110">
        <f t="shared" si="83"/>
        <v>-118.15366119543923</v>
      </c>
      <c r="BH110">
        <f t="shared" si="98"/>
        <v>61.846338804560773</v>
      </c>
      <c r="BI110">
        <f t="shared" si="99"/>
        <v>61.846338804560773</v>
      </c>
      <c r="BJ110">
        <f t="shared" si="84"/>
        <v>0</v>
      </c>
      <c r="BK110">
        <f t="shared" si="100"/>
        <v>0</v>
      </c>
      <c r="BM110">
        <f t="shared" si="101"/>
        <v>11.847013932166021</v>
      </c>
      <c r="BN110">
        <f t="shared" si="85"/>
        <v>-163.57998948176638</v>
      </c>
      <c r="BQ110" s="75">
        <f t="shared" si="102"/>
        <v>18.683411132358675</v>
      </c>
      <c r="BR110" s="80"/>
      <c r="BS110" s="80"/>
      <c r="BT110" s="80">
        <v>1000</v>
      </c>
      <c r="BU110" s="80">
        <v>14.883800000000001</v>
      </c>
      <c r="BV110" s="80">
        <v>-260.5154</v>
      </c>
      <c r="BW110" s="84"/>
      <c r="BY110" s="80"/>
      <c r="BZ110" s="80"/>
      <c r="CA110" s="80"/>
      <c r="CC110" s="80"/>
    </row>
    <row r="111" spans="1:81">
      <c r="A111">
        <f t="shared" si="106"/>
        <v>38500</v>
      </c>
      <c r="B111">
        <f t="shared" si="86"/>
        <v>38.5</v>
      </c>
      <c r="C111">
        <f t="shared" si="55"/>
        <v>1.0010117132837808</v>
      </c>
      <c r="D111">
        <f t="shared" si="56"/>
        <v>4.4963564131835075E-2</v>
      </c>
      <c r="F111">
        <f t="shared" si="57"/>
        <v>0.41873095226898832</v>
      </c>
      <c r="G111">
        <f t="shared" si="58"/>
        <v>0.23654528664943617</v>
      </c>
      <c r="H111">
        <f t="shared" si="59"/>
        <v>-2.905047363350564</v>
      </c>
      <c r="J111">
        <f t="shared" si="60"/>
        <v>9</v>
      </c>
      <c r="M111">
        <f t="shared" si="61"/>
        <v>0.10962911399403785</v>
      </c>
      <c r="N111">
        <f t="shared" si="62"/>
        <v>-1.5707963250000001</v>
      </c>
      <c r="O111">
        <f t="shared" si="63"/>
        <v>5.0512381077748438</v>
      </c>
      <c r="P111">
        <f t="shared" si="64"/>
        <v>1.371508538688738</v>
      </c>
      <c r="Q111">
        <f t="shared" si="65"/>
        <v>2.2554448513277037</v>
      </c>
      <c r="R111">
        <f t="shared" si="66"/>
        <v>1.1114397047762152</v>
      </c>
      <c r="S111">
        <f t="shared" si="67"/>
        <v>0.99966362274081466</v>
      </c>
      <c r="T111">
        <f t="shared" si="68"/>
        <v>-2.5938238920705247E-2</v>
      </c>
      <c r="U111">
        <f t="shared" si="69"/>
        <v>0.99918322184322739</v>
      </c>
      <c r="V111">
        <f t="shared" si="70"/>
        <v>-4.0420028915281493E-2</v>
      </c>
      <c r="X111">
        <f t="shared" si="87"/>
        <v>13.453434254813224</v>
      </c>
      <c r="Y111">
        <f t="shared" si="71"/>
        <v>-115.41032436084836</v>
      </c>
      <c r="Z111">
        <f t="shared" si="88"/>
        <v>64.589675639151636</v>
      </c>
      <c r="AC111">
        <v>1</v>
      </c>
      <c r="AD111">
        <f t="shared" si="72"/>
        <v>4.9512631137354006</v>
      </c>
      <c r="AE111">
        <f t="shared" si="73"/>
        <v>-6.7072520988883104E-6</v>
      </c>
      <c r="AF111">
        <f t="shared" si="74"/>
        <v>1.6584844590468E-4</v>
      </c>
      <c r="AG111">
        <f t="shared" si="89"/>
        <v>29561.942559154249</v>
      </c>
      <c r="AH111">
        <f t="shared" si="90"/>
        <v>-7225.1469993623223</v>
      </c>
      <c r="AJ111">
        <f t="shared" si="75"/>
        <v>55000</v>
      </c>
      <c r="AK111">
        <f t="shared" si="76"/>
        <v>1426.9231626024377</v>
      </c>
      <c r="AL111">
        <v>1</v>
      </c>
      <c r="AM111">
        <f t="shared" si="77"/>
        <v>2.0216407884143628</v>
      </c>
      <c r="AN111">
        <f t="shared" si="91"/>
        <v>11378.881047784595</v>
      </c>
      <c r="AO111">
        <f t="shared" si="92"/>
        <v>-21577.08689011406</v>
      </c>
      <c r="AQ111">
        <f t="shared" si="78"/>
        <v>7.6624116810349729</v>
      </c>
      <c r="AR111">
        <f t="shared" si="79"/>
        <v>-155.46650180235909</v>
      </c>
      <c r="AT111">
        <f t="shared" si="104"/>
        <v>-896752.55501932348</v>
      </c>
      <c r="AU111">
        <f t="shared" si="105"/>
        <v>-4651253.8469190979</v>
      </c>
      <c r="AV111">
        <f t="shared" si="93"/>
        <v>-1.7612574173859825</v>
      </c>
      <c r="AW111">
        <f t="shared" si="94"/>
        <v>-3192748.0307895229</v>
      </c>
      <c r="AX111">
        <f t="shared" si="95"/>
        <v>-2097365.3254042049</v>
      </c>
      <c r="AY111">
        <f t="shared" si="103"/>
        <v>-2.5603713485927964</v>
      </c>
      <c r="BA111">
        <f t="shared" si="80"/>
        <v>1.2400214007747132</v>
      </c>
      <c r="BB111">
        <f t="shared" si="96"/>
        <v>1.8685836090215424</v>
      </c>
      <c r="BC111">
        <f t="shared" si="97"/>
        <v>0.79911393120681384</v>
      </c>
      <c r="BD111">
        <f t="shared" si="81"/>
        <v>-134.214144339424</v>
      </c>
      <c r="BF111">
        <f t="shared" si="82"/>
        <v>13.400918281269046</v>
      </c>
      <c r="BG111">
        <f t="shared" si="83"/>
        <v>-118.08487527564868</v>
      </c>
      <c r="BH111">
        <f t="shared" si="98"/>
        <v>61.915124724351315</v>
      </c>
      <c r="BI111">
        <f t="shared" si="99"/>
        <v>61.915124724351315</v>
      </c>
      <c r="BJ111">
        <f t="shared" si="84"/>
        <v>0</v>
      </c>
      <c r="BK111">
        <f t="shared" si="100"/>
        <v>0</v>
      </c>
      <c r="BM111">
        <f t="shared" si="101"/>
        <v>11.532334672247501</v>
      </c>
      <c r="BN111">
        <f t="shared" si="85"/>
        <v>-163.8707309362247</v>
      </c>
      <c r="BQ111" s="75">
        <f t="shared" si="102"/>
        <v>18.77054440930668</v>
      </c>
      <c r="BR111" s="80"/>
      <c r="BS111" s="80"/>
      <c r="BT111" s="80">
        <v>1023.293</v>
      </c>
      <c r="BU111" s="80">
        <v>14.7437</v>
      </c>
      <c r="BV111" s="80">
        <v>-261.12389999999999</v>
      </c>
      <c r="BW111" s="84"/>
      <c r="BY111" s="80"/>
      <c r="BZ111" s="80"/>
      <c r="CA111" s="80"/>
      <c r="CC111" s="80"/>
    </row>
    <row r="112" spans="1:81">
      <c r="A112">
        <f t="shared" si="106"/>
        <v>39000</v>
      </c>
      <c r="B112">
        <f t="shared" si="86"/>
        <v>39</v>
      </c>
      <c r="C112">
        <f t="shared" si="55"/>
        <v>1.0010381484741016</v>
      </c>
      <c r="D112">
        <f t="shared" si="56"/>
        <v>4.5546704428381941E-2</v>
      </c>
      <c r="F112">
        <f t="shared" si="57"/>
        <v>0.40414448211120585</v>
      </c>
      <c r="G112">
        <f t="shared" si="58"/>
        <v>0.23117306123851891</v>
      </c>
      <c r="H112">
        <f t="shared" si="59"/>
        <v>-2.9104195887614814</v>
      </c>
      <c r="J112">
        <f t="shared" si="60"/>
        <v>9</v>
      </c>
      <c r="M112">
        <f t="shared" si="61"/>
        <v>0.10822361253257583</v>
      </c>
      <c r="N112">
        <f t="shared" si="62"/>
        <v>-1.5707963250000001</v>
      </c>
      <c r="O112">
        <f t="shared" si="63"/>
        <v>5.114283390408298</v>
      </c>
      <c r="P112">
        <f t="shared" si="64"/>
        <v>1.3739976430094312</v>
      </c>
      <c r="Q112">
        <f t="shared" si="65"/>
        <v>2.2790080008861744</v>
      </c>
      <c r="R112">
        <f t="shared" si="66"/>
        <v>1.1165475425115012</v>
      </c>
      <c r="S112">
        <f t="shared" si="67"/>
        <v>0.9996548334873897</v>
      </c>
      <c r="T112">
        <f t="shared" si="68"/>
        <v>-2.6274945141396232E-2</v>
      </c>
      <c r="U112">
        <f t="shared" si="69"/>
        <v>0.99916189590268811</v>
      </c>
      <c r="V112">
        <f t="shared" si="70"/>
        <v>-4.0944381622627306E-2</v>
      </c>
      <c r="X112">
        <f t="shared" si="87"/>
        <v>13.231367816522441</v>
      </c>
      <c r="Y112">
        <f t="shared" si="71"/>
        <v>-115.29878105097877</v>
      </c>
      <c r="Z112">
        <f t="shared" si="88"/>
        <v>64.701218949021225</v>
      </c>
      <c r="AC112">
        <v>1</v>
      </c>
      <c r="AD112">
        <f t="shared" si="72"/>
        <v>5.015565232095601</v>
      </c>
      <c r="AE112">
        <f t="shared" si="73"/>
        <v>-6.8825977010687266E-6</v>
      </c>
      <c r="AF112">
        <f t="shared" si="74"/>
        <v>1.6800232182552E-4</v>
      </c>
      <c r="AG112">
        <f t="shared" si="89"/>
        <v>29560.680669467471</v>
      </c>
      <c r="AH112">
        <f t="shared" si="90"/>
        <v>-7163.3192907152761</v>
      </c>
      <c r="AJ112">
        <f t="shared" si="75"/>
        <v>55000</v>
      </c>
      <c r="AK112">
        <f t="shared" si="76"/>
        <v>1445.4546322466251</v>
      </c>
      <c r="AL112">
        <v>1</v>
      </c>
      <c r="AM112">
        <f t="shared" si="77"/>
        <v>2.0478958635885749</v>
      </c>
      <c r="AN112">
        <f t="shared" si="91"/>
        <v>11159.319972088188</v>
      </c>
      <c r="AO112">
        <f t="shared" si="92"/>
        <v>-21407.670579054145</v>
      </c>
      <c r="AQ112">
        <f t="shared" si="78"/>
        <v>7.4676600547039396</v>
      </c>
      <c r="AR112">
        <f t="shared" si="79"/>
        <v>-153.48281710433008</v>
      </c>
      <c r="AT112">
        <f t="shared" si="104"/>
        <v>-878697.3103315311</v>
      </c>
      <c r="AU112">
        <f t="shared" si="105"/>
        <v>-4590549.7779977461</v>
      </c>
      <c r="AV112">
        <f t="shared" si="93"/>
        <v>-1.7599230332426932</v>
      </c>
      <c r="AW112">
        <f t="shared" si="94"/>
        <v>-3128757.3444946702</v>
      </c>
      <c r="AX112">
        <f t="shared" si="95"/>
        <v>-2034033.1831545229</v>
      </c>
      <c r="AY112">
        <f t="shared" si="103"/>
        <v>-2.5651408393102746</v>
      </c>
      <c r="BA112">
        <f t="shared" si="80"/>
        <v>1.2524457642910491</v>
      </c>
      <c r="BB112">
        <f t="shared" si="96"/>
        <v>1.9551785665683852</v>
      </c>
      <c r="BC112">
        <f t="shared" si="97"/>
        <v>0.80521780606758142</v>
      </c>
      <c r="BD112">
        <f t="shared" si="81"/>
        <v>-133.86441807082639</v>
      </c>
      <c r="BF112">
        <f t="shared" si="82"/>
        <v>13.179774393857912</v>
      </c>
      <c r="BG112">
        <f t="shared" si="83"/>
        <v>-118.00954337214698</v>
      </c>
      <c r="BH112">
        <f t="shared" si="98"/>
        <v>61.990456627853021</v>
      </c>
      <c r="BI112">
        <f t="shared" si="99"/>
        <v>61.990456627853021</v>
      </c>
      <c r="BJ112">
        <f t="shared" si="84"/>
        <v>0</v>
      </c>
      <c r="BK112">
        <f t="shared" si="100"/>
        <v>0</v>
      </c>
      <c r="BM112">
        <f t="shared" si="101"/>
        <v>11.224595827289527</v>
      </c>
      <c r="BN112">
        <f t="shared" si="85"/>
        <v>-164.1451253013206</v>
      </c>
      <c r="BQ112" s="75">
        <f t="shared" si="102"/>
        <v>18.85713936685352</v>
      </c>
      <c r="BR112" s="80"/>
      <c r="BS112" s="80"/>
      <c r="BT112" s="80">
        <v>1047.1289999999999</v>
      </c>
      <c r="BU112" s="80">
        <v>14.586600000000001</v>
      </c>
      <c r="BV112" s="80">
        <v>-260.40769999999998</v>
      </c>
      <c r="BW112" s="84"/>
      <c r="BY112" s="80"/>
      <c r="BZ112" s="80"/>
      <c r="CA112" s="80"/>
      <c r="CC112" s="80"/>
    </row>
    <row r="113" spans="1:81">
      <c r="A113">
        <f t="shared" si="106"/>
        <v>39500</v>
      </c>
      <c r="B113">
        <f t="shared" si="86"/>
        <v>39.5</v>
      </c>
      <c r="C113">
        <f t="shared" si="55"/>
        <v>1.0010649240520071</v>
      </c>
      <c r="D113">
        <f t="shared" si="56"/>
        <v>4.6129813728590881E-2</v>
      </c>
      <c r="F113">
        <f t="shared" si="57"/>
        <v>0.39036334379004428</v>
      </c>
      <c r="G113">
        <f t="shared" si="58"/>
        <v>0.22606452925321369</v>
      </c>
      <c r="H113">
        <f t="shared" si="59"/>
        <v>-2.9155281207467865</v>
      </c>
      <c r="J113">
        <f t="shared" si="60"/>
        <v>9</v>
      </c>
      <c r="M113">
        <f t="shared" si="61"/>
        <v>0.10685369338659385</v>
      </c>
      <c r="N113">
        <f t="shared" si="62"/>
        <v>-1.5707963250000001</v>
      </c>
      <c r="O113">
        <f t="shared" si="63"/>
        <v>5.1773595874950429</v>
      </c>
      <c r="P113">
        <f t="shared" si="64"/>
        <v>1.376426112147338</v>
      </c>
      <c r="Q113">
        <f t="shared" si="65"/>
        <v>2.3026293919713945</v>
      </c>
      <c r="R113">
        <f t="shared" si="66"/>
        <v>1.1215507116405019</v>
      </c>
      <c r="S113">
        <f t="shared" si="67"/>
        <v>0.9996459310605762</v>
      </c>
      <c r="T113">
        <f t="shared" si="68"/>
        <v>-2.6611645403183757E-2</v>
      </c>
      <c r="U113">
        <f t="shared" si="69"/>
        <v>0.99914029618070765</v>
      </c>
      <c r="V113">
        <f t="shared" si="70"/>
        <v>-4.1468711803384475E-2</v>
      </c>
      <c r="X113">
        <f t="shared" si="87"/>
        <v>13.015367445761314</v>
      </c>
      <c r="Y113">
        <f t="shared" si="71"/>
        <v>-115.18160057404206</v>
      </c>
      <c r="Z113">
        <f t="shared" si="88"/>
        <v>64.818399425957935</v>
      </c>
      <c r="AC113">
        <v>1</v>
      </c>
      <c r="AD113">
        <f t="shared" si="72"/>
        <v>5.0798673504558005</v>
      </c>
      <c r="AE113">
        <f t="shared" si="73"/>
        <v>-7.0602058271482441E-6</v>
      </c>
      <c r="AF113">
        <f t="shared" si="74"/>
        <v>1.7015619774636001E-4</v>
      </c>
      <c r="AG113">
        <f t="shared" si="89"/>
        <v>29559.402607153235</v>
      </c>
      <c r="AH113">
        <f t="shared" si="90"/>
        <v>-7103.4466128337126</v>
      </c>
      <c r="AJ113">
        <f t="shared" si="75"/>
        <v>55000</v>
      </c>
      <c r="AK113">
        <f t="shared" si="76"/>
        <v>1463.9861018908127</v>
      </c>
      <c r="AL113">
        <v>1</v>
      </c>
      <c r="AM113">
        <f t="shared" si="77"/>
        <v>2.0741509387627879</v>
      </c>
      <c r="AN113">
        <f t="shared" si="91"/>
        <v>10945.946884727644</v>
      </c>
      <c r="AO113">
        <f t="shared" si="92"/>
        <v>-21239.559904714642</v>
      </c>
      <c r="AQ113">
        <f t="shared" si="78"/>
        <v>7.280234445698377</v>
      </c>
      <c r="AR113">
        <f t="shared" si="79"/>
        <v>-151.54900033888026</v>
      </c>
      <c r="AT113">
        <f t="shared" si="104"/>
        <v>-861320.85208069091</v>
      </c>
      <c r="AU113">
        <f t="shared" si="105"/>
        <v>-4531412.6724424949</v>
      </c>
      <c r="AV113">
        <f t="shared" si="93"/>
        <v>-1.7586333403029768</v>
      </c>
      <c r="AW113">
        <f t="shared" si="94"/>
        <v>-3066458.0966463289</v>
      </c>
      <c r="AX113">
        <f t="shared" si="95"/>
        <v>-1973314.2390245365</v>
      </c>
      <c r="AY113">
        <f t="shared" si="103"/>
        <v>-2.569789259075657</v>
      </c>
      <c r="BA113">
        <f t="shared" si="80"/>
        <v>1.2649158045471294</v>
      </c>
      <c r="BB113">
        <f t="shared" si="96"/>
        <v>2.0412323784185791</v>
      </c>
      <c r="BC113">
        <f t="shared" si="97"/>
        <v>0.81115591877268023</v>
      </c>
      <c r="BD113">
        <f t="shared" si="81"/>
        <v>-133.52418927416244</v>
      </c>
      <c r="BF113">
        <f t="shared" si="82"/>
        <v>12.964708047164848</v>
      </c>
      <c r="BG113">
        <f t="shared" si="83"/>
        <v>-117.92860219614812</v>
      </c>
      <c r="BH113">
        <f t="shared" si="98"/>
        <v>62.07139780385188</v>
      </c>
      <c r="BI113">
        <f t="shared" si="99"/>
        <v>62.07139780385188</v>
      </c>
      <c r="BJ113">
        <f t="shared" si="84"/>
        <v>0</v>
      </c>
      <c r="BK113">
        <f t="shared" si="100"/>
        <v>0</v>
      </c>
      <c r="BM113">
        <f t="shared" si="101"/>
        <v>10.923475668746267</v>
      </c>
      <c r="BN113">
        <f t="shared" si="85"/>
        <v>-164.40441292198568</v>
      </c>
      <c r="BQ113" s="75">
        <f t="shared" si="102"/>
        <v>18.943193178703716</v>
      </c>
      <c r="BR113" s="80"/>
      <c r="BS113" s="80"/>
      <c r="BT113" s="80">
        <v>1071.519</v>
      </c>
      <c r="BU113" s="80">
        <v>14.3581</v>
      </c>
      <c r="BV113" s="80">
        <v>-260.5301</v>
      </c>
      <c r="BW113" s="84"/>
      <c r="BY113" s="80"/>
      <c r="BZ113" s="80"/>
      <c r="CA113" s="80"/>
      <c r="CC113" s="80"/>
    </row>
    <row r="114" spans="1:81">
      <c r="A114">
        <f t="shared" si="106"/>
        <v>40000</v>
      </c>
      <c r="B114">
        <f t="shared" si="86"/>
        <v>40</v>
      </c>
      <c r="C114">
        <f t="shared" si="55"/>
        <v>1.001092039990185</v>
      </c>
      <c r="D114">
        <f t="shared" si="56"/>
        <v>4.6712891638431557E-2</v>
      </c>
      <c r="F114">
        <f t="shared" si="57"/>
        <v>0.37732640521284855</v>
      </c>
      <c r="G114">
        <f t="shared" si="58"/>
        <v>0.22120018326183619</v>
      </c>
      <c r="H114">
        <f t="shared" si="59"/>
        <v>-2.9203924667381642</v>
      </c>
      <c r="J114">
        <f t="shared" si="60"/>
        <v>9</v>
      </c>
      <c r="M114">
        <f t="shared" si="61"/>
        <v>0.10551802221926143</v>
      </c>
      <c r="N114">
        <f t="shared" si="62"/>
        <v>-1.5707963250000001</v>
      </c>
      <c r="O114">
        <f t="shared" si="63"/>
        <v>5.2404655827415469</v>
      </c>
      <c r="P114">
        <f t="shared" si="64"/>
        <v>1.3787961074462696</v>
      </c>
      <c r="Q114">
        <f t="shared" si="65"/>
        <v>2.3263072504256002</v>
      </c>
      <c r="R114">
        <f t="shared" si="66"/>
        <v>1.126452153854524</v>
      </c>
      <c r="S114">
        <f t="shared" si="67"/>
        <v>0.99963691546945321</v>
      </c>
      <c r="T114">
        <f t="shared" si="68"/>
        <v>-2.6948339629886617E-2</v>
      </c>
      <c r="U114">
        <f t="shared" si="69"/>
        <v>0.99911842273066997</v>
      </c>
      <c r="V114">
        <f t="shared" si="70"/>
        <v>-4.19930191707234E-2</v>
      </c>
      <c r="X114">
        <f t="shared" si="87"/>
        <v>12.805131163429786</v>
      </c>
      <c r="Y114">
        <f t="shared" si="71"/>
        <v>-115.0596082429461</v>
      </c>
      <c r="Z114">
        <f t="shared" si="88"/>
        <v>64.940391757053902</v>
      </c>
      <c r="AC114">
        <v>1</v>
      </c>
      <c r="AD114">
        <f t="shared" si="72"/>
        <v>5.144169468816</v>
      </c>
      <c r="AE114">
        <f t="shared" si="73"/>
        <v>-7.2400764771268648E-6</v>
      </c>
      <c r="AF114">
        <f t="shared" si="74"/>
        <v>1.7231007366720001E-4</v>
      </c>
      <c r="AG114">
        <f t="shared" si="89"/>
        <v>29558.10837642078</v>
      </c>
      <c r="AH114">
        <f t="shared" si="90"/>
        <v>-7045.455551886178</v>
      </c>
      <c r="AJ114">
        <f t="shared" si="75"/>
        <v>55000</v>
      </c>
      <c r="AK114">
        <f t="shared" si="76"/>
        <v>1482.5175715350001</v>
      </c>
      <c r="AL114">
        <v>1</v>
      </c>
      <c r="AM114">
        <f t="shared" si="77"/>
        <v>2.1004060139370004</v>
      </c>
      <c r="AN114">
        <f t="shared" si="91"/>
        <v>10738.553612309128</v>
      </c>
      <c r="AO114">
        <f t="shared" si="92"/>
        <v>-21072.805016743994</v>
      </c>
      <c r="AQ114">
        <f t="shared" si="78"/>
        <v>7.0997722324809427</v>
      </c>
      <c r="AR114">
        <f t="shared" si="79"/>
        <v>-149.66319866069827</v>
      </c>
      <c r="AT114">
        <f t="shared" si="104"/>
        <v>-844589.57682148612</v>
      </c>
      <c r="AU114">
        <f t="shared" si="105"/>
        <v>-4473782.1756671732</v>
      </c>
      <c r="AV114">
        <f t="shared" si="93"/>
        <v>-1.7573867721687391</v>
      </c>
      <c r="AW114">
        <f t="shared" si="94"/>
        <v>-3005800.4721095976</v>
      </c>
      <c r="AX114">
        <f t="shared" si="95"/>
        <v>-1915077.2978333659</v>
      </c>
      <c r="AY114">
        <f t="shared" si="103"/>
        <v>-2.5743201323416196</v>
      </c>
      <c r="BA114">
        <f t="shared" si="80"/>
        <v>1.2774301040420468</v>
      </c>
      <c r="BB114">
        <f t="shared" si="96"/>
        <v>2.1267429313710746</v>
      </c>
      <c r="BC114">
        <f t="shared" si="97"/>
        <v>0.81693336017288054</v>
      </c>
      <c r="BD114">
        <f t="shared" si="81"/>
        <v>-133.19316626516857</v>
      </c>
      <c r="BF114">
        <f t="shared" si="82"/>
        <v>12.755417245372939</v>
      </c>
      <c r="BG114">
        <f t="shared" si="83"/>
        <v>-117.84287777947067</v>
      </c>
      <c r="BH114">
        <f t="shared" si="98"/>
        <v>62.157122220529331</v>
      </c>
      <c r="BI114">
        <f t="shared" si="99"/>
        <v>62.157122220529331</v>
      </c>
      <c r="BJ114">
        <f t="shared" si="84"/>
        <v>0</v>
      </c>
      <c r="BK114">
        <f t="shared" si="100"/>
        <v>0</v>
      </c>
      <c r="BM114">
        <f t="shared" si="101"/>
        <v>10.628674314001865</v>
      </c>
      <c r="BN114">
        <f t="shared" si="85"/>
        <v>-164.64971151430211</v>
      </c>
      <c r="BQ114" s="75">
        <f t="shared" si="102"/>
        <v>19.028703731656211</v>
      </c>
      <c r="BR114" s="80"/>
      <c r="BS114" s="80"/>
      <c r="BT114" s="80">
        <v>1096.4780000000001</v>
      </c>
      <c r="BU114" s="80">
        <v>14.1501</v>
      </c>
      <c r="BV114" s="80">
        <v>-260.5471</v>
      </c>
      <c r="BW114" s="84"/>
      <c r="BY114" s="80"/>
      <c r="BZ114" s="80"/>
      <c r="CA114" s="80"/>
      <c r="CC114" s="80"/>
    </row>
    <row r="115" spans="1:81">
      <c r="A115">
        <f t="shared" si="106"/>
        <v>40500</v>
      </c>
      <c r="B115">
        <f t="shared" si="86"/>
        <v>40.5</v>
      </c>
      <c r="C115">
        <f t="shared" si="55"/>
        <v>1.0011194962609791</v>
      </c>
      <c r="D115">
        <f t="shared" si="56"/>
        <v>4.7295937764001462E-2</v>
      </c>
      <c r="F115">
        <f t="shared" si="57"/>
        <v>0.36497840123433012</v>
      </c>
      <c r="G115">
        <f t="shared" si="58"/>
        <v>0.21656239955378159</v>
      </c>
      <c r="H115">
        <f t="shared" si="59"/>
        <v>-2.9250302504462184</v>
      </c>
      <c r="J115">
        <f t="shared" si="60"/>
        <v>9</v>
      </c>
      <c r="M115">
        <f t="shared" si="61"/>
        <v>0.10421533058692486</v>
      </c>
      <c r="N115">
        <f t="shared" si="62"/>
        <v>-1.5707963250000001</v>
      </c>
      <c r="O115">
        <f t="shared" si="63"/>
        <v>5.3036003124690474</v>
      </c>
      <c r="P115">
        <f t="shared" si="64"/>
        <v>1.3811096900354523</v>
      </c>
      <c r="Q115">
        <f t="shared" si="65"/>
        <v>2.3500398694361953</v>
      </c>
      <c r="R115">
        <f t="shared" si="66"/>
        <v>1.1312547119927294</v>
      </c>
      <c r="S115">
        <f t="shared" si="67"/>
        <v>0.9996277867232144</v>
      </c>
      <c r="T115">
        <f t="shared" si="68"/>
        <v>-2.72850277453318E-2</v>
      </c>
      <c r="U115">
        <f t="shared" si="69"/>
        <v>0.9990962756066285</v>
      </c>
      <c r="V115">
        <f t="shared" si="70"/>
        <v>-4.2517303437889592E-2</v>
      </c>
      <c r="X115">
        <f t="shared" si="87"/>
        <v>12.600377622535641</v>
      </c>
      <c r="Y115">
        <f t="shared" si="71"/>
        <v>-114.93353284701192</v>
      </c>
      <c r="Z115">
        <f t="shared" si="88"/>
        <v>65.066467152988082</v>
      </c>
      <c r="AC115">
        <v>1</v>
      </c>
      <c r="AD115">
        <f t="shared" si="72"/>
        <v>5.2084715871762013</v>
      </c>
      <c r="AE115">
        <f t="shared" si="73"/>
        <v>-7.4222096510045878E-6</v>
      </c>
      <c r="AF115">
        <f t="shared" si="74"/>
        <v>1.7446394958804001E-4</v>
      </c>
      <c r="AG115">
        <f t="shared" si="89"/>
        <v>29556.797981532043</v>
      </c>
      <c r="AH115">
        <f t="shared" si="90"/>
        <v>-6989.2763181770333</v>
      </c>
      <c r="AJ115">
        <f t="shared" si="75"/>
        <v>55000</v>
      </c>
      <c r="AK115">
        <f t="shared" si="76"/>
        <v>1501.0490411791877</v>
      </c>
      <c r="AL115">
        <v>1</v>
      </c>
      <c r="AM115">
        <f t="shared" si="77"/>
        <v>2.126661089111213</v>
      </c>
      <c r="AN115">
        <f t="shared" si="91"/>
        <v>10536.939446509723</v>
      </c>
      <c r="AO115">
        <f t="shared" si="92"/>
        <v>-20907.450078034082</v>
      </c>
      <c r="AQ115">
        <f t="shared" si="78"/>
        <v>6.925932939088109</v>
      </c>
      <c r="AR115">
        <f t="shared" si="79"/>
        <v>-147.82364968542706</v>
      </c>
      <c r="AT115">
        <f t="shared" si="104"/>
        <v>-828471.93329858757</v>
      </c>
      <c r="AU115">
        <f t="shared" si="105"/>
        <v>-4417601.0097173816</v>
      </c>
      <c r="AV115">
        <f t="shared" si="93"/>
        <v>-1.7561818333724359</v>
      </c>
      <c r="AW115">
        <f t="shared" si="94"/>
        <v>-2946735.8843727447</v>
      </c>
      <c r="AX115">
        <f t="shared" si="95"/>
        <v>-1859198.7928968915</v>
      </c>
      <c r="AY115">
        <f t="shared" si="103"/>
        <v>-2.5787368556568868</v>
      </c>
      <c r="BA115">
        <f t="shared" si="80"/>
        <v>1.2899873105884681</v>
      </c>
      <c r="BB115">
        <f t="shared" si="96"/>
        <v>2.2117087646127005</v>
      </c>
      <c r="BC115">
        <f t="shared" si="97"/>
        <v>0.82255502228445088</v>
      </c>
      <c r="BD115">
        <f t="shared" si="81"/>
        <v>-132.87106875195894</v>
      </c>
      <c r="BF115">
        <f t="shared" si="82"/>
        <v>12.551620624544304</v>
      </c>
      <c r="BG115">
        <f t="shared" si="83"/>
        <v>-117.75309961703591</v>
      </c>
      <c r="BH115">
        <f t="shared" si="98"/>
        <v>62.246900382964085</v>
      </c>
      <c r="BI115">
        <f t="shared" si="99"/>
        <v>62.246900382964085</v>
      </c>
      <c r="BJ115">
        <f t="shared" si="84"/>
        <v>0</v>
      </c>
      <c r="BK115">
        <f t="shared" si="100"/>
        <v>0</v>
      </c>
      <c r="BM115">
        <f t="shared" si="101"/>
        <v>10.3399118599316</v>
      </c>
      <c r="BN115">
        <f t="shared" si="85"/>
        <v>-164.88203086507698</v>
      </c>
      <c r="BQ115" s="75">
        <f t="shared" si="102"/>
        <v>19.113669564897837</v>
      </c>
      <c r="BR115" s="80"/>
      <c r="BS115" s="80"/>
      <c r="BT115" s="80">
        <v>1122.018</v>
      </c>
      <c r="BU115" s="80">
        <v>13.9679</v>
      </c>
      <c r="BV115" s="80">
        <v>-259.93099999999998</v>
      </c>
      <c r="BW115" s="84"/>
      <c r="BY115" s="80"/>
      <c r="BZ115" s="80"/>
      <c r="CA115" s="80"/>
      <c r="CC115" s="80"/>
    </row>
    <row r="116" spans="1:81">
      <c r="A116">
        <f t="shared" si="106"/>
        <v>41000</v>
      </c>
      <c r="B116">
        <f t="shared" si="86"/>
        <v>41</v>
      </c>
      <c r="C116">
        <f t="shared" si="55"/>
        <v>1.001147292836388</v>
      </c>
      <c r="D116">
        <f t="shared" si="56"/>
        <v>4.7878951711527458E-2</v>
      </c>
      <c r="F116">
        <f t="shared" si="57"/>
        <v>0.3532692596903183</v>
      </c>
      <c r="G116">
        <f t="shared" si="58"/>
        <v>0.21213521730798487</v>
      </c>
      <c r="H116">
        <f t="shared" si="59"/>
        <v>-2.9294574326920153</v>
      </c>
      <c r="J116">
        <f t="shared" si="60"/>
        <v>9</v>
      </c>
      <c r="M116">
        <f t="shared" si="61"/>
        <v>0.10294441192123066</v>
      </c>
      <c r="N116">
        <f t="shared" si="62"/>
        <v>-1.5707963250000001</v>
      </c>
      <c r="O116">
        <f t="shared" si="63"/>
        <v>5.3667627625782064</v>
      </c>
      <c r="P116">
        <f t="shared" si="64"/>
        <v>1.3833688264953108</v>
      </c>
      <c r="Q116">
        <f t="shared" si="65"/>
        <v>2.3738256065771695</v>
      </c>
      <c r="R116">
        <f t="shared" si="66"/>
        <v>1.1359611335952007</v>
      </c>
      <c r="S116">
        <f t="shared" si="67"/>
        <v>0.99961854483116841</v>
      </c>
      <c r="T116">
        <f t="shared" si="68"/>
        <v>-2.7621709673354609E-2</v>
      </c>
      <c r="U116">
        <f t="shared" si="69"/>
        <v>0.9990738548633068</v>
      </c>
      <c r="V116">
        <f t="shared" si="70"/>
        <v>-4.3041564318204648E-2</v>
      </c>
      <c r="X116">
        <f t="shared" si="87"/>
        <v>12.40084436953172</v>
      </c>
      <c r="Y116">
        <f t="shared" si="71"/>
        <v>-114.80401877648788</v>
      </c>
      <c r="Z116">
        <f t="shared" si="88"/>
        <v>65.195981223512121</v>
      </c>
      <c r="AC116">
        <v>1</v>
      </c>
      <c r="AD116">
        <f t="shared" si="72"/>
        <v>5.2727737055364008</v>
      </c>
      <c r="AE116">
        <f t="shared" si="73"/>
        <v>-7.606605348781413E-6</v>
      </c>
      <c r="AF116">
        <f t="shared" si="74"/>
        <v>1.7661782550888001E-4</v>
      </c>
      <c r="AG116">
        <f t="shared" si="89"/>
        <v>29555.471426801614</v>
      </c>
      <c r="AH116">
        <f t="shared" si="90"/>
        <v>-6934.8425251633726</v>
      </c>
      <c r="AJ116">
        <f t="shared" si="75"/>
        <v>55000</v>
      </c>
      <c r="AK116">
        <f t="shared" si="76"/>
        <v>1519.5805108233753</v>
      </c>
      <c r="AL116">
        <v>1</v>
      </c>
      <c r="AM116">
        <f t="shared" si="77"/>
        <v>2.1529161642854251</v>
      </c>
      <c r="AN116">
        <f t="shared" si="91"/>
        <v>10340.910909136968</v>
      </c>
      <c r="AO116">
        <f t="shared" si="92"/>
        <v>-20743.533738893097</v>
      </c>
      <c r="AQ116">
        <f t="shared" si="78"/>
        <v>6.7583966329385845</v>
      </c>
      <c r="AR116">
        <f t="shared" si="79"/>
        <v>-146.02867604790401</v>
      </c>
      <c r="AT116">
        <f t="shared" si="104"/>
        <v>-812938.27397450223</v>
      </c>
      <c r="AU116">
        <f t="shared" si="105"/>
        <v>-4362814.7787995199</v>
      </c>
      <c r="AV116">
        <f t="shared" si="93"/>
        <v>-1.7550170954890243</v>
      </c>
      <c r="AW116">
        <f t="shared" si="94"/>
        <v>-2889216.9921066104</v>
      </c>
      <c r="AX116">
        <f t="shared" si="95"/>
        <v>-1805562.2876886872</v>
      </c>
      <c r="AY116">
        <f t="shared" si="103"/>
        <v>-2.5830427029828984</v>
      </c>
      <c r="BA116">
        <f t="shared" si="80"/>
        <v>1.3025861336573985</v>
      </c>
      <c r="BB116">
        <f t="shared" si="96"/>
        <v>2.2961290138696859</v>
      </c>
      <c r="BC116">
        <f t="shared" si="97"/>
        <v>0.82802560749387411</v>
      </c>
      <c r="BD116">
        <f t="shared" si="81"/>
        <v>-132.55762730763414</v>
      </c>
      <c r="BF116">
        <f t="shared" si="82"/>
        <v>12.353055713956852</v>
      </c>
      <c r="BG116">
        <f t="shared" si="83"/>
        <v>-117.65991279219169</v>
      </c>
      <c r="BH116">
        <f t="shared" si="98"/>
        <v>62.34008720780831</v>
      </c>
      <c r="BI116">
        <f t="shared" si="99"/>
        <v>62.34008720780831</v>
      </c>
      <c r="BJ116">
        <f t="shared" si="84"/>
        <v>0</v>
      </c>
      <c r="BK116">
        <f t="shared" si="100"/>
        <v>0</v>
      </c>
      <c r="BM116">
        <f t="shared" si="101"/>
        <v>10.056926700087168</v>
      </c>
      <c r="BN116">
        <f t="shared" si="85"/>
        <v>-165.10228548455757</v>
      </c>
      <c r="BQ116" s="75">
        <f t="shared" si="102"/>
        <v>19.198089814154823</v>
      </c>
      <c r="BR116" s="80"/>
      <c r="BS116" s="80"/>
      <c r="BT116" s="80">
        <v>1148.154</v>
      </c>
      <c r="BU116" s="80">
        <v>13.7508</v>
      </c>
      <c r="BV116" s="80">
        <v>-259.94799999999998</v>
      </c>
      <c r="BW116" s="84"/>
      <c r="BY116" s="80"/>
      <c r="BZ116" s="80"/>
      <c r="CA116" s="80"/>
      <c r="CC116" s="80"/>
    </row>
    <row r="117" spans="1:81">
      <c r="A117">
        <f t="shared" si="106"/>
        <v>41500</v>
      </c>
      <c r="B117">
        <f t="shared" si="86"/>
        <v>41.5</v>
      </c>
      <c r="C117">
        <f t="shared" si="55"/>
        <v>1.0011754296880675</v>
      </c>
      <c r="D117">
        <f t="shared" si="56"/>
        <v>4.8461933087367348E-2</v>
      </c>
      <c r="F117">
        <f t="shared" si="57"/>
        <v>0.34215351664998894</v>
      </c>
      <c r="G117">
        <f t="shared" si="58"/>
        <v>0.20790414786950756</v>
      </c>
      <c r="H117">
        <f t="shared" si="59"/>
        <v>-2.9336885021304928</v>
      </c>
      <c r="J117">
        <f t="shared" si="60"/>
        <v>9</v>
      </c>
      <c r="M117">
        <f t="shared" si="61"/>
        <v>0.10170411780169776</v>
      </c>
      <c r="N117">
        <f t="shared" si="62"/>
        <v>-1.5707963250000001</v>
      </c>
      <c r="O117">
        <f t="shared" si="63"/>
        <v>5.4299519657195479</v>
      </c>
      <c r="P117">
        <f t="shared" si="64"/>
        <v>1.3855753941484441</v>
      </c>
      <c r="Q117">
        <f t="shared" si="65"/>
        <v>2.3976628809922493</v>
      </c>
      <c r="R117">
        <f t="shared" si="66"/>
        <v>1.1405740743426025</v>
      </c>
      <c r="S117">
        <f t="shared" si="67"/>
        <v>0.99960918980273983</v>
      </c>
      <c r="T117">
        <f t="shared" si="68"/>
        <v>-2.795838533779876E-2</v>
      </c>
      <c r="U117">
        <f t="shared" si="69"/>
        <v>0.99905116055609855</v>
      </c>
      <c r="V117">
        <f t="shared" si="70"/>
        <v>-4.3565801525067158E-2</v>
      </c>
      <c r="X117">
        <f t="shared" si="87"/>
        <v>12.206286274473864</v>
      </c>
      <c r="Y117">
        <f t="shared" si="71"/>
        <v>-114.67163644996754</v>
      </c>
      <c r="Z117">
        <f t="shared" si="88"/>
        <v>65.328363550032464</v>
      </c>
      <c r="AC117">
        <v>1</v>
      </c>
      <c r="AD117">
        <f t="shared" si="72"/>
        <v>5.3370758238966003</v>
      </c>
      <c r="AE117">
        <f t="shared" si="73"/>
        <v>-7.7932635704573395E-6</v>
      </c>
      <c r="AF117">
        <f t="shared" si="74"/>
        <v>1.7877170142972001E-4</v>
      </c>
      <c r="AG117">
        <f t="shared" si="89"/>
        <v>29554.128716596697</v>
      </c>
      <c r="AH117">
        <f t="shared" si="90"/>
        <v>-6882.090984446626</v>
      </c>
      <c r="AJ117">
        <f t="shared" si="75"/>
        <v>55000</v>
      </c>
      <c r="AK117">
        <f t="shared" si="76"/>
        <v>1538.1119804675627</v>
      </c>
      <c r="AL117">
        <v>1</v>
      </c>
      <c r="AM117">
        <f t="shared" si="77"/>
        <v>2.1791712394596376</v>
      </c>
      <c r="AN117">
        <f t="shared" si="91"/>
        <v>10150.281518224207</v>
      </c>
      <c r="AO117">
        <f t="shared" si="92"/>
        <v>-20581.089576465336</v>
      </c>
      <c r="AQ117">
        <f t="shared" si="78"/>
        <v>6.5968624561704194</v>
      </c>
      <c r="AR117">
        <f t="shared" si="79"/>
        <v>-144.27668034767515</v>
      </c>
      <c r="AT117">
        <f t="shared" si="104"/>
        <v>-797960.71893127798</v>
      </c>
      <c r="AU117">
        <f t="shared" si="105"/>
        <v>-4309371.789433714</v>
      </c>
      <c r="AV117">
        <f t="shared" si="93"/>
        <v>-1.7538911934948591</v>
      </c>
      <c r="AW117">
        <f t="shared" si="94"/>
        <v>-2833197.7079355335</v>
      </c>
      <c r="AX117">
        <f t="shared" si="95"/>
        <v>-1754058.013317225</v>
      </c>
      <c r="AY117">
        <f t="shared" si="103"/>
        <v>-2.5872408307702304</v>
      </c>
      <c r="BA117">
        <f t="shared" si="80"/>
        <v>1.3152253409683432</v>
      </c>
      <c r="BB117">
        <f t="shared" si="96"/>
        <v>2.3800033600127781</v>
      </c>
      <c r="BC117">
        <f t="shared" si="97"/>
        <v>0.83334963727537126</v>
      </c>
      <c r="BD117">
        <f t="shared" si="81"/>
        <v>-132.25258287080382</v>
      </c>
      <c r="BF117">
        <f t="shared" si="82"/>
        <v>12.15947736626185</v>
      </c>
      <c r="BG117">
        <f t="shared" si="83"/>
        <v>-117.56388840488142</v>
      </c>
      <c r="BH117">
        <f t="shared" si="98"/>
        <v>62.436111595118575</v>
      </c>
      <c r="BI117">
        <f t="shared" si="99"/>
        <v>62.436111595118575</v>
      </c>
      <c r="BJ117">
        <f t="shared" si="84"/>
        <v>0</v>
      </c>
      <c r="BK117">
        <f t="shared" si="100"/>
        <v>0</v>
      </c>
      <c r="BM117">
        <f t="shared" si="101"/>
        <v>9.7794740062490746</v>
      </c>
      <c r="BN117">
        <f t="shared" si="85"/>
        <v>-165.3113055340776</v>
      </c>
      <c r="BQ117" s="75">
        <f t="shared" si="102"/>
        <v>19.281964160297914</v>
      </c>
      <c r="BR117" s="80"/>
      <c r="BS117" s="80"/>
      <c r="BT117" s="80">
        <v>1174.8979999999999</v>
      </c>
      <c r="BU117" s="80">
        <v>13.6038</v>
      </c>
      <c r="BV117" s="80">
        <v>-260.19870000000003</v>
      </c>
      <c r="BW117" s="84"/>
      <c r="BY117" s="80"/>
      <c r="BZ117" s="80"/>
      <c r="CA117" s="80"/>
      <c r="CC117" s="80"/>
    </row>
    <row r="118" spans="1:81">
      <c r="A118">
        <f t="shared" si="106"/>
        <v>42000</v>
      </c>
      <c r="B118">
        <f t="shared" si="86"/>
        <v>42</v>
      </c>
      <c r="C118">
        <f t="shared" si="55"/>
        <v>1.0012039067873291</v>
      </c>
      <c r="D118">
        <f t="shared" si="56"/>
        <v>4.9044881498011519E-2</v>
      </c>
      <c r="F118">
        <f t="shared" si="57"/>
        <v>0.33158980765020574</v>
      </c>
      <c r="G118">
        <f t="shared" si="58"/>
        <v>0.20385600949454749</v>
      </c>
      <c r="H118">
        <f t="shared" si="59"/>
        <v>-2.9377366405054528</v>
      </c>
      <c r="J118">
        <f t="shared" si="60"/>
        <v>9</v>
      </c>
      <c r="M118">
        <f t="shared" si="61"/>
        <v>0.1004933544945347</v>
      </c>
      <c r="N118">
        <f t="shared" si="62"/>
        <v>-1.5707963250000001</v>
      </c>
      <c r="O118">
        <f t="shared" si="63"/>
        <v>5.4931669986537202</v>
      </c>
      <c r="P118">
        <f t="shared" si="64"/>
        <v>1.3877311860039749</v>
      </c>
      <c r="Q118">
        <f t="shared" si="65"/>
        <v>2.4215501707128526</v>
      </c>
      <c r="R118">
        <f t="shared" si="66"/>
        <v>1.1450961013831924</v>
      </c>
      <c r="S118">
        <f t="shared" si="67"/>
        <v>0.99959972164746658</v>
      </c>
      <c r="T118">
        <f t="shared" si="68"/>
        <v>-2.8295054662516465E-2</v>
      </c>
      <c r="U118">
        <f t="shared" si="69"/>
        <v>0.9990281927410658</v>
      </c>
      <c r="V118">
        <f t="shared" si="70"/>
        <v>-4.409001477195363E-2</v>
      </c>
      <c r="X118">
        <f t="shared" si="87"/>
        <v>12.016474112284365</v>
      </c>
      <c r="Y118">
        <f t="shared" si="71"/>
        <v>-114.53689130888878</v>
      </c>
      <c r="Z118">
        <f t="shared" si="88"/>
        <v>65.463108691111216</v>
      </c>
      <c r="AC118">
        <v>1</v>
      </c>
      <c r="AD118">
        <f t="shared" si="72"/>
        <v>5.4013779422568007</v>
      </c>
      <c r="AE118">
        <f t="shared" si="73"/>
        <v>-7.9821843160323692E-6</v>
      </c>
      <c r="AF118">
        <f t="shared" si="74"/>
        <v>1.8092557735056001E-4</v>
      </c>
      <c r="AG118">
        <f t="shared" si="89"/>
        <v>29552.769855337112</v>
      </c>
      <c r="AH118">
        <f t="shared" si="90"/>
        <v>-6830.9615154076528</v>
      </c>
      <c r="AJ118">
        <f t="shared" si="75"/>
        <v>55000</v>
      </c>
      <c r="AK118">
        <f t="shared" si="76"/>
        <v>1556.6434501117501</v>
      </c>
      <c r="AL118">
        <v>1</v>
      </c>
      <c r="AM118">
        <f t="shared" si="77"/>
        <v>2.2054263146338502</v>
      </c>
      <c r="AN118">
        <f t="shared" si="91"/>
        <v>9964.8715561794816</v>
      </c>
      <c r="AO118">
        <f t="shared" si="92"/>
        <v>-20420.146501832845</v>
      </c>
      <c r="AQ118">
        <f t="shared" si="78"/>
        <v>6.4410472779470131</v>
      </c>
      <c r="AR118">
        <f t="shared" si="79"/>
        <v>-142.56614045007919</v>
      </c>
      <c r="AT118">
        <f t="shared" si="104"/>
        <v>-783513.03098217957</v>
      </c>
      <c r="AU118">
        <f t="shared" si="105"/>
        <v>-4257222.8839594349</v>
      </c>
      <c r="AV118">
        <f t="shared" si="93"/>
        <v>-1.7528028223559513</v>
      </c>
      <c r="AW118">
        <f t="shared" si="94"/>
        <v>-2778633.2005377966</v>
      </c>
      <c r="AX118">
        <f t="shared" si="95"/>
        <v>-1704582.4390287707</v>
      </c>
      <c r="AY118">
        <f t="shared" si="103"/>
        <v>-2.5913342828060428</v>
      </c>
      <c r="BA118">
        <f t="shared" si="80"/>
        <v>1.3279037553054394</v>
      </c>
      <c r="BB118">
        <f t="shared" si="96"/>
        <v>2.4633319817472814</v>
      </c>
      <c r="BC118">
        <f t="shared" si="97"/>
        <v>0.83853146045009153</v>
      </c>
      <c r="BD118">
        <f t="shared" si="81"/>
        <v>-131.95568627237003</v>
      </c>
      <c r="BF118">
        <f t="shared" si="82"/>
        <v>11.970656338747037</v>
      </c>
      <c r="BG118">
        <f t="shared" si="83"/>
        <v>-117.46553256684088</v>
      </c>
      <c r="BH118">
        <f t="shared" si="98"/>
        <v>62.534467433159122</v>
      </c>
      <c r="BI118">
        <f t="shared" si="99"/>
        <v>62.534467433159122</v>
      </c>
      <c r="BJ118">
        <f t="shared" si="84"/>
        <v>0</v>
      </c>
      <c r="BK118">
        <f t="shared" si="100"/>
        <v>0</v>
      </c>
      <c r="BM118">
        <f t="shared" si="101"/>
        <v>9.5073243569997565</v>
      </c>
      <c r="BN118">
        <f t="shared" si="85"/>
        <v>-165.50984629447089</v>
      </c>
      <c r="BQ118" s="75">
        <f t="shared" si="102"/>
        <v>19.365292782032419</v>
      </c>
      <c r="BR118" s="80"/>
      <c r="BS118" s="80"/>
      <c r="BT118" s="80">
        <v>1202.2639999999999</v>
      </c>
      <c r="BU118" s="80">
        <v>13.412800000000001</v>
      </c>
      <c r="BV118" s="80">
        <v>-259.34100000000001</v>
      </c>
      <c r="BW118" s="84"/>
      <c r="BY118" s="80"/>
      <c r="BZ118" s="80"/>
      <c r="CA118" s="80"/>
      <c r="CC118" s="80"/>
    </row>
    <row r="119" spans="1:81">
      <c r="A119">
        <f t="shared" si="106"/>
        <v>42500</v>
      </c>
      <c r="B119">
        <f t="shared" si="86"/>
        <v>42.5</v>
      </c>
      <c r="C119">
        <f t="shared" si="55"/>
        <v>1.0012327241051409</v>
      </c>
      <c r="D119">
        <f t="shared" si="56"/>
        <v>4.9627796550084452E-2</v>
      </c>
      <c r="F119">
        <f t="shared" si="57"/>
        <v>0.32154042382926579</v>
      </c>
      <c r="G119">
        <f t="shared" si="58"/>
        <v>0.19997878371586528</v>
      </c>
      <c r="H119">
        <f t="shared" si="59"/>
        <v>-2.9416138662841349</v>
      </c>
      <c r="J119">
        <f t="shared" si="60"/>
        <v>9</v>
      </c>
      <c r="M119">
        <f t="shared" si="61"/>
        <v>9.9311079735775465E-2</v>
      </c>
      <c r="N119">
        <f t="shared" si="62"/>
        <v>-1.5707963250000001</v>
      </c>
      <c r="O119">
        <f t="shared" si="63"/>
        <v>5.5564069797870514</v>
      </c>
      <c r="P119">
        <f t="shared" si="64"/>
        <v>1.3898379153811065</v>
      </c>
      <c r="Q119">
        <f t="shared" si="65"/>
        <v>2.4454860101042586</v>
      </c>
      <c r="R119">
        <f t="shared" si="66"/>
        <v>1.1495296965483865</v>
      </c>
      <c r="S119">
        <f t="shared" si="67"/>
        <v>0.99959014037500249</v>
      </c>
      <c r="T119">
        <f t="shared" si="68"/>
        <v>-2.8631717571368568E-2</v>
      </c>
      <c r="U119">
        <f t="shared" si="69"/>
        <v>0.99900495147493917</v>
      </c>
      <c r="V119">
        <f t="shared" si="70"/>
        <v>-4.461420377241946E-2</v>
      </c>
      <c r="X119">
        <f t="shared" si="87"/>
        <v>11.831193279235844</v>
      </c>
      <c r="Y119">
        <f t="shared" si="71"/>
        <v>-114.40023159804063</v>
      </c>
      <c r="Z119">
        <f t="shared" si="88"/>
        <v>65.599768401959366</v>
      </c>
      <c r="AC119">
        <v>1</v>
      </c>
      <c r="AD119">
        <f t="shared" si="72"/>
        <v>5.4656800606170011</v>
      </c>
      <c r="AE119">
        <f t="shared" si="73"/>
        <v>-8.173367585506502E-6</v>
      </c>
      <c r="AF119">
        <f t="shared" si="74"/>
        <v>1.8307945327140001E-4</v>
      </c>
      <c r="AG119">
        <f t="shared" si="89"/>
        <v>29551.394847495194</v>
      </c>
      <c r="AH119">
        <f t="shared" si="90"/>
        <v>-6781.3967682793427</v>
      </c>
      <c r="AJ119">
        <f t="shared" si="75"/>
        <v>55000</v>
      </c>
      <c r="AK119">
        <f t="shared" si="76"/>
        <v>1575.1749197559377</v>
      </c>
      <c r="AL119">
        <v>1</v>
      </c>
      <c r="AM119">
        <f t="shared" si="77"/>
        <v>2.2316813898080627</v>
      </c>
      <c r="AN119">
        <f t="shared" si="91"/>
        <v>9784.507840840266</v>
      </c>
      <c r="AO119">
        <f t="shared" si="92"/>
        <v>-20260.729137078353</v>
      </c>
      <c r="AQ119">
        <f t="shared" si="78"/>
        <v>6.2906844564848994</v>
      </c>
      <c r="AR119">
        <f t="shared" si="79"/>
        <v>-140.89560511412054</v>
      </c>
      <c r="AT119">
        <f t="shared" si="104"/>
        <v>-769570.50095107348</v>
      </c>
      <c r="AU119">
        <f t="shared" si="105"/>
        <v>-4206321.286247611</v>
      </c>
      <c r="AV119">
        <f t="shared" si="93"/>
        <v>-1.7517507338293576</v>
      </c>
      <c r="AW119">
        <f t="shared" si="94"/>
        <v>-2725479.8910562629</v>
      </c>
      <c r="AX119">
        <f t="shared" si="95"/>
        <v>-1657037.873178802</v>
      </c>
      <c r="AY119">
        <f t="shared" si="103"/>
        <v>-2.5953259948432774</v>
      </c>
      <c r="BA119">
        <f t="shared" si="80"/>
        <v>1.3406202515419143</v>
      </c>
      <c r="BB119">
        <f t="shared" si="96"/>
        <v>2.5461155120518515</v>
      </c>
      <c r="BC119">
        <f t="shared" si="97"/>
        <v>0.84357526101391977</v>
      </c>
      <c r="BD119">
        <f t="shared" si="81"/>
        <v>-131.66669778702675</v>
      </c>
      <c r="BF119">
        <f t="shared" si="82"/>
        <v>11.786378009819973</v>
      </c>
      <c r="BG119">
        <f t="shared" si="83"/>
        <v>-117.36529418275263</v>
      </c>
      <c r="BH119">
        <f t="shared" si="98"/>
        <v>62.634705817247365</v>
      </c>
      <c r="BI119">
        <f t="shared" si="99"/>
        <v>62.634705817247365</v>
      </c>
      <c r="BJ119">
        <f t="shared" si="84"/>
        <v>0</v>
      </c>
      <c r="BK119">
        <f t="shared" si="100"/>
        <v>0</v>
      </c>
      <c r="BM119">
        <f t="shared" si="101"/>
        <v>9.2402624977681196</v>
      </c>
      <c r="BN119">
        <f t="shared" si="85"/>
        <v>-165.6985963957259</v>
      </c>
      <c r="BQ119" s="75">
        <f t="shared" si="102"/>
        <v>19.448076312336987</v>
      </c>
      <c r="BR119" s="80"/>
      <c r="BS119" s="80"/>
      <c r="BT119" s="80">
        <v>1230.269</v>
      </c>
      <c r="BU119" s="80">
        <v>13.1837</v>
      </c>
      <c r="BV119" s="80">
        <v>-259.55099999999999</v>
      </c>
      <c r="BW119" s="84"/>
      <c r="BY119" s="80"/>
      <c r="BZ119" s="80"/>
      <c r="CA119" s="80"/>
      <c r="CC119" s="80"/>
    </row>
    <row r="120" spans="1:81">
      <c r="A120">
        <f t="shared" si="106"/>
        <v>43000</v>
      </c>
      <c r="B120">
        <f t="shared" si="86"/>
        <v>43</v>
      </c>
      <c r="C120">
        <f t="shared" si="55"/>
        <v>1.0012618816121275</v>
      </c>
      <c r="D120">
        <f t="shared" si="56"/>
        <v>5.0210677850346316E-2</v>
      </c>
      <c r="F120">
        <f t="shared" si="57"/>
        <v>0.31197092365355383</v>
      </c>
      <c r="G120">
        <f t="shared" si="58"/>
        <v>0.19626149012505453</v>
      </c>
      <c r="H120">
        <f t="shared" si="59"/>
        <v>-2.9453311598749456</v>
      </c>
      <c r="J120">
        <f t="shared" si="60"/>
        <v>9</v>
      </c>
      <c r="M120">
        <f t="shared" si="61"/>
        <v>9.8156299738847833E-2</v>
      </c>
      <c r="N120">
        <f t="shared" si="62"/>
        <v>-1.5707963250000001</v>
      </c>
      <c r="O120">
        <f t="shared" si="63"/>
        <v>5.6196710668690777</v>
      </c>
      <c r="P120">
        <f t="shared" si="64"/>
        <v>1.3918972202355679</v>
      </c>
      <c r="Q120">
        <f t="shared" si="65"/>
        <v>2.4694689874336655</v>
      </c>
      <c r="R120">
        <f t="shared" si="66"/>
        <v>1.1538772594584625</v>
      </c>
      <c r="S120">
        <f t="shared" si="67"/>
        <v>0.99958044599511575</v>
      </c>
      <c r="T120">
        <f t="shared" si="68"/>
        <v>-2.8968373988224633E-2</v>
      </c>
      <c r="U120">
        <f t="shared" si="69"/>
        <v>0.99898143681511864</v>
      </c>
      <c r="V120">
        <f t="shared" si="70"/>
        <v>-4.5138368240099813E-2</v>
      </c>
      <c r="X120">
        <f t="shared" si="87"/>
        <v>11.650242630457083</v>
      </c>
      <c r="Y120">
        <f t="shared" si="71"/>
        <v>-114.26205511417936</v>
      </c>
      <c r="Z120">
        <f t="shared" si="88"/>
        <v>65.737944885820639</v>
      </c>
      <c r="AC120">
        <v>1</v>
      </c>
      <c r="AD120">
        <f t="shared" si="72"/>
        <v>5.5299821789772006</v>
      </c>
      <c r="AE120">
        <f t="shared" si="73"/>
        <v>-8.3668133788797345E-6</v>
      </c>
      <c r="AF120">
        <f t="shared" si="74"/>
        <v>1.8523332919224002E-4</v>
      </c>
      <c r="AG120">
        <f t="shared" si="89"/>
        <v>29550.003697595817</v>
      </c>
      <c r="AH120">
        <f t="shared" si="90"/>
        <v>-6733.3420595630096</v>
      </c>
      <c r="AJ120">
        <f t="shared" si="75"/>
        <v>55000</v>
      </c>
      <c r="AK120">
        <f t="shared" si="76"/>
        <v>1593.7063894001251</v>
      </c>
      <c r="AL120">
        <v>1</v>
      </c>
      <c r="AM120">
        <f t="shared" si="77"/>
        <v>2.2579364649822753</v>
      </c>
      <c r="AN120">
        <f t="shared" si="91"/>
        <v>9609.0235001415913</v>
      </c>
      <c r="AO120">
        <f t="shared" si="92"/>
        <v>-20102.858164441186</v>
      </c>
      <c r="AQ120">
        <f t="shared" si="78"/>
        <v>6.1455227007183248</v>
      </c>
      <c r="AR120">
        <f t="shared" si="79"/>
        <v>-139.26368992097795</v>
      </c>
      <c r="AT120">
        <f t="shared" si="104"/>
        <v>-756109.84218497656</v>
      </c>
      <c r="AU120">
        <f t="shared" si="105"/>
        <v>-4156622.4585844819</v>
      </c>
      <c r="AV120">
        <f t="shared" si="93"/>
        <v>-1.7507337334627315</v>
      </c>
      <c r="AW120">
        <f t="shared" si="94"/>
        <v>-2673695.4446789995</v>
      </c>
      <c r="AX120">
        <f t="shared" si="95"/>
        <v>-1611332.0923274108</v>
      </c>
      <c r="AY120">
        <f t="shared" si="103"/>
        <v>-2.5992187990218381</v>
      </c>
      <c r="BA120">
        <f t="shared" si="80"/>
        <v>1.3533737538568453</v>
      </c>
      <c r="BB120">
        <f t="shared" si="96"/>
        <v>2.6283549980595495</v>
      </c>
      <c r="BC120">
        <f t="shared" si="97"/>
        <v>0.84848506555910652</v>
      </c>
      <c r="BD120">
        <f t="shared" si="81"/>
        <v>-131.38538670803194</v>
      </c>
      <c r="BF120">
        <f t="shared" si="82"/>
        <v>11.606441216513506</v>
      </c>
      <c r="BG120">
        <f t="shared" si="83"/>
        <v>-117.26357169946543</v>
      </c>
      <c r="BH120">
        <f t="shared" si="98"/>
        <v>62.73642830053457</v>
      </c>
      <c r="BI120">
        <f t="shared" si="99"/>
        <v>62.73642830053457</v>
      </c>
      <c r="BJ120">
        <f t="shared" si="84"/>
        <v>0</v>
      </c>
      <c r="BK120">
        <f t="shared" si="100"/>
        <v>0</v>
      </c>
      <c r="BM120">
        <f t="shared" si="101"/>
        <v>8.9780862184539547</v>
      </c>
      <c r="BN120">
        <f t="shared" si="85"/>
        <v>-165.8781849914335</v>
      </c>
      <c r="BQ120" s="75">
        <f t="shared" si="102"/>
        <v>19.530315798344688</v>
      </c>
      <c r="BR120" s="80"/>
      <c r="BS120" s="80"/>
      <c r="BT120" s="80">
        <v>1258.925</v>
      </c>
      <c r="BU120" s="80">
        <v>13.0792</v>
      </c>
      <c r="BV120" s="80">
        <v>-259.27199999999999</v>
      </c>
      <c r="BW120" s="84"/>
      <c r="BY120" s="80"/>
      <c r="BZ120" s="80"/>
      <c r="CA120" s="80"/>
      <c r="CC120" s="80"/>
    </row>
    <row r="121" spans="1:81">
      <c r="A121">
        <f t="shared" si="106"/>
        <v>43500</v>
      </c>
      <c r="B121">
        <f t="shared" si="86"/>
        <v>43.5</v>
      </c>
      <c r="C121">
        <f t="shared" si="55"/>
        <v>1.0012913792785698</v>
      </c>
      <c r="D121">
        <f t="shared" si="56"/>
        <v>5.0793525005694604E-2</v>
      </c>
      <c r="F121">
        <f t="shared" si="57"/>
        <v>0.30284979239948812</v>
      </c>
      <c r="G121">
        <f t="shared" si="58"/>
        <v>0.19269407689474788</v>
      </c>
      <c r="H121">
        <f t="shared" si="59"/>
        <v>-2.9488985731052524</v>
      </c>
      <c r="J121">
        <f t="shared" si="60"/>
        <v>9</v>
      </c>
      <c r="M121">
        <f t="shared" si="61"/>
        <v>9.7028066408516259E-2</v>
      </c>
      <c r="N121">
        <f t="shared" si="62"/>
        <v>-1.5707963250000001</v>
      </c>
      <c r="O121">
        <f t="shared" si="63"/>
        <v>5.6829584548398575</v>
      </c>
      <c r="P121">
        <f t="shared" si="64"/>
        <v>1.3939106672106938</v>
      </c>
      <c r="Q121">
        <f t="shared" si="65"/>
        <v>2.4934977425541152</v>
      </c>
      <c r="R121">
        <f t="shared" si="66"/>
        <v>1.1581411105202903</v>
      </c>
      <c r="S121">
        <f t="shared" si="67"/>
        <v>0.99957063851768968</v>
      </c>
      <c r="T121">
        <f t="shared" si="68"/>
        <v>-2.9305023836963037E-2</v>
      </c>
      <c r="U121">
        <f t="shared" si="69"/>
        <v>0.9989576488196712</v>
      </c>
      <c r="V121">
        <f t="shared" si="70"/>
        <v>-4.5662507888710603E-2</v>
      </c>
      <c r="X121">
        <f t="shared" si="87"/>
        <v>11.473433425799492</v>
      </c>
      <c r="Y121">
        <f t="shared" si="71"/>
        <v>-114.12271507477728</v>
      </c>
      <c r="Z121">
        <f t="shared" si="88"/>
        <v>65.877284925222725</v>
      </c>
      <c r="AC121">
        <v>1</v>
      </c>
      <c r="AD121">
        <f t="shared" si="72"/>
        <v>5.594284297337401</v>
      </c>
      <c r="AE121">
        <f t="shared" si="73"/>
        <v>-8.5625216961520667E-6</v>
      </c>
      <c r="AF121">
        <f t="shared" si="74"/>
        <v>1.8738720511308002E-4</v>
      </c>
      <c r="AG121">
        <f t="shared" si="89"/>
        <v>29548.596410216309</v>
      </c>
      <c r="AH121">
        <f t="shared" si="90"/>
        <v>-6686.7452187953868</v>
      </c>
      <c r="AJ121">
        <f t="shared" si="75"/>
        <v>55000</v>
      </c>
      <c r="AK121">
        <f t="shared" si="76"/>
        <v>1612.2378590443129</v>
      </c>
      <c r="AL121">
        <v>1</v>
      </c>
      <c r="AM121">
        <f t="shared" si="77"/>
        <v>2.2841915401564878</v>
      </c>
      <c r="AN121">
        <f t="shared" si="91"/>
        <v>9438.2577509785169</v>
      </c>
      <c r="AO121">
        <f t="shared" si="92"/>
        <v>-19946.550649557215</v>
      </c>
      <c r="AQ121">
        <f t="shared" si="78"/>
        <v>6.0053250225459296</v>
      </c>
      <c r="AR121">
        <f t="shared" si="79"/>
        <v>-137.66907347935415</v>
      </c>
      <c r="AT121">
        <f t="shared" si="104"/>
        <v>-743109.09346067929</v>
      </c>
      <c r="AU121">
        <f t="shared" si="105"/>
        <v>-4108083.9687916711</v>
      </c>
      <c r="AV121">
        <f t="shared" si="93"/>
        <v>-1.7497506777782172</v>
      </c>
      <c r="AW121">
        <f t="shared" si="94"/>
        <v>-2623238.7581430455</v>
      </c>
      <c r="AX121">
        <f t="shared" si="95"/>
        <v>-1567377.9963078117</v>
      </c>
      <c r="AY121">
        <f t="shared" si="103"/>
        <v>-2.6030154280915005</v>
      </c>
      <c r="BA121">
        <f t="shared" si="80"/>
        <v>1.3661632331295823</v>
      </c>
      <c r="BB121">
        <f t="shared" si="96"/>
        <v>2.7100518641010103</v>
      </c>
      <c r="BC121">
        <f t="shared" si="97"/>
        <v>0.8532647503132833</v>
      </c>
      <c r="BD121">
        <f t="shared" si="81"/>
        <v>-131.11153094390167</v>
      </c>
      <c r="BF121">
        <f t="shared" si="82"/>
        <v>11.430657200351744</v>
      </c>
      <c r="BG121">
        <f t="shared" si="83"/>
        <v>-117.16071897530361</v>
      </c>
      <c r="BH121">
        <f t="shared" si="98"/>
        <v>62.83928102469639</v>
      </c>
      <c r="BI121">
        <f t="shared" si="99"/>
        <v>62.83928102469639</v>
      </c>
      <c r="BJ121">
        <f t="shared" si="84"/>
        <v>0</v>
      </c>
      <c r="BK121">
        <f t="shared" si="100"/>
        <v>0</v>
      </c>
      <c r="BM121">
        <f t="shared" si="101"/>
        <v>8.7206053362507348</v>
      </c>
      <c r="BN121">
        <f t="shared" si="85"/>
        <v>-166.04918803140197</v>
      </c>
      <c r="BQ121" s="75">
        <f t="shared" si="102"/>
        <v>19.612012664386146</v>
      </c>
      <c r="BR121" s="80"/>
      <c r="BS121" s="80"/>
      <c r="BT121" s="80">
        <v>1288.25</v>
      </c>
      <c r="BU121" s="80">
        <v>12.807</v>
      </c>
      <c r="BV121" s="80">
        <v>-258.86099999999999</v>
      </c>
      <c r="BW121" s="84"/>
      <c r="BY121" s="80"/>
      <c r="BZ121" s="80"/>
      <c r="CA121" s="80"/>
      <c r="CC121" s="80"/>
    </row>
    <row r="122" spans="1:81">
      <c r="A122">
        <f t="shared" si="106"/>
        <v>44000</v>
      </c>
      <c r="B122">
        <f t="shared" si="86"/>
        <v>44</v>
      </c>
      <c r="C122">
        <f t="shared" si="55"/>
        <v>1.0013212170744059</v>
      </c>
      <c r="D122">
        <f t="shared" si="56"/>
        <v>5.1376337623165597E-2</v>
      </c>
      <c r="F122">
        <f t="shared" si="57"/>
        <v>0.29414814277118451</v>
      </c>
      <c r="G122">
        <f t="shared" si="58"/>
        <v>0.1892673247959365</v>
      </c>
      <c r="H122">
        <f t="shared" si="59"/>
        <v>-2.9523253252040638</v>
      </c>
      <c r="J122">
        <f t="shared" si="60"/>
        <v>9</v>
      </c>
      <c r="M122">
        <f t="shared" si="61"/>
        <v>9.5925474744783121E-2</v>
      </c>
      <c r="N122">
        <f t="shared" si="62"/>
        <v>-1.5707963250000001</v>
      </c>
      <c r="O122">
        <f t="shared" si="63"/>
        <v>5.7462683738159521</v>
      </c>
      <c r="P122">
        <f t="shared" si="64"/>
        <v>1.3958797554330957</v>
      </c>
      <c r="Q122">
        <f t="shared" si="65"/>
        <v>2.5175709646985305</v>
      </c>
      <c r="R122">
        <f t="shared" si="66"/>
        <v>1.1623234938192391</v>
      </c>
      <c r="S122">
        <f t="shared" si="67"/>
        <v>0.99956071795272217</v>
      </c>
      <c r="T122">
        <f t="shared" si="68"/>
        <v>-2.964166704147109E-2</v>
      </c>
      <c r="U122">
        <f t="shared" si="69"/>
        <v>0.99893358754733208</v>
      </c>
      <c r="V122">
        <f t="shared" si="70"/>
        <v>-4.6186622432049386E-2</v>
      </c>
      <c r="X122">
        <f t="shared" si="87"/>
        <v>11.300588372788866</v>
      </c>
      <c r="Y122">
        <f t="shared" si="71"/>
        <v>-113.98252523425504</v>
      </c>
      <c r="Z122">
        <f t="shared" si="88"/>
        <v>66.017474765744964</v>
      </c>
      <c r="AC122">
        <v>1</v>
      </c>
      <c r="AD122">
        <f t="shared" si="72"/>
        <v>5.6585864156976005</v>
      </c>
      <c r="AE122">
        <f t="shared" si="73"/>
        <v>-8.760492537323507E-6</v>
      </c>
      <c r="AF122">
        <f t="shared" si="74"/>
        <v>1.8954108103392002E-4</v>
      </c>
      <c r="AG122">
        <f t="shared" si="89"/>
        <v>29547.172989986466</v>
      </c>
      <c r="AH122">
        <f t="shared" si="90"/>
        <v>-6641.55644576334</v>
      </c>
      <c r="AJ122">
        <f t="shared" si="75"/>
        <v>55000</v>
      </c>
      <c r="AK122">
        <f t="shared" si="76"/>
        <v>1630.7693286885003</v>
      </c>
      <c r="AL122">
        <v>1</v>
      </c>
      <c r="AM122">
        <f t="shared" si="77"/>
        <v>2.3104466153307004</v>
      </c>
      <c r="AN122">
        <f t="shared" si="91"/>
        <v>9272.0556827334094</v>
      </c>
      <c r="AO122">
        <f t="shared" si="92"/>
        <v>-19791.82034064069</v>
      </c>
      <c r="AQ122">
        <f t="shared" si="78"/>
        <v>5.8698677715195897</v>
      </c>
      <c r="AR122">
        <f t="shared" si="79"/>
        <v>-136.11049388599625</v>
      </c>
      <c r="AT122">
        <f t="shared" si="104"/>
        <v>-730547.52953113441</v>
      </c>
      <c r="AU122">
        <f t="shared" si="105"/>
        <v>-4060665.3667357406</v>
      </c>
      <c r="AV122">
        <f t="shared" si="93"/>
        <v>-1.7488004716279251</v>
      </c>
      <c r="AW122">
        <f t="shared" si="94"/>
        <v>-2574069.9438205096</v>
      </c>
      <c r="AX122">
        <f t="shared" si="95"/>
        <v>-1525093.2872937024</v>
      </c>
      <c r="AY122">
        <f t="shared" si="103"/>
        <v>-2.6067185194458427</v>
      </c>
      <c r="BA122">
        <f t="shared" si="80"/>
        <v>1.3789877044985297</v>
      </c>
      <c r="BB122">
        <f t="shared" si="96"/>
        <v>2.7912078776540987</v>
      </c>
      <c r="BC122">
        <f t="shared" si="97"/>
        <v>0.85791804781791758</v>
      </c>
      <c r="BD122">
        <f t="shared" si="81"/>
        <v>-130.8449166357627</v>
      </c>
      <c r="BF122">
        <f t="shared" si="82"/>
        <v>11.258848650301408</v>
      </c>
      <c r="BG122">
        <f t="shared" si="83"/>
        <v>-117.05705039682226</v>
      </c>
      <c r="BH122">
        <f t="shared" si="98"/>
        <v>62.942949603177738</v>
      </c>
      <c r="BI122">
        <f t="shared" si="99"/>
        <v>62.942949603177738</v>
      </c>
      <c r="BJ122">
        <f t="shared" si="84"/>
        <v>0</v>
      </c>
      <c r="BK122">
        <f t="shared" si="100"/>
        <v>0</v>
      </c>
      <c r="BM122">
        <f t="shared" si="101"/>
        <v>8.4676407726473073</v>
      </c>
      <c r="BN122">
        <f t="shared" si="85"/>
        <v>-166.21213376105959</v>
      </c>
      <c r="BQ122" s="75">
        <f t="shared" si="102"/>
        <v>19.693168677939237</v>
      </c>
      <c r="BR122" s="80"/>
      <c r="BS122" s="80"/>
      <c r="BT122" s="80">
        <v>1318.2570000000001</v>
      </c>
      <c r="BU122" s="80">
        <v>12.682600000000001</v>
      </c>
      <c r="BV122" s="80">
        <v>-258.68299999999999</v>
      </c>
      <c r="BW122" s="84"/>
      <c r="BY122" s="80"/>
      <c r="BZ122" s="80"/>
      <c r="CA122" s="80"/>
      <c r="CC122" s="80"/>
    </row>
    <row r="123" spans="1:81">
      <c r="A123">
        <f t="shared" si="106"/>
        <v>44500</v>
      </c>
      <c r="B123">
        <f t="shared" si="86"/>
        <v>44.5</v>
      </c>
      <c r="C123">
        <f t="shared" si="55"/>
        <v>1.001351394969231</v>
      </c>
      <c r="D123">
        <f t="shared" si="56"/>
        <v>5.1959115309936049E-2</v>
      </c>
      <c r="F123">
        <f t="shared" si="57"/>
        <v>0.28583945104715047</v>
      </c>
      <c r="G123">
        <f t="shared" si="58"/>
        <v>0.18597276282141786</v>
      </c>
      <c r="H123">
        <f t="shared" si="59"/>
        <v>-2.9556198871785822</v>
      </c>
      <c r="J123">
        <f t="shared" si="60"/>
        <v>9</v>
      </c>
      <c r="M123">
        <f t="shared" si="61"/>
        <v>9.4847660421808019E-2</v>
      </c>
      <c r="N123">
        <f t="shared" si="62"/>
        <v>-1.5707963250000001</v>
      </c>
      <c r="O123">
        <f t="shared" si="63"/>
        <v>5.8096000872048199</v>
      </c>
      <c r="P123">
        <f t="shared" si="64"/>
        <v>1.3978059200712842</v>
      </c>
      <c r="Q123">
        <f t="shared" si="65"/>
        <v>2.541687390378391</v>
      </c>
      <c r="R123">
        <f t="shared" si="66"/>
        <v>1.1664265799076095</v>
      </c>
      <c r="S123">
        <f t="shared" si="67"/>
        <v>0.99955068431032579</v>
      </c>
      <c r="T123">
        <f t="shared" si="68"/>
        <v>-2.9978303525645126E-2</v>
      </c>
      <c r="U123">
        <f t="shared" si="69"/>
        <v>0.99890925305750256</v>
      </c>
      <c r="V123">
        <f t="shared" si="70"/>
        <v>-4.6710711583996305E-2</v>
      </c>
      <c r="X123">
        <f t="shared" si="87"/>
        <v>11.131540756630303</v>
      </c>
      <c r="Y123">
        <f t="shared" si="71"/>
        <v>-113.84176435474248</v>
      </c>
      <c r="Z123">
        <f t="shared" si="88"/>
        <v>66.15823564525752</v>
      </c>
      <c r="AC123">
        <v>1</v>
      </c>
      <c r="AD123">
        <f t="shared" si="72"/>
        <v>5.7228885340578008</v>
      </c>
      <c r="AE123">
        <f t="shared" si="73"/>
        <v>-8.9607259023940454E-6</v>
      </c>
      <c r="AF123">
        <f t="shared" si="74"/>
        <v>1.9169495695476002E-4</v>
      </c>
      <c r="AG123">
        <f t="shared" si="89"/>
        <v>29545.733441588465</v>
      </c>
      <c r="AH123">
        <f t="shared" si="90"/>
        <v>-6597.7281773445557</v>
      </c>
      <c r="AJ123">
        <f t="shared" si="75"/>
        <v>55000</v>
      </c>
      <c r="AK123">
        <f t="shared" si="76"/>
        <v>1649.3007983326875</v>
      </c>
      <c r="AL123">
        <v>1</v>
      </c>
      <c r="AM123">
        <f t="shared" si="77"/>
        <v>2.3367016905049125</v>
      </c>
      <c r="AN123">
        <f t="shared" si="91"/>
        <v>9110.2680458423638</v>
      </c>
      <c r="AO123">
        <f t="shared" si="92"/>
        <v>-19638.677945340049</v>
      </c>
      <c r="AQ123">
        <f t="shared" si="78"/>
        <v>5.7389397446487349</v>
      </c>
      <c r="AR123">
        <f t="shared" si="79"/>
        <v>-134.58674542162981</v>
      </c>
      <c r="AT123">
        <f t="shared" si="104"/>
        <v>-718405.57863265614</v>
      </c>
      <c r="AU123">
        <f t="shared" si="105"/>
        <v>-4014328.0694597531</v>
      </c>
      <c r="AV123">
        <f t="shared" si="93"/>
        <v>-1.7478820657091902</v>
      </c>
      <c r="AW123">
        <f t="shared" si="94"/>
        <v>-2526150.3109633625</v>
      </c>
      <c r="AX123">
        <f t="shared" si="95"/>
        <v>-1484400.1710523521</v>
      </c>
      <c r="AY123">
        <f t="shared" si="103"/>
        <v>-2.6103306189760516</v>
      </c>
      <c r="BA123">
        <f t="shared" si="80"/>
        <v>1.3918462250720871</v>
      </c>
      <c r="BB123">
        <f t="shared" si="96"/>
        <v>2.8718251179660363</v>
      </c>
      <c r="BC123">
        <f t="shared" si="97"/>
        <v>0.86244855326686132</v>
      </c>
      <c r="BD123">
        <f t="shared" si="81"/>
        <v>-130.58533779418059</v>
      </c>
      <c r="BF123">
        <f t="shared" si="82"/>
        <v>11.090848832776199</v>
      </c>
      <c r="BG123">
        <f t="shared" si="83"/>
        <v>-116.95284535005557</v>
      </c>
      <c r="BH123">
        <f t="shared" si="98"/>
        <v>63.047154649944432</v>
      </c>
      <c r="BI123">
        <f t="shared" si="99"/>
        <v>63.047154649944432</v>
      </c>
      <c r="BJ123">
        <f t="shared" si="84"/>
        <v>0</v>
      </c>
      <c r="BK123">
        <f t="shared" si="100"/>
        <v>0</v>
      </c>
      <c r="BM123">
        <f t="shared" si="101"/>
        <v>8.2190237148101648</v>
      </c>
      <c r="BN123">
        <f t="shared" si="85"/>
        <v>-166.36750755587497</v>
      </c>
      <c r="BQ123" s="75">
        <f t="shared" si="102"/>
        <v>19.773785918251175</v>
      </c>
      <c r="BR123" s="80"/>
      <c r="BS123" s="80"/>
      <c r="BT123" s="80">
        <v>1348.963</v>
      </c>
      <c r="BU123" s="80">
        <v>12.475899999999999</v>
      </c>
      <c r="BV123" s="80">
        <v>-258.79700000000003</v>
      </c>
      <c r="BW123" s="84"/>
      <c r="BY123" s="80"/>
      <c r="BZ123" s="80"/>
      <c r="CA123" s="80"/>
      <c r="CC123" s="80"/>
    </row>
    <row r="124" spans="1:81">
      <c r="A124">
        <f t="shared" si="106"/>
        <v>45000</v>
      </c>
      <c r="B124">
        <f t="shared" si="86"/>
        <v>45</v>
      </c>
      <c r="C124">
        <f t="shared" si="55"/>
        <v>1.0013819129322967</v>
      </c>
      <c r="D124">
        <f t="shared" si="56"/>
        <v>5.2541857673324678E-2</v>
      </c>
      <c r="F124">
        <f t="shared" si="57"/>
        <v>0.27789932399393352</v>
      </c>
      <c r="G124">
        <f t="shared" si="58"/>
        <v>0.18280259382050001</v>
      </c>
      <c r="H124">
        <f t="shared" si="59"/>
        <v>-2.9587900561795002</v>
      </c>
      <c r="J124">
        <f t="shared" si="60"/>
        <v>9</v>
      </c>
      <c r="M124">
        <f t="shared" si="61"/>
        <v>9.3793797528232373E-2</v>
      </c>
      <c r="N124">
        <f t="shared" si="62"/>
        <v>-1.5707963250000001</v>
      </c>
      <c r="O124">
        <f t="shared" si="63"/>
        <v>5.8729528899382712</v>
      </c>
      <c r="P124">
        <f t="shared" si="64"/>
        <v>1.3996905356741216</v>
      </c>
      <c r="Q124">
        <f t="shared" si="65"/>
        <v>2.5658458013818271</v>
      </c>
      <c r="R124">
        <f t="shared" si="66"/>
        <v>1.1704524684921016</v>
      </c>
      <c r="S124">
        <f t="shared" si="67"/>
        <v>0.99954053760072814</v>
      </c>
      <c r="T124">
        <f t="shared" si="68"/>
        <v>-3.031493321339061E-2</v>
      </c>
      <c r="U124">
        <f t="shared" si="69"/>
        <v>0.99888464541025201</v>
      </c>
      <c r="V124">
        <f t="shared" si="70"/>
        <v>-4.723477505851504E-2</v>
      </c>
      <c r="X124">
        <f t="shared" si="87"/>
        <v>10.966133648342996</v>
      </c>
      <c r="Y124">
        <f t="shared" si="71"/>
        <v>-113.70068012163652</v>
      </c>
      <c r="Z124">
        <f t="shared" si="88"/>
        <v>66.299319878363477</v>
      </c>
      <c r="AC124">
        <v>1</v>
      </c>
      <c r="AD124">
        <f t="shared" si="72"/>
        <v>5.7871906524180012</v>
      </c>
      <c r="AE124">
        <f t="shared" si="73"/>
        <v>-9.1632217913636886E-6</v>
      </c>
      <c r="AF124">
        <f t="shared" si="74"/>
        <v>1.9384883287560002E-4</v>
      </c>
      <c r="AG124">
        <f t="shared" si="89"/>
        <v>29544.277769756845</v>
      </c>
      <c r="AH124">
        <f t="shared" si="90"/>
        <v>-6555.2149632255268</v>
      </c>
      <c r="AJ124">
        <f t="shared" si="75"/>
        <v>55000</v>
      </c>
      <c r="AK124">
        <f t="shared" si="76"/>
        <v>1667.8322679768753</v>
      </c>
      <c r="AL124">
        <v>1</v>
      </c>
      <c r="AM124">
        <f t="shared" si="77"/>
        <v>2.362956765679125</v>
      </c>
      <c r="AN124">
        <f t="shared" si="91"/>
        <v>8952.7510456916025</v>
      </c>
      <c r="AO124">
        <f t="shared" si="92"/>
        <v>-19487.131386880963</v>
      </c>
      <c r="AQ124">
        <f t="shared" si="78"/>
        <v>5.61234136471748</v>
      </c>
      <c r="AR124">
        <f t="shared" si="79"/>
        <v>-133.09667546427505</v>
      </c>
      <c r="AT124">
        <f t="shared" si="104"/>
        <v>-706664.74634107831</v>
      </c>
      <c r="AU124">
        <f t="shared" si="105"/>
        <v>-3969035.2542404481</v>
      </c>
      <c r="AV124">
        <f t="shared" si="93"/>
        <v>-1.7469944542287212</v>
      </c>
      <c r="AW124">
        <f t="shared" si="94"/>
        <v>-2479442.3446102254</v>
      </c>
      <c r="AX124">
        <f t="shared" si="95"/>
        <v>-1445225.0787173691</v>
      </c>
      <c r="AY124">
        <f t="shared" si="103"/>
        <v>-2.6138541847530528</v>
      </c>
      <c r="BA124">
        <f t="shared" si="80"/>
        <v>1.4047378917806344</v>
      </c>
      <c r="BB124">
        <f t="shared" si="96"/>
        <v>2.951905947134168</v>
      </c>
      <c r="BC124">
        <f t="shared" si="97"/>
        <v>0.86685973052433152</v>
      </c>
      <c r="BD124">
        <f t="shared" si="81"/>
        <v>-130.33259595435467</v>
      </c>
      <c r="BF124">
        <f t="shared" si="82"/>
        <v>10.926500799771139</v>
      </c>
      <c r="BG124">
        <f t="shared" si="83"/>
        <v>-116.84835213652919</v>
      </c>
      <c r="BH124">
        <f t="shared" si="98"/>
        <v>63.151647863470814</v>
      </c>
      <c r="BI124">
        <f t="shared" si="99"/>
        <v>63.151647863470814</v>
      </c>
      <c r="BJ124">
        <f t="shared" si="84"/>
        <v>0</v>
      </c>
      <c r="BK124">
        <f t="shared" si="100"/>
        <v>0</v>
      </c>
      <c r="BM124">
        <f t="shared" si="101"/>
        <v>7.9745948526369705</v>
      </c>
      <c r="BN124">
        <f t="shared" si="85"/>
        <v>-166.51575618217456</v>
      </c>
      <c r="BQ124" s="75">
        <f t="shared" si="102"/>
        <v>19.853866747419303</v>
      </c>
      <c r="BR124" s="80"/>
      <c r="BS124" s="80"/>
      <c r="BT124" s="80">
        <v>1380.384</v>
      </c>
      <c r="BU124" s="80">
        <v>12.2584</v>
      </c>
      <c r="BV124" s="80">
        <v>-258.41000000000003</v>
      </c>
      <c r="BW124" s="84"/>
      <c r="BY124" s="80"/>
      <c r="BZ124" s="80"/>
      <c r="CA124" s="80"/>
      <c r="CC124" s="80"/>
    </row>
    <row r="125" spans="1:81">
      <c r="A125">
        <f t="shared" si="106"/>
        <v>45500</v>
      </c>
      <c r="B125">
        <f t="shared" si="86"/>
        <v>45.5</v>
      </c>
      <c r="C125">
        <f t="shared" si="55"/>
        <v>1.0014127709325129</v>
      </c>
      <c r="D125">
        <f t="shared" si="56"/>
        <v>5.3124564320793766E-2</v>
      </c>
      <c r="F125">
        <f t="shared" si="57"/>
        <v>0.27030529249093538</v>
      </c>
      <c r="G125">
        <f t="shared" si="58"/>
        <v>0.17974962879405604</v>
      </c>
      <c r="H125">
        <f t="shared" si="59"/>
        <v>-2.9618430212059441</v>
      </c>
      <c r="J125">
        <f t="shared" si="60"/>
        <v>9</v>
      </c>
      <c r="M125">
        <f t="shared" si="61"/>
        <v>9.2763096456493555E-2</v>
      </c>
      <c r="N125">
        <f t="shared" si="62"/>
        <v>-1.5707963250000001</v>
      </c>
      <c r="O125">
        <f t="shared" si="63"/>
        <v>5.9363261068163657</v>
      </c>
      <c r="P125">
        <f t="shared" si="64"/>
        <v>1.4015349193046387</v>
      </c>
      <c r="Q125">
        <f t="shared" si="65"/>
        <v>2.5900450228661653</v>
      </c>
      <c r="R125">
        <f t="shared" si="66"/>
        <v>1.17440319102295</v>
      </c>
      <c r="S125">
        <f t="shared" si="67"/>
        <v>0.99953027783427117</v>
      </c>
      <c r="T125">
        <f t="shared" si="68"/>
        <v>-3.0651556028622243E-2</v>
      </c>
      <c r="U125">
        <f t="shared" si="69"/>
        <v>0.99885976466631565</v>
      </c>
      <c r="V125">
        <f t="shared" si="70"/>
        <v>-4.7758812569653683E-2</v>
      </c>
      <c r="X125">
        <f t="shared" si="87"/>
        <v>10.804219183088321</v>
      </c>
      <c r="Y125">
        <f t="shared" si="71"/>
        <v>-113.55949258031616</v>
      </c>
      <c r="Z125">
        <f t="shared" si="88"/>
        <v>66.44050741968384</v>
      </c>
      <c r="AC125">
        <v>1</v>
      </c>
      <c r="AD125">
        <f t="shared" si="72"/>
        <v>5.8514927707782007</v>
      </c>
      <c r="AE125">
        <f t="shared" si="73"/>
        <v>-9.3679802042324315E-6</v>
      </c>
      <c r="AF125">
        <f t="shared" si="74"/>
        <v>1.9600270879644002E-4</v>
      </c>
      <c r="AG125">
        <f t="shared" si="89"/>
        <v>29542.80597927847</v>
      </c>
      <c r="AH125">
        <f t="shared" si="90"/>
        <v>-6513.9733498139785</v>
      </c>
      <c r="AJ125">
        <f t="shared" si="75"/>
        <v>55000</v>
      </c>
      <c r="AK125">
        <f t="shared" si="76"/>
        <v>1686.3637376210627</v>
      </c>
      <c r="AL125">
        <v>1</v>
      </c>
      <c r="AM125">
        <f t="shared" si="77"/>
        <v>2.3892118408533376</v>
      </c>
      <c r="AN125">
        <f t="shared" si="91"/>
        <v>8799.3661420624594</v>
      </c>
      <c r="AO125">
        <f t="shared" si="92"/>
        <v>-19337.18604099852</v>
      </c>
      <c r="AQ125">
        <f t="shared" si="78"/>
        <v>5.4898839211573511</v>
      </c>
      <c r="AR125">
        <f t="shared" si="79"/>
        <v>-131.63918160347157</v>
      </c>
      <c r="AT125">
        <f t="shared" si="104"/>
        <v>-695307.54522482422</v>
      </c>
      <c r="AU125">
        <f t="shared" si="105"/>
        <v>-3924751.7589383554</v>
      </c>
      <c r="AV125">
        <f t="shared" si="93"/>
        <v>-1.7461366727055505</v>
      </c>
      <c r="AW125">
        <f t="shared" si="94"/>
        <v>-2433909.6825941433</v>
      </c>
      <c r="AX125">
        <f t="shared" si="95"/>
        <v>-1407498.4075494921</v>
      </c>
      <c r="AY125">
        <f t="shared" si="103"/>
        <v>-2.6172915905460026</v>
      </c>
      <c r="BA125">
        <f t="shared" si="80"/>
        <v>1.4176618393593654</v>
      </c>
      <c r="BB125">
        <f t="shared" si="96"/>
        <v>3.031452983449511</v>
      </c>
      <c r="BC125">
        <f t="shared" si="97"/>
        <v>0.87115491784045207</v>
      </c>
      <c r="BD125">
        <f t="shared" si="81"/>
        <v>-130.08649984864164</v>
      </c>
      <c r="BF125">
        <f t="shared" si="82"/>
        <v>10.765656667190155</v>
      </c>
      <c r="BG125">
        <f t="shared" si="83"/>
        <v>-116.74379141039995</v>
      </c>
      <c r="BH125">
        <f t="shared" si="98"/>
        <v>63.25620858960005</v>
      </c>
      <c r="BI125">
        <f t="shared" si="99"/>
        <v>63.25620858960005</v>
      </c>
      <c r="BJ125">
        <f t="shared" si="84"/>
        <v>0</v>
      </c>
      <c r="BK125">
        <f t="shared" si="100"/>
        <v>0</v>
      </c>
      <c r="BM125">
        <f t="shared" si="101"/>
        <v>7.7342036837406454</v>
      </c>
      <c r="BN125">
        <f t="shared" si="85"/>
        <v>-166.65729156175834</v>
      </c>
      <c r="BQ125" s="75">
        <f t="shared" si="102"/>
        <v>19.933413783734647</v>
      </c>
      <c r="BR125" s="80"/>
      <c r="BS125" s="80"/>
      <c r="BT125" s="80">
        <v>1412.538</v>
      </c>
      <c r="BU125" s="80">
        <v>12.0929</v>
      </c>
      <c r="BV125" s="80">
        <v>-258.13599999999997</v>
      </c>
      <c r="BW125" s="84"/>
      <c r="BY125" s="80"/>
      <c r="BZ125" s="80"/>
      <c r="CA125" s="80"/>
      <c r="CC125" s="80"/>
    </row>
    <row r="126" spans="1:81">
      <c r="A126">
        <f t="shared" si="106"/>
        <v>46000</v>
      </c>
      <c r="B126">
        <f t="shared" si="86"/>
        <v>46</v>
      </c>
      <c r="C126">
        <f t="shared" si="55"/>
        <v>1.001443968938446</v>
      </c>
      <c r="D126">
        <f t="shared" si="56"/>
        <v>5.3707234859950749E-2</v>
      </c>
      <c r="F126">
        <f t="shared" si="57"/>
        <v>0.26303662840284314</v>
      </c>
      <c r="G126">
        <f t="shared" si="58"/>
        <v>0.17680722870208992</v>
      </c>
      <c r="H126">
        <f t="shared" si="59"/>
        <v>-2.9647854212979103</v>
      </c>
      <c r="J126">
        <f t="shared" si="60"/>
        <v>9</v>
      </c>
      <c r="M126">
        <f t="shared" si="61"/>
        <v>9.1754801929792545E-2</v>
      </c>
      <c r="N126">
        <f t="shared" si="62"/>
        <v>-1.5707963250000001</v>
      </c>
      <c r="O126">
        <f t="shared" si="63"/>
        <v>5.9997190909538451</v>
      </c>
      <c r="P126">
        <f t="shared" si="64"/>
        <v>1.403340333483539</v>
      </c>
      <c r="Q126">
        <f t="shared" si="65"/>
        <v>2.6142839215402072</v>
      </c>
      <c r="R126">
        <f t="shared" si="66"/>
        <v>1.1782807131874509</v>
      </c>
      <c r="S126">
        <f t="shared" si="67"/>
        <v>0.99951990502141175</v>
      </c>
      <c r="T126">
        <f t="shared" si="68"/>
        <v>-3.0988171895264066E-2</v>
      </c>
      <c r="U126">
        <f t="shared" si="69"/>
        <v>0.99883461088709413</v>
      </c>
      <c r="V126">
        <f t="shared" si="70"/>
        <v>-4.8282823831545724E-2</v>
      </c>
      <c r="X126">
        <f t="shared" si="87"/>
        <v>10.64565790162996</v>
      </c>
      <c r="Y126">
        <f t="shared" si="71"/>
        <v>-113.41839715880425</v>
      </c>
      <c r="Z126">
        <f t="shared" si="88"/>
        <v>66.581602841195746</v>
      </c>
      <c r="AC126">
        <v>1</v>
      </c>
      <c r="AD126">
        <f t="shared" si="72"/>
        <v>5.9157948891384002</v>
      </c>
      <c r="AE126">
        <f t="shared" si="73"/>
        <v>-9.5750011410002808E-6</v>
      </c>
      <c r="AF126">
        <f t="shared" si="74"/>
        <v>1.9815658471728002E-4</v>
      </c>
      <c r="AG126">
        <f t="shared" si="89"/>
        <v>29541.318074992501</v>
      </c>
      <c r="AH126">
        <f t="shared" si="90"/>
        <v>-6473.9617717222145</v>
      </c>
      <c r="AJ126">
        <f t="shared" si="75"/>
        <v>55000</v>
      </c>
      <c r="AK126">
        <f t="shared" si="76"/>
        <v>1704.8952072652503</v>
      </c>
      <c r="AL126">
        <v>1</v>
      </c>
      <c r="AM126">
        <f t="shared" si="77"/>
        <v>2.4154669160275506</v>
      </c>
      <c r="AN126">
        <f t="shared" si="91"/>
        <v>8649.9798542811041</v>
      </c>
      <c r="AO126">
        <f t="shared" si="92"/>
        <v>-19188.844955055571</v>
      </c>
      <c r="AQ126">
        <f t="shared" si="78"/>
        <v>5.3713888680945283</v>
      </c>
      <c r="AR126">
        <f t="shared" si="79"/>
        <v>-130.21320894034756</v>
      </c>
      <c r="AT126">
        <f t="shared" si="104"/>
        <v>-684317.42979623307</v>
      </c>
      <c r="AU126">
        <f t="shared" si="105"/>
        <v>-3881443.9890653626</v>
      </c>
      <c r="AV126">
        <f t="shared" si="93"/>
        <v>-1.7453077959034586</v>
      </c>
      <c r="AW126">
        <f t="shared" si="94"/>
        <v>-2389517.0910336138</v>
      </c>
      <c r="AX126">
        <f t="shared" si="95"/>
        <v>-1371154.2792765468</v>
      </c>
      <c r="AY126">
        <f t="shared" si="103"/>
        <v>-2.6206451291848154</v>
      </c>
      <c r="BA126">
        <f t="shared" si="80"/>
        <v>1.4306172384526192</v>
      </c>
      <c r="BB126">
        <f t="shared" si="96"/>
        <v>3.1104690768236716</v>
      </c>
      <c r="BC126">
        <f t="shared" si="97"/>
        <v>0.87533733328135677</v>
      </c>
      <c r="BD126">
        <f t="shared" si="81"/>
        <v>-129.8468650954336</v>
      </c>
      <c r="BF126">
        <f t="shared" si="82"/>
        <v>10.608176956305705</v>
      </c>
      <c r="BG126">
        <f t="shared" si="83"/>
        <v>-116.63935920151471</v>
      </c>
      <c r="BH126">
        <f t="shared" si="98"/>
        <v>63.360640798485292</v>
      </c>
      <c r="BI126">
        <f t="shared" si="99"/>
        <v>63.360640798485292</v>
      </c>
      <c r="BJ126">
        <f t="shared" si="84"/>
        <v>0</v>
      </c>
      <c r="BK126">
        <f t="shared" si="100"/>
        <v>0</v>
      </c>
      <c r="BM126">
        <f t="shared" si="101"/>
        <v>7.4977078794820349</v>
      </c>
      <c r="BN126">
        <f t="shared" si="85"/>
        <v>-166.79249410608111</v>
      </c>
      <c r="BQ126" s="75">
        <f t="shared" si="102"/>
        <v>20.012429877108808</v>
      </c>
      <c r="BR126" s="80"/>
      <c r="BS126" s="80"/>
      <c r="BT126" s="80">
        <v>1445.44</v>
      </c>
      <c r="BU126" s="80">
        <v>11.918900000000001</v>
      </c>
      <c r="BV126" s="80">
        <v>-257.92899999999997</v>
      </c>
      <c r="BW126" s="84"/>
      <c r="BY126" s="80"/>
      <c r="BZ126" s="80"/>
      <c r="CA126" s="80"/>
      <c r="CC126" s="80"/>
    </row>
    <row r="127" spans="1:81">
      <c r="A127">
        <f t="shared" si="106"/>
        <v>46500</v>
      </c>
      <c r="B127">
        <f t="shared" si="86"/>
        <v>46.5</v>
      </c>
      <c r="C127">
        <f t="shared" si="55"/>
        <v>1.0014755069183203</v>
      </c>
      <c r="D127">
        <f t="shared" si="56"/>
        <v>5.428986889854974E-2</v>
      </c>
      <c r="F127">
        <f t="shared" si="57"/>
        <v>0.25607418173410235</v>
      </c>
      <c r="G127">
        <f t="shared" si="58"/>
        <v>0.17396925280556208</v>
      </c>
      <c r="H127">
        <f t="shared" si="59"/>
        <v>-2.9676233971944379</v>
      </c>
      <c r="J127">
        <f t="shared" si="60"/>
        <v>9</v>
      </c>
      <c r="M127">
        <f t="shared" si="61"/>
        <v>9.0768191156353914E-2</v>
      </c>
      <c r="N127">
        <f t="shared" si="62"/>
        <v>-1.5707963250000001</v>
      </c>
      <c r="O127">
        <f t="shared" si="63"/>
        <v>6.0631312223218234</v>
      </c>
      <c r="P127">
        <f t="shared" si="64"/>
        <v>1.4051079889555786</v>
      </c>
      <c r="Q127">
        <f t="shared" si="65"/>
        <v>2.6385614039317526</v>
      </c>
      <c r="R127">
        <f t="shared" si="66"/>
        <v>1.1820869373106686</v>
      </c>
      <c r="S127">
        <f t="shared" si="67"/>
        <v>0.99950941917272129</v>
      </c>
      <c r="T127">
        <f t="shared" si="68"/>
        <v>-3.132478073724955E-2</v>
      </c>
      <c r="U127">
        <f t="shared" si="69"/>
        <v>0.99880918413465425</v>
      </c>
      <c r="V127">
        <f t="shared" si="70"/>
        <v>-4.8806808558410936E-2</v>
      </c>
      <c r="X127">
        <f t="shared" si="87"/>
        <v>10.490318148640519</v>
      </c>
      <c r="Y127">
        <f t="shared" si="71"/>
        <v>-113.27756733151074</v>
      </c>
      <c r="Z127">
        <f t="shared" si="88"/>
        <v>66.722432668489262</v>
      </c>
      <c r="AC127">
        <v>1</v>
      </c>
      <c r="AD127">
        <f t="shared" si="72"/>
        <v>5.9800970074986015</v>
      </c>
      <c r="AE127">
        <f t="shared" si="73"/>
        <v>-9.7842846016672282E-6</v>
      </c>
      <c r="AF127">
        <f t="shared" si="74"/>
        <v>2.0031046063812003E-4</v>
      </c>
      <c r="AG127">
        <f t="shared" si="89"/>
        <v>29539.814061790341</v>
      </c>
      <c r="AH127">
        <f t="shared" si="90"/>
        <v>-6435.1404502515561</v>
      </c>
      <c r="AJ127">
        <f t="shared" si="75"/>
        <v>55000</v>
      </c>
      <c r="AK127">
        <f t="shared" si="76"/>
        <v>1723.4266769094377</v>
      </c>
      <c r="AL127">
        <v>1</v>
      </c>
      <c r="AM127">
        <f t="shared" si="77"/>
        <v>2.4417219912017627</v>
      </c>
      <c r="AN127">
        <f t="shared" si="91"/>
        <v>8504.4635721755822</v>
      </c>
      <c r="AO127">
        <f t="shared" si="92"/>
        <v>-19042.10905064598</v>
      </c>
      <c r="AQ127">
        <f t="shared" si="78"/>
        <v>5.2566871747054122</v>
      </c>
      <c r="AR127">
        <f t="shared" si="79"/>
        <v>-128.81774755974348</v>
      </c>
      <c r="AT127">
        <f t="shared" si="104"/>
        <v>-673678.73631020309</v>
      </c>
      <c r="AU127">
        <f t="shared" si="105"/>
        <v>-3839079.8310457342</v>
      </c>
      <c r="AV127">
        <f t="shared" si="93"/>
        <v>-1.7445069358842373</v>
      </c>
      <c r="AW127">
        <f t="shared" si="94"/>
        <v>-2346230.4386391756</v>
      </c>
      <c r="AX127">
        <f t="shared" si="95"/>
        <v>-1336130.3147160369</v>
      </c>
      <c r="AY127">
        <f t="shared" si="103"/>
        <v>-2.623917015774035</v>
      </c>
      <c r="BA127">
        <f t="shared" si="80"/>
        <v>1.4436032938311436</v>
      </c>
      <c r="BB127">
        <f t="shared" si="96"/>
        <v>3.188957286134789</v>
      </c>
      <c r="BC127">
        <f t="shared" si="97"/>
        <v>0.87941007988979769</v>
      </c>
      <c r="BD127">
        <f t="shared" si="81"/>
        <v>-129.6135139034771</v>
      </c>
      <c r="BF127">
        <f t="shared" si="82"/>
        <v>10.453929992064852</v>
      </c>
      <c r="BG127">
        <f t="shared" si="83"/>
        <v>-116.53522957952434</v>
      </c>
      <c r="BH127">
        <f t="shared" si="98"/>
        <v>63.464770420475659</v>
      </c>
      <c r="BI127">
        <f t="shared" si="99"/>
        <v>63.464770420475659</v>
      </c>
      <c r="BJ127">
        <f t="shared" si="84"/>
        <v>0</v>
      </c>
      <c r="BK127">
        <f t="shared" si="100"/>
        <v>0</v>
      </c>
      <c r="BM127">
        <f t="shared" si="101"/>
        <v>7.2649727059300604</v>
      </c>
      <c r="BN127">
        <f t="shared" si="85"/>
        <v>-166.92171567604723</v>
      </c>
      <c r="BQ127" s="75">
        <f t="shared" si="102"/>
        <v>20.090918086419926</v>
      </c>
      <c r="BR127" s="80"/>
      <c r="BS127" s="80"/>
      <c r="BT127" s="80">
        <v>1479.1079999999999</v>
      </c>
      <c r="BU127" s="80">
        <v>11.714700000000001</v>
      </c>
      <c r="BV127" s="80">
        <v>-257.745</v>
      </c>
      <c r="BW127" s="84"/>
      <c r="BY127" s="80"/>
      <c r="BZ127" s="80"/>
      <c r="CA127" s="80"/>
      <c r="CC127" s="80"/>
    </row>
    <row r="128" spans="1:81">
      <c r="A128">
        <f t="shared" si="106"/>
        <v>47000</v>
      </c>
      <c r="B128">
        <f t="shared" si="86"/>
        <v>47</v>
      </c>
      <c r="C128">
        <f t="shared" si="55"/>
        <v>1.0015073848400184</v>
      </c>
      <c r="D128">
        <f t="shared" si="56"/>
        <v>5.487246604449314E-2</v>
      </c>
      <c r="F128">
        <f t="shared" si="57"/>
        <v>0.24940023551970619</v>
      </c>
      <c r="G128">
        <f t="shared" si="58"/>
        <v>0.17123001270631577</v>
      </c>
      <c r="H128">
        <f t="shared" si="59"/>
        <v>-2.9703626372936842</v>
      </c>
      <c r="J128">
        <f t="shared" si="60"/>
        <v>9</v>
      </c>
      <c r="M128">
        <f t="shared" si="61"/>
        <v>8.9802572101499084E-2</v>
      </c>
      <c r="N128">
        <f t="shared" si="62"/>
        <v>-1.5707963250000001</v>
      </c>
      <c r="O128">
        <f t="shared" si="63"/>
        <v>6.1265619063780496</v>
      </c>
      <c r="P128">
        <f t="shared" si="64"/>
        <v>1.406839047290998</v>
      </c>
      <c r="Q128">
        <f t="shared" si="65"/>
        <v>2.6628764147360959</v>
      </c>
      <c r="R128">
        <f t="shared" si="66"/>
        <v>1.1858237046661386</v>
      </c>
      <c r="S128">
        <f t="shared" si="67"/>
        <v>0.99949882029888582</v>
      </c>
      <c r="T128">
        <f t="shared" si="68"/>
        <v>-3.1661382478521717E-2</v>
      </c>
      <c r="U128">
        <f t="shared" si="69"/>
        <v>0.9987834844717276</v>
      </c>
      <c r="V128">
        <f t="shared" si="70"/>
        <v>-4.9330766464556336E-2</v>
      </c>
      <c r="X128">
        <f t="shared" si="87"/>
        <v>10.338075522255728</v>
      </c>
      <c r="Y128">
        <f t="shared" si="71"/>
        <v>-113.13715697110629</v>
      </c>
      <c r="Z128">
        <f t="shared" si="88"/>
        <v>66.862843028893707</v>
      </c>
      <c r="AC128">
        <v>1</v>
      </c>
      <c r="AD128">
        <f t="shared" si="72"/>
        <v>6.044399125858801</v>
      </c>
      <c r="AE128">
        <f t="shared" si="73"/>
        <v>-9.9958305862332787E-6</v>
      </c>
      <c r="AF128">
        <f t="shared" si="74"/>
        <v>2.0246433655896E-4</v>
      </c>
      <c r="AG128">
        <f t="shared" si="89"/>
        <v>29538.293944615587</v>
      </c>
      <c r="AH128">
        <f t="shared" si="90"/>
        <v>-6397.4712983565023</v>
      </c>
      <c r="AJ128">
        <f t="shared" si="75"/>
        <v>55000</v>
      </c>
      <c r="AK128">
        <f t="shared" si="76"/>
        <v>1741.9581465536253</v>
      </c>
      <c r="AL128">
        <v>1</v>
      </c>
      <c r="AM128">
        <f t="shared" si="77"/>
        <v>2.4679770663759752</v>
      </c>
      <c r="AN128">
        <f t="shared" si="91"/>
        <v>8362.6933728967233</v>
      </c>
      <c r="AO128">
        <f t="shared" si="92"/>
        <v>-18896.977310889837</v>
      </c>
      <c r="AQ128">
        <f t="shared" si="78"/>
        <v>5.1456187234751356</v>
      </c>
      <c r="AR128">
        <f t="shared" si="79"/>
        <v>-127.45183016175562</v>
      </c>
      <c r="AT128">
        <f t="shared" si="104"/>
        <v>-663376.62700191303</v>
      </c>
      <c r="AU128">
        <f t="shared" si="105"/>
        <v>-3797628.5711928783</v>
      </c>
      <c r="AV128">
        <f t="shared" si="93"/>
        <v>-1.7437332401737888</v>
      </c>
      <c r="AW128">
        <f t="shared" si="94"/>
        <v>-2304016.6701238863</v>
      </c>
      <c r="AX128">
        <f t="shared" si="95"/>
        <v>-1302367.4234866011</v>
      </c>
      <c r="AY128">
        <f t="shared" si="103"/>
        <v>-2.627109390765006</v>
      </c>
      <c r="BA128">
        <f t="shared" si="80"/>
        <v>1.4566192427144109</v>
      </c>
      <c r="BB128">
        <f t="shared" si="96"/>
        <v>3.2669208583417593</v>
      </c>
      <c r="BC128">
        <f t="shared" si="97"/>
        <v>0.88337615059121721</v>
      </c>
      <c r="BD128">
        <f t="shared" si="81"/>
        <v>-129.38627479077559</v>
      </c>
      <c r="BF128">
        <f t="shared" si="82"/>
        <v>10.30279135264292</v>
      </c>
      <c r="BG128">
        <f t="shared" si="83"/>
        <v>-116.43155700610494</v>
      </c>
      <c r="BH128">
        <f t="shared" si="98"/>
        <v>63.568442993895061</v>
      </c>
      <c r="BI128">
        <f t="shared" si="99"/>
        <v>63.568442993895061</v>
      </c>
      <c r="BJ128">
        <f t="shared" si="84"/>
        <v>0</v>
      </c>
      <c r="BK128">
        <f t="shared" si="100"/>
        <v>0</v>
      </c>
      <c r="BM128">
        <f t="shared" si="101"/>
        <v>7.0358704943011592</v>
      </c>
      <c r="BN128">
        <f t="shared" si="85"/>
        <v>-167.04528221532934</v>
      </c>
      <c r="BQ128" s="75">
        <f t="shared" si="102"/>
        <v>20.168881658626894</v>
      </c>
      <c r="BR128" s="80"/>
      <c r="BS128" s="80"/>
      <c r="BT128" s="80">
        <v>1513.5609999999999</v>
      </c>
      <c r="BU128" s="80">
        <v>11.5252</v>
      </c>
      <c r="BV128" s="80">
        <v>-257.61</v>
      </c>
      <c r="BW128" s="84"/>
      <c r="BY128" s="80"/>
      <c r="BZ128" s="80"/>
      <c r="CA128" s="80"/>
      <c r="CC128" s="80"/>
    </row>
    <row r="129" spans="1:81">
      <c r="A129">
        <f t="shared" si="106"/>
        <v>47500</v>
      </c>
      <c r="B129">
        <f t="shared" si="86"/>
        <v>47.5</v>
      </c>
      <c r="C129">
        <f t="shared" si="55"/>
        <v>1.0015396026710801</v>
      </c>
      <c r="D129">
        <f t="shared" si="56"/>
        <v>5.545502590583317E-2</v>
      </c>
      <c r="F129">
        <f t="shared" si="57"/>
        <v>0.24299837626149795</v>
      </c>
      <c r="G129">
        <f t="shared" si="58"/>
        <v>0.16858423136837175</v>
      </c>
      <c r="H129">
        <f t="shared" si="59"/>
        <v>-2.9730084186316286</v>
      </c>
      <c r="J129">
        <f t="shared" si="60"/>
        <v>9</v>
      </c>
      <c r="M129">
        <f t="shared" si="61"/>
        <v>8.8857281868851723E-2</v>
      </c>
      <c r="N129">
        <f t="shared" si="62"/>
        <v>-1.5707963250000001</v>
      </c>
      <c r="O129">
        <f t="shared" si="63"/>
        <v>6.1900105727795633</v>
      </c>
      <c r="P129">
        <f t="shared" si="64"/>
        <v>1.4085346233332445</v>
      </c>
      <c r="Q129">
        <f t="shared" si="65"/>
        <v>2.6872279352414519</v>
      </c>
      <c r="R129">
        <f t="shared" si="66"/>
        <v>1.1894927976994165</v>
      </c>
      <c r="S129">
        <f t="shared" si="67"/>
        <v>0.99948810841070568</v>
      </c>
      <c r="T129">
        <f t="shared" si="68"/>
        <v>-3.1997977043033241E-2</v>
      </c>
      <c r="U129">
        <f t="shared" si="69"/>
        <v>0.99875751196171014</v>
      </c>
      <c r="V129">
        <f t="shared" si="70"/>
        <v>-4.9854697264377072E-2</v>
      </c>
      <c r="X129">
        <f t="shared" si="87"/>
        <v>10.188812369884928</v>
      </c>
      <c r="Y129">
        <f t="shared" si="71"/>
        <v>-112.99730242878496</v>
      </c>
      <c r="Z129">
        <f t="shared" si="88"/>
        <v>67.002697571215037</v>
      </c>
      <c r="AC129">
        <v>1</v>
      </c>
      <c r="AD129">
        <f t="shared" si="72"/>
        <v>6.1087012442190005</v>
      </c>
      <c r="AE129">
        <f t="shared" si="73"/>
        <v>-1.0209639094698432E-5</v>
      </c>
      <c r="AF129">
        <f t="shared" si="74"/>
        <v>2.046182124798E-4</v>
      </c>
      <c r="AG129">
        <f t="shared" si="89"/>
        <v>29536.757728463988</v>
      </c>
      <c r="AH129">
        <f t="shared" si="90"/>
        <v>-6360.9178316111647</v>
      </c>
      <c r="AJ129">
        <f t="shared" si="75"/>
        <v>55000</v>
      </c>
      <c r="AK129">
        <f t="shared" si="76"/>
        <v>1760.4896161978127</v>
      </c>
      <c r="AL129">
        <v>1</v>
      </c>
      <c r="AM129">
        <f t="shared" si="77"/>
        <v>2.4942321415501878</v>
      </c>
      <c r="AN129">
        <f t="shared" si="91"/>
        <v>8224.5498436203015</v>
      </c>
      <c r="AO129">
        <f t="shared" si="92"/>
        <v>-18753.446953541516</v>
      </c>
      <c r="AQ129">
        <f t="shared" si="78"/>
        <v>5.0380317523664004</v>
      </c>
      <c r="AR129">
        <f t="shared" si="79"/>
        <v>-126.11452984111192</v>
      </c>
      <c r="AT129">
        <f t="shared" si="104"/>
        <v>-653397.03839363193</v>
      </c>
      <c r="AU129">
        <f t="shared" si="105"/>
        <v>-3757060.8199659153</v>
      </c>
      <c r="AV129">
        <f t="shared" si="93"/>
        <v>-1.7429858900336446</v>
      </c>
      <c r="AW129">
        <f t="shared" si="94"/>
        <v>-2262843.7789672525</v>
      </c>
      <c r="AX129">
        <f t="shared" si="95"/>
        <v>-1269809.6077086616</v>
      </c>
      <c r="AY129">
        <f t="shared" si="103"/>
        <v>-2.6302243228929871</v>
      </c>
      <c r="BA129">
        <f t="shared" si="80"/>
        <v>1.4696643531907423</v>
      </c>
      <c r="BB129">
        <f t="shared" si="96"/>
        <v>3.3443632092284341</v>
      </c>
      <c r="BC129">
        <f t="shared" si="97"/>
        <v>0.88723843285934256</v>
      </c>
      <c r="BD129">
        <f t="shared" si="81"/>
        <v>-129.16498231727093</v>
      </c>
      <c r="BF129">
        <f t="shared" si="82"/>
        <v>10.154643365253476</v>
      </c>
      <c r="BG129">
        <f t="shared" si="83"/>
        <v>-116.32847841554552</v>
      </c>
      <c r="BH129">
        <f t="shared" si="98"/>
        <v>63.671521584454482</v>
      </c>
      <c r="BI129">
        <f t="shared" si="99"/>
        <v>63.671521584454482</v>
      </c>
      <c r="BJ129">
        <f t="shared" si="84"/>
        <v>0</v>
      </c>
      <c r="BK129">
        <f t="shared" si="100"/>
        <v>0</v>
      </c>
      <c r="BM129">
        <f t="shared" si="101"/>
        <v>6.8102801560250406</v>
      </c>
      <c r="BN129">
        <f t="shared" si="85"/>
        <v>-167.16349609827458</v>
      </c>
      <c r="BQ129" s="75">
        <f t="shared" si="102"/>
        <v>20.246324009513572</v>
      </c>
      <c r="BR129" s="80"/>
      <c r="BS129" s="80"/>
      <c r="BT129" s="80">
        <v>1548.817</v>
      </c>
      <c r="BU129" s="80">
        <v>11.3354</v>
      </c>
      <c r="BV129" s="80">
        <v>-257.471</v>
      </c>
      <c r="BW129" s="84"/>
      <c r="BY129" s="80"/>
      <c r="BZ129" s="80"/>
      <c r="CA129" s="80"/>
      <c r="CC129" s="80"/>
    </row>
    <row r="130" spans="1:81">
      <c r="A130">
        <f t="shared" si="106"/>
        <v>48000</v>
      </c>
      <c r="B130">
        <f t="shared" si="86"/>
        <v>48</v>
      </c>
      <c r="C130">
        <f t="shared" si="55"/>
        <v>1.0015721603787033</v>
      </c>
      <c r="D130">
        <f t="shared" si="56"/>
        <v>5.603754809077343E-2</v>
      </c>
      <c r="F130">
        <f t="shared" si="57"/>
        <v>0.23685337801999959</v>
      </c>
      <c r="G130">
        <f t="shared" si="58"/>
        <v>0.16602700650454283</v>
      </c>
      <c r="H130">
        <f t="shared" si="59"/>
        <v>-2.9755656434954574</v>
      </c>
      <c r="J130">
        <f t="shared" si="60"/>
        <v>9</v>
      </c>
      <c r="M130">
        <f t="shared" si="61"/>
        <v>8.793168518271785E-2</v>
      </c>
      <c r="N130">
        <f t="shared" si="62"/>
        <v>-1.5707963250000001</v>
      </c>
      <c r="O130">
        <f t="shared" si="63"/>
        <v>6.2534766741720667</v>
      </c>
      <c r="P130">
        <f t="shared" si="64"/>
        <v>1.4101957875033626</v>
      </c>
      <c r="Q130">
        <f t="shared" si="65"/>
        <v>2.7116149818274558</v>
      </c>
      <c r="R130">
        <f t="shared" si="66"/>
        <v>1.1930959421673075</v>
      </c>
      <c r="S130">
        <f t="shared" si="67"/>
        <v>0.99947728351909637</v>
      </c>
      <c r="T130">
        <f t="shared" si="68"/>
        <v>-3.2334564354746506E-2</v>
      </c>
      <c r="U130">
        <f t="shared" si="69"/>
        <v>0.99873126666866285</v>
      </c>
      <c r="V130">
        <f t="shared" si="70"/>
        <v>-5.0378600672357381E-2</v>
      </c>
      <c r="X130">
        <f t="shared" si="87"/>
        <v>10.04241732582414</v>
      </c>
      <c r="Y130">
        <f t="shared" si="71"/>
        <v>-112.85812437745584</v>
      </c>
      <c r="Z130">
        <f t="shared" si="88"/>
        <v>67.141875622544163</v>
      </c>
      <c r="AC130">
        <v>1</v>
      </c>
      <c r="AD130">
        <f t="shared" si="72"/>
        <v>6.1730033625792</v>
      </c>
      <c r="AE130">
        <f t="shared" si="73"/>
        <v>-1.0425710127062687E-5</v>
      </c>
      <c r="AF130">
        <f t="shared" si="74"/>
        <v>2.0677208840064E-4</v>
      </c>
      <c r="AG130">
        <f t="shared" si="89"/>
        <v>29535.205418383444</v>
      </c>
      <c r="AH130">
        <f t="shared" si="90"/>
        <v>-6325.4450847403095</v>
      </c>
      <c r="AJ130">
        <f t="shared" si="75"/>
        <v>55000</v>
      </c>
      <c r="AK130">
        <f t="shared" si="76"/>
        <v>1779.0210858420005</v>
      </c>
      <c r="AL130">
        <v>1</v>
      </c>
      <c r="AM130">
        <f t="shared" si="77"/>
        <v>2.5204872167244003</v>
      </c>
      <c r="AN130">
        <f t="shared" si="91"/>
        <v>8089.9179101145173</v>
      </c>
      <c r="AO130">
        <f t="shared" si="92"/>
        <v>-18611.513590951417</v>
      </c>
      <c r="AQ130">
        <f t="shared" si="78"/>
        <v>4.9337823372764316</v>
      </c>
      <c r="AR130">
        <f t="shared" si="79"/>
        <v>-124.80495800374462</v>
      </c>
      <c r="AT130">
        <f t="shared" si="104"/>
        <v>-643726.63333495578</v>
      </c>
      <c r="AU130">
        <f t="shared" si="105"/>
        <v>-3717348.4411078198</v>
      </c>
      <c r="AV130">
        <f t="shared" si="93"/>
        <v>-1.7422640988310338</v>
      </c>
      <c r="AW130">
        <f t="shared" si="94"/>
        <v>-2222680.7797481269</v>
      </c>
      <c r="AX130">
        <f t="shared" si="95"/>
        <v>-1238403.7786807788</v>
      </c>
      <c r="AY130">
        <f t="shared" si="103"/>
        <v>-2.6332638119855187</v>
      </c>
      <c r="BA130">
        <f t="shared" si="80"/>
        <v>1.4827379227285766</v>
      </c>
      <c r="BB130">
        <f t="shared" si="96"/>
        <v>3.4212879056509053</v>
      </c>
      <c r="BC130">
        <f t="shared" si="97"/>
        <v>0.8909997131544849</v>
      </c>
      <c r="BD130">
        <f t="shared" si="81"/>
        <v>-128.94947683054733</v>
      </c>
      <c r="BF130">
        <f t="shared" si="82"/>
        <v>10.009374643760832</v>
      </c>
      <c r="BG130">
        <f t="shared" si="83"/>
        <v>-116.22611505824467</v>
      </c>
      <c r="BH130">
        <f t="shared" si="98"/>
        <v>63.773884941755327</v>
      </c>
      <c r="BI130">
        <f t="shared" si="99"/>
        <v>63.773884941755327</v>
      </c>
      <c r="BJ130">
        <f t="shared" si="84"/>
        <v>0</v>
      </c>
      <c r="BK130">
        <f t="shared" si="100"/>
        <v>0</v>
      </c>
      <c r="BM130">
        <f t="shared" si="101"/>
        <v>6.5880867381099284</v>
      </c>
      <c r="BN130">
        <f t="shared" si="85"/>
        <v>-167.27663822769736</v>
      </c>
      <c r="BQ130" s="75">
        <f t="shared" si="102"/>
        <v>20.323248705936045</v>
      </c>
      <c r="BR130" s="80"/>
      <c r="BS130" s="80"/>
      <c r="BT130" s="80">
        <v>1584.893</v>
      </c>
      <c r="BU130" s="80">
        <v>11.160399999999999</v>
      </c>
      <c r="BV130" s="80">
        <v>-256.94200000000001</v>
      </c>
      <c r="BW130" s="84"/>
      <c r="BY130" s="80"/>
      <c r="BZ130" s="80"/>
      <c r="CA130" s="80"/>
      <c r="CC130" s="80"/>
    </row>
    <row r="131" spans="1:81">
      <c r="A131">
        <f t="shared" si="106"/>
        <v>48500</v>
      </c>
      <c r="B131">
        <f t="shared" si="86"/>
        <v>48.5</v>
      </c>
      <c r="C131">
        <f t="shared" si="55"/>
        <v>1.0016050579297449</v>
      </c>
      <c r="D131">
        <f t="shared" si="56"/>
        <v>5.6620032207670506E-2</v>
      </c>
      <c r="F131">
        <f t="shared" si="57"/>
        <v>0.23095109852740056</v>
      </c>
      <c r="G131">
        <f t="shared" si="58"/>
        <v>0.16355377779745336</v>
      </c>
      <c r="H131">
        <f t="shared" si="59"/>
        <v>-2.9780388722025468</v>
      </c>
      <c r="J131">
        <f t="shared" si="60"/>
        <v>9</v>
      </c>
      <c r="M131">
        <f t="shared" si="61"/>
        <v>8.7025172964339315E-2</v>
      </c>
      <c r="N131">
        <f t="shared" si="62"/>
        <v>-1.5707963250000001</v>
      </c>
      <c r="O131">
        <f t="shared" si="63"/>
        <v>6.3169596850507679</v>
      </c>
      <c r="P131">
        <f t="shared" si="64"/>
        <v>1.411823567970653</v>
      </c>
      <c r="Q131">
        <f t="shared" si="65"/>
        <v>2.7360366045330973</v>
      </c>
      <c r="R131">
        <f t="shared" si="66"/>
        <v>1.1966348091956076</v>
      </c>
      <c r="S131">
        <f t="shared" si="67"/>
        <v>0.99946634563508741</v>
      </c>
      <c r="T131">
        <f t="shared" si="68"/>
        <v>-3.2671144337633795E-2</v>
      </c>
      <c r="U131">
        <f t="shared" si="69"/>
        <v>0.99870474865730929</v>
      </c>
      <c r="V131">
        <f t="shared" si="70"/>
        <v>-5.0902476403071502E-2</v>
      </c>
      <c r="X131">
        <f t="shared" si="87"/>
        <v>9.8987848866935657</v>
      </c>
      <c r="Y131">
        <f t="shared" si="71"/>
        <v>-112.71972944757104</v>
      </c>
      <c r="Z131">
        <f t="shared" si="88"/>
        <v>67.280270552428959</v>
      </c>
      <c r="AC131">
        <v>1</v>
      </c>
      <c r="AD131">
        <f t="shared" si="72"/>
        <v>6.2373054809394013</v>
      </c>
      <c r="AE131">
        <f t="shared" si="73"/>
        <v>-1.0644043683326042E-5</v>
      </c>
      <c r="AF131">
        <f t="shared" si="74"/>
        <v>2.0892596432148E-4</v>
      </c>
      <c r="AG131">
        <f t="shared" si="89"/>
        <v>29533.637019473954</v>
      </c>
      <c r="AH131">
        <f t="shared" si="90"/>
        <v>-6291.0195333134325</v>
      </c>
      <c r="AJ131">
        <f t="shared" si="75"/>
        <v>55000</v>
      </c>
      <c r="AK131">
        <f t="shared" si="76"/>
        <v>1797.5525554861877</v>
      </c>
      <c r="AL131">
        <v>1</v>
      </c>
      <c r="AM131">
        <f t="shared" si="77"/>
        <v>2.5467422918986125</v>
      </c>
      <c r="AN131">
        <f t="shared" si="91"/>
        <v>7958.6866711288385</v>
      </c>
      <c r="AO131">
        <f t="shared" si="92"/>
        <v>-18471.171377847411</v>
      </c>
      <c r="AQ131">
        <f t="shared" si="78"/>
        <v>4.8327339114922792</v>
      </c>
      <c r="AR131">
        <f t="shared" si="79"/>
        <v>-123.52226241078689</v>
      </c>
      <c r="AT131">
        <f t="shared" si="104"/>
        <v>-634352.75647161237</v>
      </c>
      <c r="AU131">
        <f t="shared" si="105"/>
        <v>-3678464.4853008962</v>
      </c>
      <c r="AV131">
        <f t="shared" si="93"/>
        <v>-1.7415671105011172</v>
      </c>
      <c r="AW131">
        <f t="shared" si="94"/>
        <v>-2183497.6802320629</v>
      </c>
      <c r="AX131">
        <f t="shared" si="95"/>
        <v>-1208099.5855971999</v>
      </c>
      <c r="AY131">
        <f t="shared" si="103"/>
        <v>-2.6362297916480677</v>
      </c>
      <c r="BA131">
        <f t="shared" si="80"/>
        <v>1.4958392767727231</v>
      </c>
      <c r="BB131">
        <f t="shared" si="96"/>
        <v>3.4976986491711766</v>
      </c>
      <c r="BC131">
        <f t="shared" si="97"/>
        <v>0.89466268114695047</v>
      </c>
      <c r="BD131">
        <f t="shared" si="81"/>
        <v>-128.73960422384772</v>
      </c>
      <c r="BF131">
        <f t="shared" si="82"/>
        <v>9.8668796641169969</v>
      </c>
      <c r="BG131">
        <f t="shared" si="83"/>
        <v>-116.12457413682407</v>
      </c>
      <c r="BH131">
        <f t="shared" si="98"/>
        <v>63.875425863175934</v>
      </c>
      <c r="BI131">
        <f t="shared" si="99"/>
        <v>63.875425863175934</v>
      </c>
      <c r="BJ131">
        <f t="shared" si="84"/>
        <v>0</v>
      </c>
      <c r="BK131">
        <f t="shared" si="100"/>
        <v>0</v>
      </c>
      <c r="BM131">
        <f t="shared" si="101"/>
        <v>6.3691810149458199</v>
      </c>
      <c r="BN131">
        <f t="shared" si="85"/>
        <v>-167.38496991297637</v>
      </c>
      <c r="BQ131" s="75">
        <f t="shared" si="102"/>
        <v>20.399659449456312</v>
      </c>
      <c r="BR131" s="80"/>
      <c r="BS131" s="80"/>
      <c r="BT131" s="80">
        <v>1621.81</v>
      </c>
      <c r="BU131" s="80">
        <v>10.9787</v>
      </c>
      <c r="BV131" s="80">
        <v>-256.75299999999999</v>
      </c>
      <c r="BW131" s="84"/>
      <c r="BY131" s="80"/>
      <c r="BZ131" s="80"/>
      <c r="CA131" s="80"/>
      <c r="CC131" s="80"/>
    </row>
    <row r="132" spans="1:81">
      <c r="A132">
        <f t="shared" si="106"/>
        <v>49000</v>
      </c>
      <c r="B132">
        <f t="shared" si="86"/>
        <v>49</v>
      </c>
      <c r="C132">
        <f t="shared" si="55"/>
        <v>1.0016382952907192</v>
      </c>
      <c r="D132">
        <f t="shared" si="56"/>
        <v>5.7202477865035475E-2</v>
      </c>
      <c r="F132">
        <f t="shared" si="57"/>
        <v>0.22527838590509899</v>
      </c>
      <c r="G132">
        <f t="shared" si="58"/>
        <v>0.16116029749624114</v>
      </c>
      <c r="H132">
        <f t="shared" si="59"/>
        <v>-2.980432352503759</v>
      </c>
      <c r="J132">
        <f t="shared" si="60"/>
        <v>9</v>
      </c>
      <c r="M132">
        <f t="shared" si="61"/>
        <v>8.6137160995315445E-2</v>
      </c>
      <c r="N132">
        <f t="shared" si="62"/>
        <v>-1.5707963250000001</v>
      </c>
      <c r="O132">
        <f t="shared" si="63"/>
        <v>6.3804591006878564</v>
      </c>
      <c r="P132">
        <f t="shared" si="64"/>
        <v>1.4134189526984744</v>
      </c>
      <c r="Q132">
        <f t="shared" si="65"/>
        <v>2.7604918856906084</v>
      </c>
      <c r="R132">
        <f t="shared" si="66"/>
        <v>1.2001110172581539</v>
      </c>
      <c r="S132">
        <f t="shared" si="67"/>
        <v>0.99945529476982276</v>
      </c>
      <c r="T132">
        <f t="shared" si="68"/>
        <v>-3.3007716915677318E-2</v>
      </c>
      <c r="U132">
        <f t="shared" si="69"/>
        <v>0.99867795799303771</v>
      </c>
      <c r="V132">
        <f t="shared" si="70"/>
        <v>-5.142632417118459E-2</v>
      </c>
      <c r="X132">
        <f t="shared" si="87"/>
        <v>9.7578150211426085</v>
      </c>
      <c r="Y132">
        <f t="shared" si="71"/>
        <v>-112.58221168120326</v>
      </c>
      <c r="Z132">
        <f t="shared" si="88"/>
        <v>67.417788318796738</v>
      </c>
      <c r="AC132">
        <v>1</v>
      </c>
      <c r="AD132">
        <f t="shared" si="72"/>
        <v>6.3016075992996017</v>
      </c>
      <c r="AE132">
        <f t="shared" si="73"/>
        <v>-1.08646397634885E-5</v>
      </c>
      <c r="AF132">
        <f t="shared" si="74"/>
        <v>2.1107984024232001E-4</v>
      </c>
      <c r="AG132">
        <f t="shared" si="89"/>
        <v>29532.052536887495</v>
      </c>
      <c r="AH132">
        <f t="shared" si="90"/>
        <v>-6257.6090202330815</v>
      </c>
      <c r="AJ132">
        <f t="shared" si="75"/>
        <v>55000</v>
      </c>
      <c r="AK132">
        <f t="shared" si="76"/>
        <v>1816.084025130375</v>
      </c>
      <c r="AL132">
        <v>1</v>
      </c>
      <c r="AM132">
        <f t="shared" si="77"/>
        <v>2.5729973670728254</v>
      </c>
      <c r="AN132">
        <f t="shared" si="91"/>
        <v>7830.7492385367123</v>
      </c>
      <c r="AO132">
        <f t="shared" si="92"/>
        <v>-18332.413147832118</v>
      </c>
      <c r="AQ132">
        <f t="shared" si="78"/>
        <v>4.7347568191537723</v>
      </c>
      <c r="AR132">
        <f t="shared" si="79"/>
        <v>-122.26562534100786</v>
      </c>
      <c r="AT132">
        <f t="shared" si="104"/>
        <v>-625263.39286569366</v>
      </c>
      <c r="AU132">
        <f t="shared" si="105"/>
        <v>-3640383.1280061938</v>
      </c>
      <c r="AV132">
        <f t="shared" si="93"/>
        <v>-1.7408941980954713</v>
      </c>
      <c r="AW132">
        <f t="shared" si="94"/>
        <v>-2145265.4533722624</v>
      </c>
      <c r="AX132">
        <f t="shared" si="95"/>
        <v>-1178849.2554445206</v>
      </c>
      <c r="AY132">
        <f t="shared" si="103"/>
        <v>-2.6391241318326815</v>
      </c>
      <c r="BA132">
        <f t="shared" si="80"/>
        <v>1.5089677674199453</v>
      </c>
      <c r="BB132">
        <f t="shared" si="96"/>
        <v>3.5735992609702167</v>
      </c>
      <c r="BC132">
        <f t="shared" si="97"/>
        <v>0.89822993373721016</v>
      </c>
      <c r="BD132">
        <f t="shared" si="81"/>
        <v>-128.53521570573517</v>
      </c>
      <c r="BF132">
        <f t="shared" si="82"/>
        <v>9.7270583740660896</v>
      </c>
      <c r="BG132">
        <f t="shared" si="83"/>
        <v>-116.02395026047452</v>
      </c>
      <c r="BH132">
        <f t="shared" si="98"/>
        <v>63.976049739525479</v>
      </c>
      <c r="BI132">
        <f t="shared" si="99"/>
        <v>63.976049739525479</v>
      </c>
      <c r="BJ132">
        <f t="shared" si="84"/>
        <v>0</v>
      </c>
      <c r="BK132">
        <f t="shared" si="100"/>
        <v>0</v>
      </c>
      <c r="BM132">
        <f t="shared" si="101"/>
        <v>6.1534591130958738</v>
      </c>
      <c r="BN132">
        <f t="shared" si="85"/>
        <v>-167.48873455473938</v>
      </c>
      <c r="BQ132" s="75">
        <f t="shared" si="102"/>
        <v>20.475560061255354</v>
      </c>
      <c r="BR132" s="80"/>
      <c r="BS132" s="80"/>
      <c r="BT132" s="80">
        <v>1659.587</v>
      </c>
      <c r="BU132" s="80">
        <v>10.7578</v>
      </c>
      <c r="BV132" s="80">
        <v>-256.85699999999997</v>
      </c>
      <c r="BW132" s="84"/>
      <c r="BY132" s="80"/>
      <c r="BZ132" s="80"/>
      <c r="CA132" s="80"/>
      <c r="CC132" s="80"/>
    </row>
    <row r="133" spans="1:81">
      <c r="A133">
        <f t="shared" si="106"/>
        <v>49500</v>
      </c>
      <c r="B133">
        <f t="shared" si="86"/>
        <v>49.5</v>
      </c>
      <c r="C133">
        <f t="shared" si="55"/>
        <v>1.0016718724278</v>
      </c>
      <c r="D133">
        <f t="shared" si="56"/>
        <v>5.7784884671535489E-2</v>
      </c>
      <c r="F133">
        <f t="shared" si="57"/>
        <v>0.21982299475514192</v>
      </c>
      <c r="G133">
        <f t="shared" si="58"/>
        <v>0.15884260399160707</v>
      </c>
      <c r="H133">
        <f t="shared" si="59"/>
        <v>-2.9827500460083933</v>
      </c>
      <c r="J133">
        <f t="shared" si="60"/>
        <v>9</v>
      </c>
      <c r="M133">
        <f t="shared" si="61"/>
        <v>8.5267088662029436E-2</v>
      </c>
      <c r="N133">
        <f t="shared" si="62"/>
        <v>-1.5707963250000001</v>
      </c>
      <c r="O133">
        <f t="shared" si="63"/>
        <v>6.4439744361221276</v>
      </c>
      <c r="P133">
        <f t="shared" si="64"/>
        <v>1.4149828913734057</v>
      </c>
      <c r="Q133">
        <f t="shared" si="65"/>
        <v>2.7849799386220342</v>
      </c>
      <c r="R133">
        <f t="shared" si="66"/>
        <v>1.2035261340799464</v>
      </c>
      <c r="S133">
        <f t="shared" si="67"/>
        <v>0.9994441309345613</v>
      </c>
      <c r="T133">
        <f t="shared" si="68"/>
        <v>-3.334428201286934E-2</v>
      </c>
      <c r="U133">
        <f t="shared" si="69"/>
        <v>0.99865089474189828</v>
      </c>
      <c r="V133">
        <f t="shared" si="70"/>
        <v>-5.1950143691453642E-2</v>
      </c>
      <c r="X133">
        <f t="shared" si="87"/>
        <v>9.6194128106383143</v>
      </c>
      <c r="Y133">
        <f t="shared" si="71"/>
        <v>-112.44565382651031</v>
      </c>
      <c r="Z133">
        <f t="shared" si="88"/>
        <v>67.554346173489691</v>
      </c>
      <c r="AC133">
        <v>1</v>
      </c>
      <c r="AD133">
        <f t="shared" si="72"/>
        <v>6.3659097176598003</v>
      </c>
      <c r="AE133">
        <f t="shared" si="73"/>
        <v>-1.1087498367550062E-5</v>
      </c>
      <c r="AF133">
        <f t="shared" si="74"/>
        <v>2.1323371616316001E-4</v>
      </c>
      <c r="AG133">
        <f t="shared" si="89"/>
        <v>29530.45197582808</v>
      </c>
      <c r="AH133">
        <f t="shared" si="90"/>
        <v>-6225.182686678445</v>
      </c>
      <c r="AJ133">
        <f t="shared" si="75"/>
        <v>55000</v>
      </c>
      <c r="AK133">
        <f t="shared" si="76"/>
        <v>1834.6154947745629</v>
      </c>
      <c r="AL133">
        <v>1</v>
      </c>
      <c r="AM133">
        <f t="shared" si="77"/>
        <v>2.599252442247038</v>
      </c>
      <c r="AN133">
        <f t="shared" si="91"/>
        <v>7706.0025831451703</v>
      </c>
      <c r="AO133">
        <f t="shared" si="92"/>
        <v>-18195.230539427503</v>
      </c>
      <c r="AQ133">
        <f t="shared" si="78"/>
        <v>4.6397279000025238</v>
      </c>
      <c r="AR133">
        <f t="shared" si="79"/>
        <v>-121.03426186341585</v>
      </c>
      <c r="AT133">
        <f t="shared" si="104"/>
        <v>-616447.12951510737</v>
      </c>
      <c r="AU133">
        <f t="shared" si="105"/>
        <v>-3603079.6111813965</v>
      </c>
      <c r="AV133">
        <f t="shared" si="93"/>
        <v>-1.7402446624113184</v>
      </c>
      <c r="AW133">
        <f t="shared" si="94"/>
        <v>-2107956.009360109</v>
      </c>
      <c r="AX133">
        <f t="shared" si="95"/>
        <v>-1150607.4432818214</v>
      </c>
      <c r="AY133">
        <f t="shared" si="103"/>
        <v>-2.641948641295107</v>
      </c>
      <c r="BA133">
        <f t="shared" si="80"/>
        <v>1.5221227721686328</v>
      </c>
      <c r="BB133">
        <f t="shared" si="96"/>
        <v>3.6489936679418533</v>
      </c>
      <c r="BC133">
        <f t="shared" si="97"/>
        <v>0.90170397888378861</v>
      </c>
      <c r="BD133">
        <f t="shared" si="81"/>
        <v>-128.33616758077088</v>
      </c>
      <c r="BF133">
        <f t="shared" si="82"/>
        <v>9.5898158339322492</v>
      </c>
      <c r="BG133">
        <f t="shared" si="83"/>
        <v>-115.92432673967213</v>
      </c>
      <c r="BH133">
        <f t="shared" si="98"/>
        <v>64.075673260327875</v>
      </c>
      <c r="BI133">
        <f t="shared" si="99"/>
        <v>64.075673260327875</v>
      </c>
      <c r="BJ133">
        <f t="shared" si="84"/>
        <v>0</v>
      </c>
      <c r="BK133">
        <f t="shared" si="100"/>
        <v>0</v>
      </c>
      <c r="BM133">
        <f t="shared" si="101"/>
        <v>5.9408221659903973</v>
      </c>
      <c r="BN133">
        <f t="shared" si="85"/>
        <v>-167.58815915890128</v>
      </c>
      <c r="BQ133" s="75">
        <f t="shared" si="102"/>
        <v>20.55095446822699</v>
      </c>
      <c r="BR133" s="80"/>
      <c r="BS133" s="80"/>
      <c r="BT133" s="80">
        <v>1698.2439999999999</v>
      </c>
      <c r="BU133" s="80">
        <v>10.580500000000001</v>
      </c>
      <c r="BV133" s="80">
        <v>-256.31299999999999</v>
      </c>
      <c r="BW133" s="84"/>
      <c r="BY133" s="80"/>
      <c r="BZ133" s="80"/>
      <c r="CA133" s="80"/>
      <c r="CC133" s="80"/>
    </row>
    <row r="134" spans="1:81">
      <c r="A134">
        <f t="shared" si="106"/>
        <v>50000</v>
      </c>
      <c r="B134">
        <f t="shared" si="86"/>
        <v>50</v>
      </c>
      <c r="C134">
        <f t="shared" si="55"/>
        <v>1.0017057893068191</v>
      </c>
      <c r="D134">
        <f t="shared" si="56"/>
        <v>5.8367252235995343E-2</v>
      </c>
      <c r="F134">
        <f t="shared" si="57"/>
        <v>0.21457351055409857</v>
      </c>
      <c r="G134">
        <f t="shared" si="58"/>
        <v>0.15659699802421984</v>
      </c>
      <c r="H134">
        <f t="shared" si="59"/>
        <v>-2.9849956519757805</v>
      </c>
      <c r="J134">
        <f t="shared" si="60"/>
        <v>9</v>
      </c>
      <c r="M134">
        <f t="shared" si="61"/>
        <v>8.4414417775409145E-2</v>
      </c>
      <c r="N134">
        <f t="shared" si="62"/>
        <v>-1.5707963250000001</v>
      </c>
      <c r="O134">
        <f t="shared" si="63"/>
        <v>6.5075052252066401</v>
      </c>
      <c r="P134">
        <f t="shared" si="64"/>
        <v>1.4165162972253826</v>
      </c>
      <c r="Q134">
        <f t="shared" si="65"/>
        <v>2.8094999063953527</v>
      </c>
      <c r="R134">
        <f t="shared" si="66"/>
        <v>1.2068816784670573</v>
      </c>
      <c r="S134">
        <f t="shared" si="67"/>
        <v>0.9994328541406754</v>
      </c>
      <c r="T134">
        <f t="shared" si="68"/>
        <v>-3.3680839553212293E-2</v>
      </c>
      <c r="U134">
        <f t="shared" si="69"/>
        <v>0.99862355897060395</v>
      </c>
      <c r="V134">
        <f t="shared" si="70"/>
        <v>-5.2473934678728434E-2</v>
      </c>
      <c r="X134">
        <f t="shared" si="87"/>
        <v>9.4834881184837911</v>
      </c>
      <c r="Y134">
        <f t="shared" si="71"/>
        <v>-112.31012849176084</v>
      </c>
      <c r="Z134">
        <f t="shared" si="88"/>
        <v>67.689871508239165</v>
      </c>
      <c r="AC134">
        <v>1</v>
      </c>
      <c r="AD134">
        <f t="shared" si="72"/>
        <v>6.4302118360200007</v>
      </c>
      <c r="AE134">
        <f t="shared" si="73"/>
        <v>-1.1312619495510728E-5</v>
      </c>
      <c r="AF134">
        <f t="shared" si="74"/>
        <v>2.1538759208400001E-4</v>
      </c>
      <c r="AG134">
        <f t="shared" si="89"/>
        <v>29528.835341551694</v>
      </c>
      <c r="AH134">
        <f t="shared" si="90"/>
        <v>-6193.7109071923333</v>
      </c>
      <c r="AJ134">
        <f t="shared" si="75"/>
        <v>55000</v>
      </c>
      <c r="AK134">
        <f t="shared" si="76"/>
        <v>1853.14696441875</v>
      </c>
      <c r="AL134">
        <v>1</v>
      </c>
      <c r="AM134">
        <f t="shared" si="77"/>
        <v>2.6255075174212505</v>
      </c>
      <c r="AN134">
        <f t="shared" si="91"/>
        <v>7584.3473860682234</v>
      </c>
      <c r="AO134">
        <f t="shared" si="92"/>
        <v>-18059.614112437579</v>
      </c>
      <c r="AQ134">
        <f t="shared" si="78"/>
        <v>4.547530102937845</v>
      </c>
      <c r="AR134">
        <f t="shared" si="79"/>
        <v>-119.8274182124122</v>
      </c>
      <c r="AT134">
        <f t="shared" si="104"/>
        <v>-607893.11954251339</v>
      </c>
      <c r="AU134">
        <f t="shared" si="105"/>
        <v>-3566530.1885969238</v>
      </c>
      <c r="AV134">
        <f t="shared" si="93"/>
        <v>-1.7396178306964001</v>
      </c>
      <c r="AW134">
        <f t="shared" si="94"/>
        <v>-2071542.1678409074</v>
      </c>
      <c r="AX134">
        <f t="shared" si="95"/>
        <v>-1123331.0921696001</v>
      </c>
      <c r="AY134">
        <f t="shared" si="103"/>
        <v>-2.6447050699455814</v>
      </c>
      <c r="BA134">
        <f t="shared" si="80"/>
        <v>1.5353036927377215</v>
      </c>
      <c r="BB134">
        <f t="shared" si="96"/>
        <v>3.7238858898769318</v>
      </c>
      <c r="BC134">
        <f t="shared" si="97"/>
        <v>0.90508723924918133</v>
      </c>
      <c r="BD134">
        <f t="shared" si="81"/>
        <v>-128.14232104061847</v>
      </c>
      <c r="BF134">
        <f t="shared" si="82"/>
        <v>9.4550618856374467</v>
      </c>
      <c r="BG134">
        <f t="shared" si="83"/>
        <v>-115.82577674044045</v>
      </c>
      <c r="BH134">
        <f t="shared" si="98"/>
        <v>64.174223259559554</v>
      </c>
      <c r="BI134">
        <f t="shared" si="99"/>
        <v>64.174223259559554</v>
      </c>
      <c r="BJ134">
        <f t="shared" si="84"/>
        <v>0</v>
      </c>
      <c r="BK134">
        <f t="shared" si="100"/>
        <v>0</v>
      </c>
      <c r="BM134">
        <f t="shared" si="101"/>
        <v>5.7311759957605171</v>
      </c>
      <c r="BN134">
        <f t="shared" si="85"/>
        <v>-167.68345569982196</v>
      </c>
      <c r="BQ134" s="75">
        <f t="shared" si="102"/>
        <v>20.625846690162067</v>
      </c>
      <c r="BR134" s="80"/>
      <c r="BS134" s="80"/>
      <c r="BT134" s="80">
        <v>1737.8009999999999</v>
      </c>
      <c r="BU134" s="80">
        <v>10.4643</v>
      </c>
      <c r="BV134" s="80">
        <v>-256.37900000000002</v>
      </c>
      <c r="BW134" s="84"/>
      <c r="BY134" s="80"/>
      <c r="BZ134" s="80"/>
      <c r="CA134" s="80"/>
      <c r="CC134" s="80"/>
    </row>
    <row r="135" spans="1:81">
      <c r="A135">
        <f t="shared" si="106"/>
        <v>50500</v>
      </c>
      <c r="B135">
        <f t="shared" si="86"/>
        <v>50.5</v>
      </c>
      <c r="C135">
        <f t="shared" si="55"/>
        <v>1.0017400458932679</v>
      </c>
      <c r="D135">
        <f t="shared" si="56"/>
        <v>5.8949580167398985E-2</v>
      </c>
      <c r="F135">
        <f t="shared" si="57"/>
        <v>0.20951928141448839</v>
      </c>
      <c r="G135">
        <f t="shared" si="58"/>
        <v>0.15442002122622797</v>
      </c>
      <c r="H135">
        <f t="shared" si="59"/>
        <v>-2.9871726287737723</v>
      </c>
      <c r="J135">
        <f t="shared" si="60"/>
        <v>9</v>
      </c>
      <c r="M135">
        <f t="shared" si="61"/>
        <v>8.3578631460801134E-2</v>
      </c>
      <c r="N135">
        <f t="shared" si="62"/>
        <v>-1.5707963250000001</v>
      </c>
      <c r="O135">
        <f t="shared" si="63"/>
        <v>6.5710510197105574</v>
      </c>
      <c r="P135">
        <f t="shared" si="64"/>
        <v>1.4180200487458585</v>
      </c>
      <c r="Q135">
        <f t="shared" si="65"/>
        <v>2.8340509606371955</v>
      </c>
      <c r="R135">
        <f t="shared" si="66"/>
        <v>1.2101791220659928</v>
      </c>
      <c r="S135">
        <f t="shared" si="67"/>
        <v>0.99942146439965351</v>
      </c>
      <c r="T135">
        <f t="shared" si="68"/>
        <v>-3.4017389460718861E-2</v>
      </c>
      <c r="U135">
        <f t="shared" si="69"/>
        <v>0.99859595074652963</v>
      </c>
      <c r="V135">
        <f t="shared" si="70"/>
        <v>-5.2997696847952434E-2</v>
      </c>
      <c r="X135">
        <f t="shared" si="87"/>
        <v>9.3499552845064215</v>
      </c>
      <c r="Y135">
        <f t="shared" si="71"/>
        <v>-112.17569917556777</v>
      </c>
      <c r="Z135">
        <f t="shared" si="88"/>
        <v>67.824300824432228</v>
      </c>
      <c r="AC135">
        <v>1</v>
      </c>
      <c r="AD135">
        <f t="shared" si="72"/>
        <v>6.4945139543802011</v>
      </c>
      <c r="AE135">
        <f t="shared" si="73"/>
        <v>-1.1540003147370493E-5</v>
      </c>
      <c r="AF135">
        <f t="shared" si="74"/>
        <v>2.1754146800483998E-4</v>
      </c>
      <c r="AG135">
        <f t="shared" si="89"/>
        <v>29527.202639366209</v>
      </c>
      <c r="AH135">
        <f t="shared" si="90"/>
        <v>-6163.165228624378</v>
      </c>
      <c r="AJ135">
        <f t="shared" si="75"/>
        <v>55000</v>
      </c>
      <c r="AK135">
        <f t="shared" si="76"/>
        <v>1871.6784340629379</v>
      </c>
      <c r="AL135">
        <v>1</v>
      </c>
      <c r="AM135">
        <f t="shared" si="77"/>
        <v>2.6517625925954627</v>
      </c>
      <c r="AN135">
        <f t="shared" si="91"/>
        <v>7465.6878955480579</v>
      </c>
      <c r="AO135">
        <f t="shared" si="92"/>
        <v>-17925.553455344143</v>
      </c>
      <c r="AQ135">
        <f t="shared" si="78"/>
        <v>4.4580521261192017</v>
      </c>
      <c r="AR135">
        <f t="shared" si="79"/>
        <v>-118.64437025847337</v>
      </c>
      <c r="AT135">
        <f t="shared" si="104"/>
        <v>-599591.04884428042</v>
      </c>
      <c r="AU135">
        <f t="shared" si="105"/>
        <v>-3530712.0744930296</v>
      </c>
      <c r="AV135">
        <f t="shared" si="93"/>
        <v>-1.7390130554247394</v>
      </c>
      <c r="AW135">
        <f t="shared" si="94"/>
        <v>-2035997.6303926399</v>
      </c>
      <c r="AX135">
        <f t="shared" si="95"/>
        <v>-1096979.3020688447</v>
      </c>
      <c r="AY135">
        <f t="shared" si="103"/>
        <v>-2.6473951110982323</v>
      </c>
      <c r="BA135">
        <f t="shared" si="80"/>
        <v>1.5485099539503886</v>
      </c>
      <c r="BB135">
        <f t="shared" si="96"/>
        <v>3.7982800276544033</v>
      </c>
      <c r="BC135">
        <f t="shared" si="97"/>
        <v>0.90838205567349295</v>
      </c>
      <c r="BD135">
        <f t="shared" si="81"/>
        <v>-127.95354196501933</v>
      </c>
      <c r="BF135">
        <f t="shared" si="82"/>
        <v>9.3227108473891178</v>
      </c>
      <c r="BG135">
        <f t="shared" si="83"/>
        <v>-115.7283643148065</v>
      </c>
      <c r="BH135">
        <f t="shared" si="98"/>
        <v>64.271635685193502</v>
      </c>
      <c r="BI135">
        <f t="shared" si="99"/>
        <v>64.271635685193502</v>
      </c>
      <c r="BJ135">
        <f t="shared" si="84"/>
        <v>0</v>
      </c>
      <c r="BK135">
        <f t="shared" si="100"/>
        <v>0</v>
      </c>
      <c r="BM135">
        <f t="shared" si="101"/>
        <v>5.5244308197347163</v>
      </c>
      <c r="BN135">
        <f t="shared" si="85"/>
        <v>-167.77482234978717</v>
      </c>
      <c r="BQ135" s="75">
        <f t="shared" si="102"/>
        <v>20.700240827939538</v>
      </c>
      <c r="BR135" s="80"/>
      <c r="BS135" s="80"/>
      <c r="BT135" s="80">
        <v>1778.279</v>
      </c>
      <c r="BU135" s="80">
        <v>10.213699999999999</v>
      </c>
      <c r="BV135" s="80">
        <v>-256.01499999999999</v>
      </c>
      <c r="BW135" s="84"/>
      <c r="BY135" s="80"/>
      <c r="BZ135" s="80"/>
      <c r="CA135" s="80"/>
      <c r="CC135" s="80"/>
    </row>
    <row r="136" spans="1:81">
      <c r="A136">
        <f t="shared" si="106"/>
        <v>51000</v>
      </c>
      <c r="B136">
        <f t="shared" si="86"/>
        <v>51</v>
      </c>
      <c r="C136">
        <f t="shared" si="55"/>
        <v>1.0017746421522966</v>
      </c>
      <c r="D136">
        <f t="shared" si="56"/>
        <v>5.9531868074891157E-2</v>
      </c>
      <c r="F136">
        <f t="shared" si="57"/>
        <v>0.20465035639635021</v>
      </c>
      <c r="G136">
        <f t="shared" si="58"/>
        <v>0.15230843673398101</v>
      </c>
      <c r="H136">
        <f t="shared" si="59"/>
        <v>-2.9892842132660191</v>
      </c>
      <c r="J136">
        <f t="shared" si="60"/>
        <v>9</v>
      </c>
      <c r="M136">
        <f t="shared" si="61"/>
        <v>8.2759233113146216E-2</v>
      </c>
      <c r="N136">
        <f t="shared" si="62"/>
        <v>-1.5707963250000001</v>
      </c>
      <c r="O136">
        <f t="shared" si="63"/>
        <v>6.634611388471658</v>
      </c>
      <c r="P136">
        <f t="shared" si="64"/>
        <v>1.4194949913105364</v>
      </c>
      <c r="Q136">
        <f t="shared" si="65"/>
        <v>2.8586323003993588</v>
      </c>
      <c r="R136">
        <f t="shared" si="66"/>
        <v>1.2134198910551059</v>
      </c>
      <c r="S136">
        <f t="shared" si="67"/>
        <v>0.99940996172309648</v>
      </c>
      <c r="T136">
        <f t="shared" si="68"/>
        <v>-3.4353931659412099E-2</v>
      </c>
      <c r="U136">
        <f t="shared" si="69"/>
        <v>0.99856807013771176</v>
      </c>
      <c r="V136">
        <f t="shared" si="70"/>
        <v>-5.3521429914163712E-2</v>
      </c>
      <c r="X136">
        <f t="shared" si="87"/>
        <v>9.2187328431160473</v>
      </c>
      <c r="Y136">
        <f t="shared" si="71"/>
        <v>-112.04242118781092</v>
      </c>
      <c r="Z136">
        <f t="shared" si="88"/>
        <v>67.957578812189084</v>
      </c>
      <c r="AC136">
        <v>1</v>
      </c>
      <c r="AD136">
        <f t="shared" si="72"/>
        <v>6.5588160727404006</v>
      </c>
      <c r="AE136">
        <f t="shared" si="73"/>
        <v>-1.1769649323129362E-5</v>
      </c>
      <c r="AF136">
        <f t="shared" si="74"/>
        <v>2.1969534392568004E-4</v>
      </c>
      <c r="AG136">
        <f t="shared" si="89"/>
        <v>29525.553874631358</v>
      </c>
      <c r="AH136">
        <f t="shared" si="90"/>
        <v>-6133.5183126658212</v>
      </c>
      <c r="AJ136">
        <f t="shared" si="75"/>
        <v>55000</v>
      </c>
      <c r="AK136">
        <f t="shared" si="76"/>
        <v>1890.2099037071252</v>
      </c>
      <c r="AL136">
        <v>1</v>
      </c>
      <c r="AM136">
        <f t="shared" si="77"/>
        <v>2.6780176677696752</v>
      </c>
      <c r="AN136">
        <f t="shared" si="91"/>
        <v>7349.9317890975253</v>
      </c>
      <c r="AO136">
        <f t="shared" si="92"/>
        <v>-17793.037284398026</v>
      </c>
      <c r="AQ136">
        <f t="shared" si="78"/>
        <v>4.3711880815523081</v>
      </c>
      <c r="AR136">
        <f t="shared" si="79"/>
        <v>-117.48442206788137</v>
      </c>
      <c r="AT136">
        <f t="shared" si="104"/>
        <v>-591531.10500829178</v>
      </c>
      <c r="AU136">
        <f t="shared" si="105"/>
        <v>-3495603.395341468</v>
      </c>
      <c r="AV136">
        <f t="shared" si="93"/>
        <v>-1.7384297131388764</v>
      </c>
      <c r="AW136">
        <f t="shared" si="94"/>
        <v>-2001296.953349883</v>
      </c>
      <c r="AX136">
        <f t="shared" si="95"/>
        <v>-1071513.207082998</v>
      </c>
      <c r="AY136">
        <f t="shared" si="103"/>
        <v>-2.6500204036238095</v>
      </c>
      <c r="BA136">
        <f t="shared" si="80"/>
        <v>1.5617410026783762</v>
      </c>
      <c r="BB136">
        <f t="shared" si="96"/>
        <v>3.8721802523626114</v>
      </c>
      <c r="BC136">
        <f t="shared" si="97"/>
        <v>0.91159069048493313</v>
      </c>
      <c r="BD136">
        <f t="shared" si="81"/>
        <v>-127.76970073211498</v>
      </c>
      <c r="BF136">
        <f t="shared" si="82"/>
        <v>9.1926812317377209</v>
      </c>
      <c r="BG136">
        <f t="shared" si="83"/>
        <v>-115.6321453219325</v>
      </c>
      <c r="BH136">
        <f t="shared" si="98"/>
        <v>64.367854678067502</v>
      </c>
      <c r="BI136">
        <f t="shared" si="99"/>
        <v>64.367854678067502</v>
      </c>
      <c r="BJ136">
        <f t="shared" si="84"/>
        <v>0</v>
      </c>
      <c r="BK136">
        <f t="shared" si="100"/>
        <v>0</v>
      </c>
      <c r="BM136">
        <f t="shared" si="101"/>
        <v>5.320500979375109</v>
      </c>
      <c r="BN136">
        <f t="shared" si="85"/>
        <v>-167.86244458981753</v>
      </c>
      <c r="BQ136" s="75">
        <f t="shared" si="102"/>
        <v>20.774141052647749</v>
      </c>
      <c r="BR136" s="80"/>
      <c r="BS136" s="80"/>
      <c r="BT136" s="80">
        <v>1819.701</v>
      </c>
      <c r="BU136" s="80">
        <v>10.045199999999999</v>
      </c>
      <c r="BV136" s="80">
        <v>-255.833</v>
      </c>
      <c r="BW136" s="84"/>
      <c r="BY136" s="80"/>
      <c r="BZ136" s="80"/>
      <c r="CA136" s="80"/>
      <c r="CC136" s="80"/>
    </row>
    <row r="137" spans="1:81">
      <c r="A137">
        <f t="shared" si="106"/>
        <v>51500</v>
      </c>
      <c r="B137">
        <f t="shared" si="86"/>
        <v>51.5</v>
      </c>
      <c r="C137">
        <f t="shared" ref="C137:C200" si="107">SQRT((A137/Fesr)^2+1)</f>
        <v>1.0018095780487144</v>
      </c>
      <c r="D137">
        <f t="shared" ref="D137:D200" si="108">ATAN(A137/Fesr)</f>
        <v>6.0114115567778827E-2</v>
      </c>
      <c r="F137">
        <f t="shared" ref="F137:F200" si="109">(Ro/(Ro+Rdcr))/SQRT((A137/(Q*Fo))^2+(1-(A137^2/Fo^2))^2)</f>
        <v>0.19995742965278837</v>
      </c>
      <c r="G137">
        <f t="shared" ref="G137:G200" si="110">-ATAN(A137*Fo/(Q*(Fo^2-A137^2)))</f>
        <v>0.15025921164301012</v>
      </c>
      <c r="H137">
        <f t="shared" ref="H137:H200" si="111">IF(G137&gt;0,G137-Pi,G137)</f>
        <v>-2.9913334383569903</v>
      </c>
      <c r="J137">
        <f t="shared" ref="J137:J200" si="112">Vin/Vramp</f>
        <v>9</v>
      </c>
      <c r="M137">
        <f t="shared" ref="M137:M200" si="113">1/(2*Pi*_Rfb1*(Cc1ea_u+Cc2ea_u)*A137)</f>
        <v>8.1955745413018588E-2</v>
      </c>
      <c r="N137">
        <f t="shared" ref="N137:N200" si="114">-Pi/2</f>
        <v>-1.5707963250000001</v>
      </c>
      <c r="O137">
        <f t="shared" ref="O137:O200" si="115">SQRT(1+(A137/Fz1_u)^2)</f>
        <v>6.6981859165962021</v>
      </c>
      <c r="P137">
        <f t="shared" ref="P137:P200" si="116">ATAN2(Fz1_u,A137)</f>
        <v>1.420941938712742</v>
      </c>
      <c r="Q137">
        <f t="shared" ref="Q137:Q200" si="117">SQRT(1+(A137/Fz2_u)^2)</f>
        <v>2.8832431510764502</v>
      </c>
      <c r="R137">
        <f t="shared" ref="R137:R200" si="118">ATAN2(Fz2_u,A137)</f>
        <v>1.2166053677706099</v>
      </c>
      <c r="S137">
        <f t="shared" ref="S137:S200" si="119">1/SQRT(1+(A137/Fp1_u)^2)</f>
        <v>0.9993983461227206</v>
      </c>
      <c r="T137">
        <f t="shared" ref="T137:T200" si="120">-ATAN2(Fp1_u,A137)</f>
        <v>-3.4690466073325522E-2</v>
      </c>
      <c r="U137">
        <f t="shared" ref="U137:U200" si="121">1/SQRT(1+(A137/Fp2_u)^2)</f>
        <v>0.99853991721284785</v>
      </c>
      <c r="V137">
        <f t="shared" ref="V137:V200" si="122">-ATAN2(Fp2_u,A137)</f>
        <v>-5.4045133592495874E-2</v>
      </c>
      <c r="X137">
        <f t="shared" si="87"/>
        <v>9.0897432626647134</v>
      </c>
      <c r="Y137">
        <f t="shared" ref="Y137:Y200" si="123">(180/Pi)*(D137+H137+N137+P137+R137+T137+V137)</f>
        <v>-111.9103424738731</v>
      </c>
      <c r="Z137">
        <f t="shared" si="88"/>
        <v>68.089657526126899</v>
      </c>
      <c r="AC137">
        <v>1</v>
      </c>
      <c r="AD137">
        <f t="shared" ref="AD137:AD200" si="124">Rcea1_u*Cc1ea_u*A137*2*Pi</f>
        <v>6.623118191100601</v>
      </c>
      <c r="AE137">
        <f t="shared" ref="AE137:AE200" si="125">-Rcea1_u*Cc1ea_u*Cc2ea_u*(A137*2*Pi)^2</f>
        <v>-1.200155802278733E-5</v>
      </c>
      <c r="AF137">
        <f t="shared" ref="AF137:AF200" si="126">(Cc2ea_u+Cc1ea_u)*A137*2*Pi</f>
        <v>2.2184921984652004E-4</v>
      </c>
      <c r="AG137">
        <f t="shared" si="89"/>
        <v>29523.889052758743</v>
      </c>
      <c r="AH137">
        <f t="shared" si="90"/>
        <v>-6104.7438817318161</v>
      </c>
      <c r="AJ137">
        <f t="shared" ref="AJ137:AJ200" si="127">_Rfb1</f>
        <v>55000</v>
      </c>
      <c r="AK137">
        <f t="shared" ref="AK137:AK200" si="128">_Rfb1*Rcea2_u*Cc3ea_u*A137*2*Pi</f>
        <v>1908.7413733513129</v>
      </c>
      <c r="AL137">
        <v>1</v>
      </c>
      <c r="AM137">
        <f t="shared" ref="AM137:AM200" si="129">(_Rfb1+Rcea2_u)*Cc3ea_u*A137*2*Pi</f>
        <v>2.7042727429438878</v>
      </c>
      <c r="AN137">
        <f t="shared" si="91"/>
        <v>7236.9900408294307</v>
      </c>
      <c r="AO137">
        <f t="shared" si="92"/>
        <v>-17662.053535020092</v>
      </c>
      <c r="AQ137">
        <f t="shared" ref="AQ137:AQ200" si="130">Eadcg/(1+(Eadcg*A137/GBP)^2)</f>
        <v>4.2868371822745157</v>
      </c>
      <c r="AR137">
        <f t="shared" ref="AR137:AR200" si="131">-(A137*Eadcg*Eadcg/GBP)/(1+(Eadcg*A137/GBP)^2)</f>
        <v>-116.34690454552148</v>
      </c>
      <c r="AT137">
        <f t="shared" si="104"/>
        <v>-583703.94832599419</v>
      </c>
      <c r="AU137">
        <f t="shared" si="105"/>
        <v>-3461183.1444943589</v>
      </c>
      <c r="AV137">
        <f t="shared" si="93"/>
        <v>-1.7378672033544653</v>
      </c>
      <c r="AW137">
        <f t="shared" si="94"/>
        <v>-1967415.5210413702</v>
      </c>
      <c r="AX137">
        <f t="shared" si="95"/>
        <v>-1046895.860462883</v>
      </c>
      <c r="AY137">
        <f t="shared" si="103"/>
        <v>-2.6525825340102309</v>
      </c>
      <c r="BA137">
        <f t="shared" ref="BA137:BA200" si="132">SQRT(AT137^2+AU137^2)/SQRT(AW137^2+AX137^2)</f>
        <v>1.5749963068431105</v>
      </c>
      <c r="BB137">
        <f t="shared" si="96"/>
        <v>3.945590795280153</v>
      </c>
      <c r="BC137">
        <f t="shared" si="97"/>
        <v>0.9147153306557656</v>
      </c>
      <c r="BD137">
        <f t="shared" ref="BD137:BD200" si="133">BC137*180/Pi-180</f>
        <v>-127.59067203762467</v>
      </c>
      <c r="BF137">
        <f t="shared" ref="BF137:BF200" si="134">20*LOG(BA137*J137*F137*C137)</f>
        <v>9.0648954849359207</v>
      </c>
      <c r="BG137">
        <f t="shared" ref="BG137:BG200" si="135">(180/Pi)*(D137+H137+BC137)</f>
        <v>-115.53716825254865</v>
      </c>
      <c r="BH137">
        <f t="shared" si="98"/>
        <v>64.462831747451347</v>
      </c>
      <c r="BI137">
        <f t="shared" si="99"/>
        <v>64.462831747451347</v>
      </c>
      <c r="BJ137">
        <f t="shared" ref="BJ137:BJ200" si="136">SUM((BF138&lt;0)*(BF137&gt;0))*A137</f>
        <v>0</v>
      </c>
      <c r="BK137">
        <f t="shared" si="100"/>
        <v>0</v>
      </c>
      <c r="BM137">
        <f t="shared" si="101"/>
        <v>5.1193046896557659</v>
      </c>
      <c r="BN137">
        <f t="shared" ref="BN137:BN200" si="137">(H137+D137)*180/Pi</f>
        <v>-167.94649621492397</v>
      </c>
      <c r="BQ137" s="75">
        <f t="shared" si="102"/>
        <v>20.847551595565289</v>
      </c>
      <c r="BR137" s="80"/>
      <c r="BS137" s="80"/>
      <c r="BT137" s="80">
        <v>1862.087</v>
      </c>
      <c r="BU137" s="80">
        <v>9.8767200000000006</v>
      </c>
      <c r="BV137" s="80">
        <v>-255.47</v>
      </c>
      <c r="BW137" s="84"/>
      <c r="BY137" s="80"/>
      <c r="BZ137" s="80"/>
      <c r="CA137" s="80"/>
      <c r="CC137" s="80"/>
    </row>
    <row r="138" spans="1:81">
      <c r="A138">
        <f t="shared" si="106"/>
        <v>52000</v>
      </c>
      <c r="B138">
        <f t="shared" ref="B138:B201" si="138">A138/1000</f>
        <v>52</v>
      </c>
      <c r="C138">
        <f t="shared" si="107"/>
        <v>1.0018448535469904</v>
      </c>
      <c r="D138">
        <f t="shared" si="108"/>
        <v>6.0696322255532835E-2</v>
      </c>
      <c r="F138">
        <f t="shared" si="109"/>
        <v>0.19543178978079215</v>
      </c>
      <c r="G138">
        <f t="shared" si="110"/>
        <v>0.1482695011046922</v>
      </c>
      <c r="H138">
        <f t="shared" si="111"/>
        <v>-2.9933231488953078</v>
      </c>
      <c r="J138">
        <f t="shared" si="112"/>
        <v>9</v>
      </c>
      <c r="M138">
        <f t="shared" si="113"/>
        <v>8.1167709399431867E-2</v>
      </c>
      <c r="N138">
        <f t="shared" si="114"/>
        <v>-1.5707963250000001</v>
      </c>
      <c r="O138">
        <f t="shared" si="115"/>
        <v>6.7617742047031415</v>
      </c>
      <c r="P138">
        <f t="shared" si="116"/>
        <v>1.4223616746130781</v>
      </c>
      <c r="Q138">
        <f t="shared" si="117"/>
        <v>2.90788276337214</v>
      </c>
      <c r="R138">
        <f t="shared" si="118"/>
        <v>1.2197368922696576</v>
      </c>
      <c r="S138">
        <f t="shared" si="119"/>
        <v>0.99938661761035619</v>
      </c>
      <c r="T138">
        <f t="shared" si="120"/>
        <v>-3.5026992626503217E-2</v>
      </c>
      <c r="U138">
        <f t="shared" si="121"/>
        <v>0.99851149204129586</v>
      </c>
      <c r="V138">
        <f t="shared" si="122"/>
        <v>-5.4568807598178962E-2</v>
      </c>
      <c r="X138">
        <f t="shared" ref="X138:X201" si="139">20*LOG(C138*J138*O138*Q138*F138*M138*S138*U138)</f>
        <v>8.9629127042455501</v>
      </c>
      <c r="Y138">
        <f t="shared" si="123"/>
        <v>-111.77950435321711</v>
      </c>
      <c r="Z138">
        <f t="shared" ref="Z138:Z201" si="140">Y138+180</f>
        <v>68.220495646782894</v>
      </c>
      <c r="AC138">
        <v>1</v>
      </c>
      <c r="AD138">
        <f t="shared" si="124"/>
        <v>6.6874203094608013</v>
      </c>
      <c r="AE138">
        <f t="shared" si="125"/>
        <v>-1.2235729246344404E-5</v>
      </c>
      <c r="AF138">
        <f t="shared" si="126"/>
        <v>2.2400309576736001E-4</v>
      </c>
      <c r="AG138">
        <f t="shared" ref="AG138:AG201" si="141">AC138*AE138/(AE138^2+AF138^2)+AD138*AF138/(AE138^2+AF138^2)</f>
        <v>29522.208179211699</v>
      </c>
      <c r="AH138">
        <f t="shared" ref="AH138:AH201" si="142">AD138*AE138/(AE138^2+AF138^2)-AC138*AF138/(AE138^2+AF138^2)</f>
        <v>-6076.8166679658698</v>
      </c>
      <c r="AJ138">
        <f t="shared" si="127"/>
        <v>55000</v>
      </c>
      <c r="AK138">
        <f t="shared" si="128"/>
        <v>1927.2728429955002</v>
      </c>
      <c r="AL138">
        <v>1</v>
      </c>
      <c r="AM138">
        <f t="shared" si="129"/>
        <v>2.7305278181181003</v>
      </c>
      <c r="AN138">
        <f t="shared" ref="AN138:AN201" si="143">AJ138*AL138/(AL138^2+AM138^2)+AK138*AM138/(AL138^2+AM138^2)</f>
        <v>7126.776793831903</v>
      </c>
      <c r="AO138">
        <f t="shared" ref="AO138:AO201" si="144">AK138*AL138/(AL138^2+AM138^2)-AJ138*AM138/(AL138^2+AM138^2)</f>
        <v>-17532.589446081038</v>
      </c>
      <c r="AQ138">
        <f t="shared" si="130"/>
        <v>4.2049034504166407</v>
      </c>
      <c r="AR138">
        <f t="shared" si="131"/>
        <v>-115.23117415521762</v>
      </c>
      <c r="AT138">
        <f t="shared" si="104"/>
        <v>-576100.68473901867</v>
      </c>
      <c r="AU138">
        <f t="shared" si="105"/>
        <v>-3427431.1395200123</v>
      </c>
      <c r="AV138">
        <f t="shared" ref="AV138:AV201" si="145">ATAN2(AT138,AU138)</f>
        <v>-1.7373249475234034</v>
      </c>
      <c r="AW138">
        <f t="shared" ref="AW138:AW201" si="146">AG138-AH138*AO138/_Rfb2+AG138*AN138/_Rfb2+AN138-AO138*AR138+AQ138*AN138</f>
        <v>-1934329.5194976768</v>
      </c>
      <c r="AX138">
        <f t="shared" ref="AX138:AX201" si="147">AH138+AH138*AN138/_Rfb2+AG138*AO138/_Rfb2+AO138+AO138*AQ138+AN138*AR138</f>
        <v>-1023092.1268380956</v>
      </c>
      <c r="AY138">
        <f t="shared" si="103"/>
        <v>-2.6550830383352091</v>
      </c>
      <c r="BA138">
        <f t="shared" si="132"/>
        <v>1.5882753544700374</v>
      </c>
      <c r="BB138">
        <f t="shared" ref="BB138:BB201" si="148">20*LOG(BA138)</f>
        <v>4.0185159386511202</v>
      </c>
      <c r="BC138">
        <f t="shared" ref="BC138:BC201" si="149">AV138-AY138</f>
        <v>0.9177580908118057</v>
      </c>
      <c r="BD138">
        <f t="shared" si="133"/>
        <v>-127.41633472241381</v>
      </c>
      <c r="BF138">
        <f t="shared" si="134"/>
        <v>8.9392797457367905</v>
      </c>
      <c r="BG138">
        <f t="shared" si="135"/>
        <v>-115.44347496771563</v>
      </c>
      <c r="BH138">
        <f t="shared" ref="BH138:BH201" si="150">IF(BG138&gt;180,BG138-180,BG138+180)</f>
        <v>64.55652503228437</v>
      </c>
      <c r="BI138">
        <f t="shared" ref="BI138:BI201" si="151">IF(BH138&gt;180,BH138-360,BH138)</f>
        <v>64.55652503228437</v>
      </c>
      <c r="BJ138">
        <f t="shared" si="136"/>
        <v>0</v>
      </c>
      <c r="BK138">
        <f t="shared" ref="BK138:BK201" si="152">IF(BJ138&gt;0,BI138,0)</f>
        <v>0</v>
      </c>
      <c r="BM138">
        <f t="shared" ref="BM138:BM201" si="153">20*LOG(J138*F138*C138)</f>
        <v>4.9207638070856703</v>
      </c>
      <c r="BN138">
        <f t="shared" si="137"/>
        <v>-168.02714024530181</v>
      </c>
      <c r="BQ138" s="75">
        <f t="shared" ref="BQ138:BQ201" si="154">20*LOG(BA138*7)</f>
        <v>20.920476738936259</v>
      </c>
      <c r="BR138" s="80"/>
      <c r="BS138" s="80"/>
      <c r="BT138" s="80">
        <v>1905.461</v>
      </c>
      <c r="BU138" s="80">
        <v>9.7134199999999993</v>
      </c>
      <c r="BV138" s="80">
        <v>-255.059</v>
      </c>
      <c r="BW138" s="84"/>
      <c r="BY138" s="80"/>
      <c r="BZ138" s="80"/>
      <c r="CA138" s="80"/>
      <c r="CC138" s="80"/>
    </row>
    <row r="139" spans="1:81">
      <c r="A139">
        <f t="shared" si="106"/>
        <v>52500</v>
      </c>
      <c r="B139">
        <f t="shared" si="138"/>
        <v>52.5</v>
      </c>
      <c r="C139">
        <f t="shared" si="107"/>
        <v>1.0018804686112532</v>
      </c>
      <c r="D139">
        <f t="shared" si="108"/>
        <v>6.127848774778942E-2</v>
      </c>
      <c r="F139">
        <f t="shared" si="109"/>
        <v>0.19106527382433622</v>
      </c>
      <c r="G139">
        <f t="shared" si="110"/>
        <v>0.14633663388851886</v>
      </c>
      <c r="H139">
        <f t="shared" si="111"/>
        <v>-2.9952560161114814</v>
      </c>
      <c r="J139">
        <f t="shared" si="112"/>
        <v>9</v>
      </c>
      <c r="M139">
        <f t="shared" si="113"/>
        <v>8.039468359562775E-2</v>
      </c>
      <c r="N139">
        <f t="shared" si="114"/>
        <v>-1.5707963250000001</v>
      </c>
      <c r="O139">
        <f t="shared" si="115"/>
        <v>6.8253758682098322</v>
      </c>
      <c r="P139">
        <f t="shared" si="116"/>
        <v>1.4237549539105969</v>
      </c>
      <c r="Q139">
        <f t="shared" si="117"/>
        <v>2.9325504123116342</v>
      </c>
      <c r="R139">
        <f t="shared" si="118"/>
        <v>1.222815763832898</v>
      </c>
      <c r="S139">
        <f t="shared" si="119"/>
        <v>0.99937477619794823</v>
      </c>
      <c r="T139">
        <f t="shared" si="120"/>
        <v>-3.536351124299994E-2</v>
      </c>
      <c r="U139">
        <f t="shared" si="121"/>
        <v>0.99848279469307399</v>
      </c>
      <c r="V139">
        <f t="shared" si="122"/>
        <v>-5.5092451646540405E-2</v>
      </c>
      <c r="X139">
        <f t="shared" si="139"/>
        <v>8.8381707982516069</v>
      </c>
      <c r="Y139">
        <f t="shared" si="123"/>
        <v>-111.64994218195432</v>
      </c>
      <c r="Z139">
        <f t="shared" si="140"/>
        <v>68.350057818045684</v>
      </c>
      <c r="AC139">
        <v>1</v>
      </c>
      <c r="AD139">
        <f t="shared" si="124"/>
        <v>6.7517224278210008</v>
      </c>
      <c r="AE139">
        <f t="shared" si="125"/>
        <v>-1.2472162993800579E-5</v>
      </c>
      <c r="AF139">
        <f t="shared" si="126"/>
        <v>2.2615697168820002E-4</v>
      </c>
      <c r="AG139">
        <f t="shared" si="141"/>
        <v>29520.511259505318</v>
      </c>
      <c r="AH139">
        <f t="shared" si="142"/>
        <v>-6049.7123651583724</v>
      </c>
      <c r="AJ139">
        <f t="shared" si="127"/>
        <v>55000</v>
      </c>
      <c r="AK139">
        <f t="shared" si="128"/>
        <v>1945.8043126396879</v>
      </c>
      <c r="AL139">
        <v>1</v>
      </c>
      <c r="AM139">
        <f t="shared" si="129"/>
        <v>2.7567828932923129</v>
      </c>
      <c r="AN139">
        <f t="shared" si="143"/>
        <v>7019.209237444773</v>
      </c>
      <c r="AO139">
        <f t="shared" si="144"/>
        <v>-17404.631637587441</v>
      </c>
      <c r="AQ139">
        <f t="shared" si="130"/>
        <v>4.1252954445647152</v>
      </c>
      <c r="AR139">
        <f t="shared" si="131"/>
        <v>-114.13661171249426</v>
      </c>
      <c r="AT139">
        <f t="shared" si="104"/>
        <v>-568712.8405742977</v>
      </c>
      <c r="AU139">
        <f t="shared" si="105"/>
        <v>-3394327.9820413878</v>
      </c>
      <c r="AV139">
        <f t="shared" si="145"/>
        <v>-1.7368023880519288</v>
      </c>
      <c r="AW139">
        <f t="shared" si="146"/>
        <v>-1902015.9106750796</v>
      </c>
      <c r="AX139">
        <f t="shared" si="147"/>
        <v>-1000068.5811784</v>
      </c>
      <c r="AY139">
        <f t="shared" ref="AY139:AY202" si="155">ATAN2(AW139,AX139)</f>
        <v>-2.6575234041550315</v>
      </c>
      <c r="BA139">
        <f t="shared" si="132"/>
        <v>1.6015776527928935</v>
      </c>
      <c r="BB139">
        <f t="shared" si="148"/>
        <v>4.0909600071948535</v>
      </c>
      <c r="BC139">
        <f t="shared" si="149"/>
        <v>0.92072101610310275</v>
      </c>
      <c r="BD139">
        <f t="shared" si="133"/>
        <v>-127.24657160801593</v>
      </c>
      <c r="BF139">
        <f t="shared" si="134"/>
        <v>8.8157636219520725</v>
      </c>
      <c r="BG139">
        <f t="shared" si="135"/>
        <v>-115.35110136156769</v>
      </c>
      <c r="BH139">
        <f t="shared" si="150"/>
        <v>64.648898638432314</v>
      </c>
      <c r="BI139">
        <f t="shared" si="151"/>
        <v>64.648898638432314</v>
      </c>
      <c r="BJ139">
        <f t="shared" si="136"/>
        <v>0</v>
      </c>
      <c r="BK139">
        <f t="shared" si="152"/>
        <v>0</v>
      </c>
      <c r="BM139">
        <f t="shared" si="153"/>
        <v>4.7248036147572172</v>
      </c>
      <c r="BN139">
        <f t="shared" si="137"/>
        <v>-168.10452975355176</v>
      </c>
      <c r="BQ139" s="75">
        <f t="shared" si="154"/>
        <v>20.99292080747999</v>
      </c>
      <c r="BR139" s="80"/>
      <c r="BS139" s="80"/>
      <c r="BT139" s="80">
        <v>1949.845</v>
      </c>
      <c r="BU139" s="80">
        <v>9.5268499999999996</v>
      </c>
      <c r="BV139" s="80">
        <v>-254.971</v>
      </c>
      <c r="BW139" s="84"/>
      <c r="BY139" s="80"/>
      <c r="BZ139" s="80"/>
      <c r="CA139" s="80"/>
      <c r="CC139" s="80"/>
    </row>
    <row r="140" spans="1:81">
      <c r="A140">
        <f t="shared" si="106"/>
        <v>53000</v>
      </c>
      <c r="B140">
        <f t="shared" si="138"/>
        <v>53</v>
      </c>
      <c r="C140">
        <f t="shared" si="107"/>
        <v>1.0019164232052913</v>
      </c>
      <c r="D140">
        <f t="shared" si="108"/>
        <v>6.1860611654351735E-2</v>
      </c>
      <c r="F140">
        <f t="shared" si="109"/>
        <v>0.1868502254424477</v>
      </c>
      <c r="G140">
        <f t="shared" si="110"/>
        <v>0.14445809925508069</v>
      </c>
      <c r="H140">
        <f t="shared" si="111"/>
        <v>-2.9971345507449194</v>
      </c>
      <c r="J140">
        <f t="shared" si="112"/>
        <v>9</v>
      </c>
      <c r="M140">
        <f t="shared" si="113"/>
        <v>7.963624318434824E-2</v>
      </c>
      <c r="N140">
        <f t="shared" si="114"/>
        <v>-1.5707963250000001</v>
      </c>
      <c r="O140">
        <f t="shared" si="115"/>
        <v>6.8889905366566335</v>
      </c>
      <c r="P140">
        <f t="shared" si="116"/>
        <v>1.4251225040403646</v>
      </c>
      <c r="Q140">
        <f t="shared" si="117"/>
        <v>2.957245396298096</v>
      </c>
      <c r="R140">
        <f t="shared" si="118"/>
        <v>1.2258432424088439</v>
      </c>
      <c r="S140">
        <f t="shared" si="119"/>
        <v>0.99936282189755499</v>
      </c>
      <c r="T140">
        <f t="shared" si="120"/>
        <v>-3.5700021846881203E-2</v>
      </c>
      <c r="U140">
        <f t="shared" si="121"/>
        <v>0.9984538252388605</v>
      </c>
      <c r="V140">
        <f t="shared" si="122"/>
        <v>-5.561606545300591E-2</v>
      </c>
      <c r="X140">
        <f t="shared" si="139"/>
        <v>8.7154504371790615</v>
      </c>
      <c r="Y140">
        <f t="shared" si="123"/>
        <v>-111.52168594786606</v>
      </c>
      <c r="Z140">
        <f t="shared" si="140"/>
        <v>68.478314052133939</v>
      </c>
      <c r="AC140">
        <v>1</v>
      </c>
      <c r="AD140">
        <f t="shared" si="124"/>
        <v>6.8160245461812012</v>
      </c>
      <c r="AE140">
        <f t="shared" si="125"/>
        <v>-1.2710859265155855E-5</v>
      </c>
      <c r="AF140">
        <f t="shared" si="126"/>
        <v>2.2831084760904002E-4</v>
      </c>
      <c r="AG140">
        <f t="shared" si="141"/>
        <v>29518.798299206395</v>
      </c>
      <c r="AH140">
        <f t="shared" si="142"/>
        <v>-6023.4075833866891</v>
      </c>
      <c r="AJ140">
        <f t="shared" si="127"/>
        <v>55000</v>
      </c>
      <c r="AK140">
        <f t="shared" si="128"/>
        <v>1964.3357822838752</v>
      </c>
      <c r="AL140">
        <v>1</v>
      </c>
      <c r="AM140">
        <f t="shared" si="129"/>
        <v>2.7830379684665254</v>
      </c>
      <c r="AN140">
        <f t="shared" si="143"/>
        <v>6914.2074892888522</v>
      </c>
      <c r="AO140">
        <f t="shared" si="144"/>
        <v>-17278.166182262612</v>
      </c>
      <c r="AQ140">
        <f t="shared" si="130"/>
        <v>4.0479260049777377</v>
      </c>
      <c r="AR140">
        <f t="shared" si="131"/>
        <v>-113.0626212450332</v>
      </c>
      <c r="AT140">
        <f t="shared" si="104"/>
        <v>-561532.33893385972</v>
      </c>
      <c r="AU140">
        <f t="shared" si="105"/>
        <v>-3361855.019907074</v>
      </c>
      <c r="AV140">
        <f t="shared" si="145"/>
        <v>-1.7362989873703587</v>
      </c>
      <c r="AW140">
        <f t="shared" si="146"/>
        <v>-1870452.4072325046</v>
      </c>
      <c r="AX140">
        <f t="shared" si="147"/>
        <v>-977793.4140254549</v>
      </c>
      <c r="AY140">
        <f t="shared" si="155"/>
        <v>-2.6599050723133555</v>
      </c>
      <c r="BA140">
        <f t="shared" si="132"/>
        <v>1.6149027274048193</v>
      </c>
      <c r="BB140">
        <f t="shared" si="148"/>
        <v>4.1629273602947539</v>
      </c>
      <c r="BC140">
        <f t="shared" si="149"/>
        <v>0.92360608494299679</v>
      </c>
      <c r="BD140">
        <f t="shared" si="133"/>
        <v>-127.08126933969641</v>
      </c>
      <c r="BF140">
        <f t="shared" si="134"/>
        <v>8.694279983254745</v>
      </c>
      <c r="BG140">
        <f t="shared" si="135"/>
        <v>-115.26007795649848</v>
      </c>
      <c r="BH140">
        <f t="shared" si="150"/>
        <v>64.739922043501522</v>
      </c>
      <c r="BI140">
        <f t="shared" si="151"/>
        <v>64.739922043501522</v>
      </c>
      <c r="BJ140">
        <f t="shared" si="136"/>
        <v>0</v>
      </c>
      <c r="BK140">
        <f t="shared" si="152"/>
        <v>0</v>
      </c>
      <c r="BM140">
        <f t="shared" si="153"/>
        <v>4.5313526229599921</v>
      </c>
      <c r="BN140">
        <f t="shared" si="137"/>
        <v>-168.17880861680212</v>
      </c>
      <c r="BQ140" s="75">
        <f t="shared" si="154"/>
        <v>21.064888160579891</v>
      </c>
      <c r="BR140" s="80"/>
      <c r="BS140" s="80"/>
      <c r="BT140" s="80">
        <v>1995.2619999999999</v>
      </c>
      <c r="BU140" s="80">
        <v>9.3349399999999996</v>
      </c>
      <c r="BV140" s="80">
        <v>-254.804</v>
      </c>
      <c r="BW140" s="84"/>
      <c r="BY140" s="80"/>
      <c r="BZ140" s="80"/>
      <c r="CA140" s="80"/>
      <c r="CC140" s="80"/>
    </row>
    <row r="141" spans="1:81">
      <c r="A141">
        <f t="shared" si="106"/>
        <v>53500</v>
      </c>
      <c r="B141">
        <f t="shared" si="138"/>
        <v>53.5</v>
      </c>
      <c r="C141">
        <f t="shared" si="107"/>
        <v>1.0019527172925529</v>
      </c>
      <c r="D141">
        <f t="shared" si="108"/>
        <v>6.244269358519141E-2</v>
      </c>
      <c r="F141">
        <f t="shared" si="109"/>
        <v>0.18277945681201579</v>
      </c>
      <c r="G141">
        <f t="shared" si="110"/>
        <v>0.14263153500325418</v>
      </c>
      <c r="H141">
        <f t="shared" si="111"/>
        <v>-2.9989611149967459</v>
      </c>
      <c r="J141">
        <f t="shared" si="112"/>
        <v>9</v>
      </c>
      <c r="M141">
        <f t="shared" si="113"/>
        <v>7.8891979229354328E-2</v>
      </c>
      <c r="N141">
        <f t="shared" si="114"/>
        <v>-1.5707963250000001</v>
      </c>
      <c r="O141">
        <f t="shared" si="115"/>
        <v>6.9526178530679656</v>
      </c>
      <c r="P141">
        <f t="shared" si="116"/>
        <v>1.4264650262019483</v>
      </c>
      <c r="Q141">
        <f t="shared" si="117"/>
        <v>2.9819670362108703</v>
      </c>
      <c r="R141">
        <f t="shared" si="118"/>
        <v>1.2288205500023077</v>
      </c>
      <c r="S141">
        <f t="shared" si="119"/>
        <v>0.99935075472134982</v>
      </c>
      <c r="T141">
        <f t="shared" si="120"/>
        <v>-3.6036524362223418E-2</v>
      </c>
      <c r="U141">
        <f t="shared" si="121"/>
        <v>0.99842458374999177</v>
      </c>
      <c r="V141">
        <f t="shared" si="122"/>
        <v>-5.6139648733100365E-2</v>
      </c>
      <c r="X141">
        <f t="shared" si="139"/>
        <v>8.5946875833053085</v>
      </c>
      <c r="Y141">
        <f t="shared" si="123"/>
        <v>-111.39476080531064</v>
      </c>
      <c r="Z141">
        <f t="shared" si="140"/>
        <v>68.605239194689361</v>
      </c>
      <c r="AC141">
        <v>1</v>
      </c>
      <c r="AD141">
        <f t="shared" si="124"/>
        <v>6.8803266645413999</v>
      </c>
      <c r="AE141">
        <f t="shared" si="125"/>
        <v>-1.295181806041023E-5</v>
      </c>
      <c r="AF141">
        <f t="shared" si="126"/>
        <v>2.3046472352988002E-4</v>
      </c>
      <c r="AG141">
        <f t="shared" si="141"/>
        <v>29517.069303933335</v>
      </c>
      <c r="AH141">
        <f t="shared" si="142"/>
        <v>-5997.8798061988327</v>
      </c>
      <c r="AJ141">
        <f t="shared" si="127"/>
        <v>55000</v>
      </c>
      <c r="AK141">
        <f t="shared" si="128"/>
        <v>1982.8672519280626</v>
      </c>
      <c r="AL141">
        <v>1</v>
      </c>
      <c r="AM141">
        <f t="shared" si="129"/>
        <v>2.809293043640738</v>
      </c>
      <c r="AN141">
        <f t="shared" si="143"/>
        <v>6811.6944818983866</v>
      </c>
      <c r="AO141">
        <f t="shared" si="144"/>
        <v>-17153.178671475074</v>
      </c>
      <c r="AQ141">
        <f t="shared" si="130"/>
        <v>3.9727120153378617</v>
      </c>
      <c r="AR141">
        <f t="shared" si="131"/>
        <v>-112.00862891644334</v>
      </c>
      <c r="AT141">
        <f t="shared" si="104"/>
        <v>-554551.47761665785</v>
      </c>
      <c r="AU141">
        <f t="shared" si="105"/>
        <v>-3329994.3115378479</v>
      </c>
      <c r="AV141">
        <f t="shared" si="145"/>
        <v>-1.7358142270513739</v>
      </c>
      <c r="AW141">
        <f t="shared" si="146"/>
        <v>-1839617.4478905504</v>
      </c>
      <c r="AX141">
        <f t="shared" si="147"/>
        <v>-956236.34256910253</v>
      </c>
      <c r="AY141">
        <f t="shared" si="155"/>
        <v>-2.662229438673708</v>
      </c>
      <c r="BA141">
        <f t="shared" si="132"/>
        <v>1.6282501214534735</v>
      </c>
      <c r="BB141">
        <f t="shared" si="148"/>
        <v>4.2344223848151872</v>
      </c>
      <c r="BC141">
        <f t="shared" si="149"/>
        <v>0.92641521162233409</v>
      </c>
      <c r="BD141">
        <f t="shared" si="133"/>
        <v>-126.92031823666886</v>
      </c>
      <c r="BF141">
        <f t="shared" si="134"/>
        <v>8.5747647688564541</v>
      </c>
      <c r="BG141">
        <f t="shared" si="135"/>
        <v>-115.17043043822365</v>
      </c>
      <c r="BH141">
        <f t="shared" si="150"/>
        <v>64.829569561776353</v>
      </c>
      <c r="BI141">
        <f t="shared" si="151"/>
        <v>64.829569561776353</v>
      </c>
      <c r="BJ141">
        <f t="shared" si="136"/>
        <v>0</v>
      </c>
      <c r="BK141">
        <f t="shared" si="152"/>
        <v>0</v>
      </c>
      <c r="BM141">
        <f t="shared" si="153"/>
        <v>4.3403423840412678</v>
      </c>
      <c r="BN141">
        <f t="shared" si="137"/>
        <v>-168.25011220155477</v>
      </c>
      <c r="BQ141" s="75">
        <f t="shared" si="154"/>
        <v>21.136383185100325</v>
      </c>
      <c r="BR141" s="80"/>
      <c r="BS141" s="80"/>
      <c r="BT141" s="80">
        <v>2041.7380000000001</v>
      </c>
      <c r="BU141" s="80">
        <v>9.0884699999999992</v>
      </c>
      <c r="BV141" s="80">
        <v>-254.411</v>
      </c>
      <c r="BW141" s="84"/>
      <c r="BY141" s="80"/>
      <c r="BZ141" s="80"/>
      <c r="CA141" s="80"/>
      <c r="CC141" s="80"/>
    </row>
    <row r="142" spans="1:81">
      <c r="A142">
        <f t="shared" si="106"/>
        <v>54000</v>
      </c>
      <c r="B142">
        <f t="shared" si="138"/>
        <v>54</v>
      </c>
      <c r="C142">
        <f t="shared" si="107"/>
        <v>1.0019893508361466</v>
      </c>
      <c r="D142">
        <f t="shared" si="108"/>
        <v>6.302473315045011E-2</v>
      </c>
      <c r="F142">
        <f t="shared" si="109"/>
        <v>0.17884621388483962</v>
      </c>
      <c r="G142">
        <f t="shared" si="110"/>
        <v>0.14085471657104512</v>
      </c>
      <c r="H142">
        <f t="shared" si="111"/>
        <v>-3.000737933428955</v>
      </c>
      <c r="J142">
        <f t="shared" si="112"/>
        <v>9</v>
      </c>
      <c r="M142">
        <f t="shared" si="113"/>
        <v>7.8161497940193642E-2</v>
      </c>
      <c r="N142">
        <f t="shared" si="114"/>
        <v>-1.5707963250000001</v>
      </c>
      <c r="O142">
        <f t="shared" si="115"/>
        <v>7.0162574733475518</v>
      </c>
      <c r="P142">
        <f t="shared" si="116"/>
        <v>1.4277831965230434</v>
      </c>
      <c r="Q142">
        <f t="shared" si="117"/>
        <v>3.006714674543463</v>
      </c>
      <c r="R142">
        <f t="shared" si="118"/>
        <v>1.2317488720091021</v>
      </c>
      <c r="S142">
        <f t="shared" si="119"/>
        <v>0.99933857468161957</v>
      </c>
      <c r="T142">
        <f t="shared" si="120"/>
        <v>-3.6373018713113971E-2</v>
      </c>
      <c r="U142">
        <f t="shared" si="121"/>
        <v>0.99839507029846375</v>
      </c>
      <c r="V142">
        <f t="shared" si="122"/>
        <v>-5.6663201202448797E-2</v>
      </c>
      <c r="X142">
        <f t="shared" si="139"/>
        <v>8.4758210900025226</v>
      </c>
      <c r="Y142">
        <f t="shared" si="123"/>
        <v>-111.26918755655544</v>
      </c>
      <c r="Z142">
        <f t="shared" si="140"/>
        <v>68.730812443444563</v>
      </c>
      <c r="AC142">
        <v>1</v>
      </c>
      <c r="AD142">
        <f t="shared" si="124"/>
        <v>6.9446287829016002</v>
      </c>
      <c r="AE142">
        <f t="shared" si="125"/>
        <v>-1.319503937956371E-5</v>
      </c>
      <c r="AF142">
        <f t="shared" si="126"/>
        <v>2.3261859945072002E-4</v>
      </c>
      <c r="AG142">
        <f t="shared" si="141"/>
        <v>29515.324279356188</v>
      </c>
      <c r="AH142">
        <f t="shared" si="142"/>
        <v>-5973.1073501758074</v>
      </c>
      <c r="AJ142">
        <f t="shared" si="127"/>
        <v>55000</v>
      </c>
      <c r="AK142">
        <f t="shared" si="128"/>
        <v>2001.3987215722502</v>
      </c>
      <c r="AL142">
        <v>1</v>
      </c>
      <c r="AM142">
        <f t="shared" si="129"/>
        <v>2.8355481188149501</v>
      </c>
      <c r="AN142">
        <f t="shared" si="143"/>
        <v>6711.5958538061759</v>
      </c>
      <c r="AO142">
        <f t="shared" si="144"/>
        <v>-17029.65427593407</v>
      </c>
      <c r="AQ142">
        <f t="shared" si="130"/>
        <v>3.8995741798187931</v>
      </c>
      <c r="AR142">
        <f t="shared" si="131"/>
        <v>-110.97408200928321</v>
      </c>
      <c r="AT142">
        <f t="shared" si="104"/>
        <v>-547762.90845990623</v>
      </c>
      <c r="AU142">
        <f t="shared" si="105"/>
        <v>-3298728.5923038931</v>
      </c>
      <c r="AV142">
        <f t="shared" si="145"/>
        <v>-1.7353476069739509</v>
      </c>
      <c r="AW142">
        <f t="shared" si="146"/>
        <v>-1809490.1733946949</v>
      </c>
      <c r="AX142">
        <f t="shared" si="147"/>
        <v>-935368.52717367664</v>
      </c>
      <c r="AY142">
        <f t="shared" si="155"/>
        <v>-2.664497855779187</v>
      </c>
      <c r="BA142">
        <f t="shared" si="132"/>
        <v>1.6416193948774851</v>
      </c>
      <c r="BB142">
        <f t="shared" si="148"/>
        <v>4.3054494884993524</v>
      </c>
      <c r="BC142">
        <f t="shared" si="149"/>
        <v>0.92915024880523611</v>
      </c>
      <c r="BD142">
        <f t="shared" si="133"/>
        <v>-126.76361214909818</v>
      </c>
      <c r="BF142">
        <f t="shared" si="134"/>
        <v>8.4571568088204749</v>
      </c>
      <c r="BG142">
        <f t="shared" si="135"/>
        <v>-115.08218013725882</v>
      </c>
      <c r="BH142">
        <f t="shared" si="150"/>
        <v>64.917819862741183</v>
      </c>
      <c r="BI142">
        <f t="shared" si="151"/>
        <v>64.917819862741183</v>
      </c>
      <c r="BJ142">
        <f t="shared" si="136"/>
        <v>0</v>
      </c>
      <c r="BK142">
        <f t="shared" si="152"/>
        <v>0</v>
      </c>
      <c r="BM142">
        <f t="shared" si="153"/>
        <v>4.1517073203211226</v>
      </c>
      <c r="BN142">
        <f t="shared" si="137"/>
        <v>-168.31856798816065</v>
      </c>
      <c r="BQ142" s="75">
        <f t="shared" si="154"/>
        <v>21.207410288784487</v>
      </c>
      <c r="BR142" s="80"/>
      <c r="BS142" s="80"/>
      <c r="BT142" s="80">
        <v>2089.2959999999998</v>
      </c>
      <c r="BU142" s="80">
        <v>8.9698600000000006</v>
      </c>
      <c r="BV142" s="80">
        <v>-254.113</v>
      </c>
      <c r="BW142" s="84"/>
      <c r="BY142" s="80"/>
      <c r="BZ142" s="80"/>
      <c r="CA142" s="80"/>
      <c r="CC142" s="80"/>
    </row>
    <row r="143" spans="1:81">
      <c r="A143">
        <f t="shared" si="106"/>
        <v>54500</v>
      </c>
      <c r="B143">
        <f t="shared" si="138"/>
        <v>54.5</v>
      </c>
      <c r="C143">
        <f t="shared" si="107"/>
        <v>1.0020263237988414</v>
      </c>
      <c r="D143">
        <f t="shared" si="108"/>
        <v>6.3606729960441089E-2</v>
      </c>
      <c r="F143">
        <f t="shared" si="109"/>
        <v>0.17504414466180285</v>
      </c>
      <c r="G143">
        <f t="shared" si="110"/>
        <v>0.1391255470834443</v>
      </c>
      <c r="H143">
        <f t="shared" si="111"/>
        <v>-3.0024671029165559</v>
      </c>
      <c r="J143">
        <f t="shared" si="112"/>
        <v>9</v>
      </c>
      <c r="M143">
        <f t="shared" si="113"/>
        <v>7.7444419977439574E-2</v>
      </c>
      <c r="N143">
        <f t="shared" si="114"/>
        <v>-1.5707963250000001</v>
      </c>
      <c r="O143">
        <f t="shared" si="115"/>
        <v>7.0799090657057571</v>
      </c>
      <c r="P143">
        <f t="shared" si="116"/>
        <v>1.4290776671621714</v>
      </c>
      <c r="Q143">
        <f t="shared" si="117"/>
        <v>3.0314876745793593</v>
      </c>
      <c r="R143">
        <f t="shared" si="118"/>
        <v>1.2346293584991177</v>
      </c>
      <c r="S143">
        <f t="shared" si="119"/>
        <v>0.99932628179076588</v>
      </c>
      <c r="T143">
        <f t="shared" si="120"/>
        <v>-3.6709504823651304E-2</v>
      </c>
      <c r="U143">
        <f t="shared" si="121"/>
        <v>0.99836528495693033</v>
      </c>
      <c r="V143">
        <f t="shared" si="122"/>
        <v>-5.7186722576777253E-2</v>
      </c>
      <c r="X143">
        <f t="shared" si="139"/>
        <v>8.3587925355645112</v>
      </c>
      <c r="Y143">
        <f t="shared" si="123"/>
        <v>-111.14498308529775</v>
      </c>
      <c r="Z143">
        <f t="shared" si="140"/>
        <v>68.855016914702247</v>
      </c>
      <c r="AC143">
        <v>1</v>
      </c>
      <c r="AD143">
        <f t="shared" si="124"/>
        <v>7.0089309012618015</v>
      </c>
      <c r="AE143">
        <f t="shared" si="125"/>
        <v>-1.3440523222616294E-5</v>
      </c>
      <c r="AF143">
        <f t="shared" si="126"/>
        <v>2.3477247537156002E-4</v>
      </c>
      <c r="AG143">
        <f t="shared" si="141"/>
        <v>29513.563231196538</v>
      </c>
      <c r="AH143">
        <f t="shared" si="142"/>
        <v>-5949.0693267199022</v>
      </c>
      <c r="AJ143">
        <f t="shared" si="127"/>
        <v>55000</v>
      </c>
      <c r="AK143">
        <f t="shared" si="128"/>
        <v>2019.9301912164376</v>
      </c>
      <c r="AL143">
        <v>1</v>
      </c>
      <c r="AM143">
        <f t="shared" si="129"/>
        <v>2.8618031939891626</v>
      </c>
      <c r="AN143">
        <f t="shared" si="143"/>
        <v>6613.8398449312053</v>
      </c>
      <c r="AO143">
        <f t="shared" si="144"/>
        <v>-16907.577801540476</v>
      </c>
      <c r="AQ143">
        <f t="shared" si="130"/>
        <v>3.8284368143574974</v>
      </c>
      <c r="AR143">
        <f t="shared" si="131"/>
        <v>-109.95844796356886</v>
      </c>
      <c r="AT143">
        <f t="shared" si="104"/>
        <v>-541159.61799661326</v>
      </c>
      <c r="AU143">
        <f t="shared" si="105"/>
        <v>-3268041.2427986031</v>
      </c>
      <c r="AV143">
        <f t="shared" si="145"/>
        <v>-1.7348986445302483</v>
      </c>
      <c r="AW143">
        <f t="shared" si="146"/>
        <v>-1780050.4030987693</v>
      </c>
      <c r="AX143">
        <f t="shared" si="147"/>
        <v>-915162.49298855499</v>
      </c>
      <c r="AY143">
        <f t="shared" si="155"/>
        <v>-2.6667116344427111</v>
      </c>
      <c r="BA143">
        <f t="shared" si="132"/>
        <v>1.655010123681776</v>
      </c>
      <c r="BB143">
        <f t="shared" si="148"/>
        <v>4.3760130939046569</v>
      </c>
      <c r="BC143">
        <f t="shared" si="149"/>
        <v>0.93181298991246275</v>
      </c>
      <c r="BD143">
        <f t="shared" si="133"/>
        <v>-126.61104832154376</v>
      </c>
      <c r="BF143">
        <f t="shared" si="134"/>
        <v>8.3413976578878586</v>
      </c>
      <c r="BG143">
        <f t="shared" si="135"/>
        <v>-114.9953444625793</v>
      </c>
      <c r="BH143">
        <f t="shared" si="150"/>
        <v>65.004655537420703</v>
      </c>
      <c r="BI143">
        <f t="shared" si="151"/>
        <v>65.004655537420703</v>
      </c>
      <c r="BJ143">
        <f t="shared" si="136"/>
        <v>0</v>
      </c>
      <c r="BK143">
        <f t="shared" si="152"/>
        <v>0</v>
      </c>
      <c r="BM143">
        <f t="shared" si="153"/>
        <v>3.9653845639832017</v>
      </c>
      <c r="BN143">
        <f t="shared" si="137"/>
        <v>-168.38429614103555</v>
      </c>
      <c r="BQ143" s="75">
        <f t="shared" si="154"/>
        <v>21.277973894189795</v>
      </c>
      <c r="BR143" s="80"/>
      <c r="BS143" s="80"/>
      <c r="BT143" s="80">
        <v>2137.962</v>
      </c>
      <c r="BU143" s="80">
        <v>8.68736</v>
      </c>
      <c r="BV143" s="80">
        <v>-254.34</v>
      </c>
      <c r="BW143" s="84"/>
      <c r="BY143" s="80"/>
      <c r="BZ143" s="80"/>
      <c r="CA143" s="80"/>
      <c r="CC143" s="80"/>
    </row>
    <row r="144" spans="1:81">
      <c r="A144">
        <f t="shared" si="106"/>
        <v>55000</v>
      </c>
      <c r="B144">
        <f t="shared" si="138"/>
        <v>55</v>
      </c>
      <c r="C144">
        <f t="shared" si="107"/>
        <v>1.002063636143067</v>
      </c>
      <c r="D144">
        <f t="shared" si="108"/>
        <v>6.4188683625650639E-2</v>
      </c>
      <c r="F144">
        <f t="shared" si="109"/>
        <v>0.17136727018499601</v>
      </c>
      <c r="G144">
        <f t="shared" si="110"/>
        <v>0.13744204825278195</v>
      </c>
      <c r="H144">
        <f t="shared" si="111"/>
        <v>-3.0041506017472184</v>
      </c>
      <c r="J144">
        <f t="shared" si="112"/>
        <v>9</v>
      </c>
      <c r="M144">
        <f t="shared" si="113"/>
        <v>7.6740379795826485E-2</v>
      </c>
      <c r="N144">
        <f t="shared" si="114"/>
        <v>-1.5707963250000001</v>
      </c>
      <c r="O144">
        <f t="shared" si="115"/>
        <v>7.1435723101170456</v>
      </c>
      <c r="P144">
        <f t="shared" si="116"/>
        <v>1.430349067354109</v>
      </c>
      <c r="Q144">
        <f t="shared" si="117"/>
        <v>3.0562854196038285</v>
      </c>
      <c r="R144">
        <f t="shared" si="118"/>
        <v>1.2374631254498227</v>
      </c>
      <c r="S144">
        <f t="shared" si="119"/>
        <v>0.99931387606130428</v>
      </c>
      <c r="T144">
        <f t="shared" si="120"/>
        <v>-3.7045982617945061E-2</v>
      </c>
      <c r="U144">
        <f t="shared" si="121"/>
        <v>0.99833522779870287</v>
      </c>
      <c r="V144">
        <f t="shared" si="122"/>
        <v>-5.7710212571913735E-2</v>
      </c>
      <c r="X144">
        <f t="shared" si="139"/>
        <v>8.2435460685286781</v>
      </c>
      <c r="Y144">
        <f t="shared" si="123"/>
        <v>-111.02216074746326</v>
      </c>
      <c r="Z144">
        <f t="shared" si="140"/>
        <v>68.977839252536739</v>
      </c>
      <c r="AC144">
        <v>1</v>
      </c>
      <c r="AD144">
        <f t="shared" si="124"/>
        <v>7.0732330196220001</v>
      </c>
      <c r="AE144">
        <f t="shared" si="125"/>
        <v>-1.368826958956798E-5</v>
      </c>
      <c r="AF144">
        <f t="shared" si="126"/>
        <v>2.369263512924E-4</v>
      </c>
      <c r="AG144">
        <f t="shared" si="141"/>
        <v>29511.786165227455</v>
      </c>
      <c r="AH144">
        <f t="shared" si="142"/>
        <v>-5925.7456059272527</v>
      </c>
      <c r="AJ144">
        <f t="shared" si="127"/>
        <v>55000</v>
      </c>
      <c r="AK144">
        <f t="shared" si="128"/>
        <v>2038.4616608606254</v>
      </c>
      <c r="AL144">
        <v>1</v>
      </c>
      <c r="AM144">
        <f t="shared" si="129"/>
        <v>2.8880582691633752</v>
      </c>
      <c r="AN144">
        <f t="shared" si="143"/>
        <v>6518.3571961196558</v>
      </c>
      <c r="AO144">
        <f t="shared" si="144"/>
        <v>-16786.933740753335</v>
      </c>
      <c r="AQ144">
        <f t="shared" si="130"/>
        <v>3.7592276511047977</v>
      </c>
      <c r="AR144">
        <f t="shared" si="131"/>
        <v>-108.96121346727257</v>
      </c>
      <c r="AT144">
        <f t="shared" si="104"/>
        <v>-534734.9093343768</v>
      </c>
      <c r="AU144">
        <f t="shared" si="105"/>
        <v>-3237916.2588850646</v>
      </c>
      <c r="AV144">
        <f t="shared" si="145"/>
        <v>-1.7344668738729232</v>
      </c>
      <c r="AW144">
        <f t="shared" si="146"/>
        <v>-1751278.6121796931</v>
      </c>
      <c r="AX144">
        <f t="shared" si="147"/>
        <v>-895592.0563037321</v>
      </c>
      <c r="AY144">
        <f t="shared" si="155"/>
        <v>-2.6688720452709864</v>
      </c>
      <c r="BA144">
        <f t="shared" si="132"/>
        <v>1.6684218992494431</v>
      </c>
      <c r="BB144">
        <f t="shared" si="148"/>
        <v>4.4461176328354188</v>
      </c>
      <c r="BC144">
        <f t="shared" si="149"/>
        <v>0.93440517139806323</v>
      </c>
      <c r="BD144">
        <f t="shared" si="133"/>
        <v>-126.4625272625172</v>
      </c>
      <c r="BF144">
        <f t="shared" si="134"/>
        <v>8.2274314407987745</v>
      </c>
      <c r="BG144">
        <f t="shared" si="135"/>
        <v>-114.90993729254835</v>
      </c>
      <c r="BH144">
        <f t="shared" si="150"/>
        <v>65.090062707451651</v>
      </c>
      <c r="BI144">
        <f t="shared" si="151"/>
        <v>65.090062707451651</v>
      </c>
      <c r="BJ144">
        <f t="shared" si="136"/>
        <v>0</v>
      </c>
      <c r="BK144">
        <f t="shared" si="152"/>
        <v>0</v>
      </c>
      <c r="BM144">
        <f t="shared" si="153"/>
        <v>3.7813138079633557</v>
      </c>
      <c r="BN144">
        <f t="shared" si="137"/>
        <v>-168.44741003003116</v>
      </c>
      <c r="BQ144" s="75">
        <f t="shared" si="154"/>
        <v>21.348078433120556</v>
      </c>
      <c r="BR144" s="80"/>
      <c r="BS144" s="80"/>
      <c r="BT144" s="80">
        <v>2187.7620000000002</v>
      </c>
      <c r="BU144" s="80">
        <v>8.5308799999999998</v>
      </c>
      <c r="BV144" s="80">
        <v>-253.785</v>
      </c>
      <c r="BW144" s="84"/>
      <c r="BY144" s="80"/>
      <c r="BZ144" s="80"/>
      <c r="CA144" s="80"/>
      <c r="CC144" s="80"/>
    </row>
    <row r="145" spans="1:81">
      <c r="A145">
        <f t="shared" si="106"/>
        <v>55500</v>
      </c>
      <c r="B145">
        <f t="shared" si="138"/>
        <v>55.5</v>
      </c>
      <c r="C145">
        <f t="shared" si="107"/>
        <v>1.0021012878309137</v>
      </c>
      <c r="D145">
        <f t="shared" si="108"/>
        <v>6.4770593756739769E-2</v>
      </c>
      <c r="F145">
        <f t="shared" si="109"/>
        <v>0.16780995798183748</v>
      </c>
      <c r="G145">
        <f t="shared" si="110"/>
        <v>0.1358023520476708</v>
      </c>
      <c r="H145">
        <f t="shared" si="111"/>
        <v>-3.0057902979523292</v>
      </c>
      <c r="J145">
        <f t="shared" si="112"/>
        <v>9</v>
      </c>
      <c r="M145">
        <f t="shared" si="113"/>
        <v>7.6049025022891112E-2</v>
      </c>
      <c r="N145">
        <f t="shared" si="114"/>
        <v>-1.5707963250000001</v>
      </c>
      <c r="O145">
        <f t="shared" si="115"/>
        <v>7.2072468978057502</v>
      </c>
      <c r="P145">
        <f t="shared" si="116"/>
        <v>1.4315980044014642</v>
      </c>
      <c r="Q145">
        <f t="shared" si="117"/>
        <v>3.0811073121499901</v>
      </c>
      <c r="R145">
        <f t="shared" si="118"/>
        <v>1.2402512559321599</v>
      </c>
      <c r="S145">
        <f t="shared" si="119"/>
        <v>0.99930135750586369</v>
      </c>
      <c r="T145">
        <f t="shared" si="120"/>
        <v>-3.7382452020116176E-2</v>
      </c>
      <c r="U145">
        <f t="shared" si="121"/>
        <v>0.99830489889775031</v>
      </c>
      <c r="V145">
        <f t="shared" si="122"/>
        <v>-5.8233670903789093E-2</v>
      </c>
      <c r="X145">
        <f t="shared" si="139"/>
        <v>8.1300282635691428</v>
      </c>
      <c r="Y145">
        <f t="shared" si="123"/>
        <v>-110.90073072378009</v>
      </c>
      <c r="Z145">
        <f t="shared" si="140"/>
        <v>69.099269276219914</v>
      </c>
      <c r="AC145">
        <v>1</v>
      </c>
      <c r="AD145">
        <f t="shared" si="124"/>
        <v>7.1375351379822005</v>
      </c>
      <c r="AE145">
        <f t="shared" si="125"/>
        <v>-1.3938278480418766E-5</v>
      </c>
      <c r="AF145">
        <f t="shared" si="126"/>
        <v>2.3908022721324E-4</v>
      </c>
      <c r="AG145">
        <f t="shared" si="141"/>
        <v>29509.993087273502</v>
      </c>
      <c r="AH145">
        <f t="shared" si="142"/>
        <v>-5903.1167824132535</v>
      </c>
      <c r="AJ145">
        <f t="shared" si="127"/>
        <v>55000</v>
      </c>
      <c r="AK145">
        <f t="shared" si="128"/>
        <v>2056.9931305048126</v>
      </c>
      <c r="AL145">
        <v>1</v>
      </c>
      <c r="AM145">
        <f t="shared" si="129"/>
        <v>2.9143133443375882</v>
      </c>
      <c r="AN145">
        <f t="shared" si="143"/>
        <v>6425.0810526917039</v>
      </c>
      <c r="AO145">
        <f t="shared" si="144"/>
        <v>-16667.706319805216</v>
      </c>
      <c r="AQ145">
        <f t="shared" si="130"/>
        <v>3.6918776551127457</v>
      </c>
      <c r="AR145">
        <f t="shared" si="131"/>
        <v>-107.98188359556514</v>
      </c>
      <c r="AT145">
        <f t="shared" si="104"/>
        <v>-528482.38516813843</v>
      </c>
      <c r="AU145">
        <f t="shared" si="105"/>
        <v>-3208338.2234004117</v>
      </c>
      <c r="AV145">
        <f t="shared" si="145"/>
        <v>-1.73405184520052</v>
      </c>
      <c r="AW145">
        <f t="shared" si="146"/>
        <v>-1723155.909489939</v>
      </c>
      <c r="AX145">
        <f t="shared" si="147"/>
        <v>-876632.25533563981</v>
      </c>
      <c r="AY145">
        <f t="shared" si="155"/>
        <v>-2.6709803201252131</v>
      </c>
      <c r="BA145">
        <f t="shared" si="132"/>
        <v>1.681854327688062</v>
      </c>
      <c r="BB145">
        <f t="shared" si="148"/>
        <v>4.5157675412358618</v>
      </c>
      <c r="BC145">
        <f t="shared" si="149"/>
        <v>0.93692847492469311</v>
      </c>
      <c r="BD145">
        <f t="shared" si="133"/>
        <v>-126.31795261984561</v>
      </c>
      <c r="BF145">
        <f t="shared" si="134"/>
        <v>8.1152047081849723</v>
      </c>
      <c r="BG145">
        <f t="shared" si="135"/>
        <v>-114.82596932761518</v>
      </c>
      <c r="BH145">
        <f t="shared" si="150"/>
        <v>65.174030672384816</v>
      </c>
      <c r="BI145">
        <f t="shared" si="151"/>
        <v>65.174030672384816</v>
      </c>
      <c r="BJ145">
        <f t="shared" si="136"/>
        <v>0</v>
      </c>
      <c r="BK145">
        <f t="shared" si="152"/>
        <v>0</v>
      </c>
      <c r="BM145">
        <f t="shared" si="153"/>
        <v>3.599437166949111</v>
      </c>
      <c r="BN145">
        <f t="shared" si="137"/>
        <v>-168.50801670776957</v>
      </c>
      <c r="BQ145" s="75">
        <f t="shared" si="154"/>
        <v>21.417728341520998</v>
      </c>
      <c r="BR145" s="80"/>
      <c r="BS145" s="80"/>
      <c r="BT145" s="80">
        <v>2238.721</v>
      </c>
      <c r="BU145" s="80">
        <v>8.3496900000000007</v>
      </c>
      <c r="BV145" s="80">
        <v>-253.78300000000002</v>
      </c>
      <c r="BW145" s="84"/>
      <c r="BY145" s="80"/>
      <c r="BZ145" s="80"/>
      <c r="CA145" s="80"/>
      <c r="CC145" s="80"/>
    </row>
    <row r="146" spans="1:81">
      <c r="A146">
        <f t="shared" si="106"/>
        <v>56000</v>
      </c>
      <c r="B146">
        <f t="shared" si="138"/>
        <v>56</v>
      </c>
      <c r="C146">
        <f t="shared" si="107"/>
        <v>1.0021392788241326</v>
      </c>
      <c r="D146">
        <f t="shared" si="108"/>
        <v>6.5352459964545639E-2</v>
      </c>
      <c r="F146">
        <f t="shared" si="109"/>
        <v>0.16436689772439747</v>
      </c>
      <c r="G146">
        <f t="shared" si="110"/>
        <v>0.13420469305591709</v>
      </c>
      <c r="H146">
        <f t="shared" si="111"/>
        <v>-3.0073879569440831</v>
      </c>
      <c r="J146">
        <f t="shared" si="112"/>
        <v>9</v>
      </c>
      <c r="M146">
        <f t="shared" si="113"/>
        <v>7.5370015870901017E-2</v>
      </c>
      <c r="N146">
        <f t="shared" si="114"/>
        <v>-1.5707963250000001</v>
      </c>
      <c r="O146">
        <f t="shared" si="115"/>
        <v>7.270932530758448</v>
      </c>
      <c r="P146">
        <f t="shared" si="116"/>
        <v>1.4328250646155809</v>
      </c>
      <c r="Q146">
        <f t="shared" si="117"/>
        <v>3.1059527732774894</v>
      </c>
      <c r="R146">
        <f t="shared" si="118"/>
        <v>1.2429948012507377</v>
      </c>
      <c r="S146">
        <f t="shared" si="119"/>
        <v>0.99928872613718767</v>
      </c>
      <c r="T146">
        <f t="shared" si="120"/>
        <v>-3.7718912954296947E-2</v>
      </c>
      <c r="U146">
        <f t="shared" si="121"/>
        <v>0.99827429832869818</v>
      </c>
      <c r="V146">
        <f t="shared" si="122"/>
        <v>-5.8757097288437955E-2</v>
      </c>
      <c r="X146">
        <f t="shared" si="139"/>
        <v>8.0181879871209603</v>
      </c>
      <c r="Y146">
        <f t="shared" si="123"/>
        <v>-110.78070033811404</v>
      </c>
      <c r="Z146">
        <f t="shared" si="140"/>
        <v>69.219299661885955</v>
      </c>
      <c r="AC146">
        <v>1</v>
      </c>
      <c r="AD146">
        <f t="shared" si="124"/>
        <v>7.2018372563424009</v>
      </c>
      <c r="AE146">
        <f t="shared" si="125"/>
        <v>-1.4190549895168655E-5</v>
      </c>
      <c r="AF146">
        <f t="shared" si="126"/>
        <v>2.4123410313408E-4</v>
      </c>
      <c r="AG146">
        <f t="shared" si="141"/>
        <v>29508.184003210641</v>
      </c>
      <c r="AH146">
        <f t="shared" si="142"/>
        <v>-5881.1641429687552</v>
      </c>
      <c r="AJ146">
        <f t="shared" si="127"/>
        <v>55000</v>
      </c>
      <c r="AK146">
        <f t="shared" si="128"/>
        <v>2075.5246001490004</v>
      </c>
      <c r="AL146">
        <v>1</v>
      </c>
      <c r="AM146">
        <f t="shared" si="129"/>
        <v>2.9405684195118003</v>
      </c>
      <c r="AN146">
        <f t="shared" si="143"/>
        <v>6333.9468718488661</v>
      </c>
      <c r="AO146">
        <f t="shared" si="144"/>
        <v>-16549.87954207533</v>
      </c>
      <c r="AQ146">
        <f t="shared" si="130"/>
        <v>3.6263208523917401</v>
      </c>
      <c r="AR146">
        <f t="shared" si="131"/>
        <v>-107.01998099578505</v>
      </c>
      <c r="AT146">
        <f t="shared" si="104"/>
        <v>-522395.93184655358</v>
      </c>
      <c r="AU146">
        <f t="shared" si="105"/>
        <v>-3179292.2794117173</v>
      </c>
      <c r="AV146">
        <f t="shared" si="145"/>
        <v>-1.733653124078735</v>
      </c>
      <c r="AW146">
        <f t="shared" si="146"/>
        <v>-1695664.0160504172</v>
      </c>
      <c r="AX146">
        <f t="shared" si="147"/>
        <v>-858259.28515104565</v>
      </c>
      <c r="AY146">
        <f t="shared" si="155"/>
        <v>-2.6730376535214124</v>
      </c>
      <c r="BA146">
        <f t="shared" si="132"/>
        <v>1.6953070292083992</v>
      </c>
      <c r="BB146">
        <f t="shared" si="148"/>
        <v>4.5849672545090758</v>
      </c>
      <c r="BC146">
        <f t="shared" si="149"/>
        <v>0.93938452944267747</v>
      </c>
      <c r="BD146">
        <f t="shared" si="133"/>
        <v>-126.17723106155029</v>
      </c>
      <c r="BF146">
        <f t="shared" si="134"/>
        <v>8.0046663021933018</v>
      </c>
      <c r="BG146">
        <f t="shared" si="135"/>
        <v>-114.74344840876638</v>
      </c>
      <c r="BH146">
        <f t="shared" si="150"/>
        <v>65.256551591233617</v>
      </c>
      <c r="BI146">
        <f t="shared" si="151"/>
        <v>65.256551591233617</v>
      </c>
      <c r="BJ146">
        <f t="shared" si="136"/>
        <v>0</v>
      </c>
      <c r="BK146">
        <f t="shared" si="152"/>
        <v>0</v>
      </c>
      <c r="BM146">
        <f t="shared" si="153"/>
        <v>3.4196990476842255</v>
      </c>
      <c r="BN146">
        <f t="shared" si="137"/>
        <v>-168.56621734721614</v>
      </c>
      <c r="BQ146" s="75">
        <f t="shared" si="154"/>
        <v>21.486928054794213</v>
      </c>
      <c r="BR146" s="80"/>
      <c r="BS146" s="80"/>
      <c r="BT146" s="80">
        <v>2290.8679999999999</v>
      </c>
      <c r="BU146" s="80">
        <v>8.2818299999999994</v>
      </c>
      <c r="BV146" s="80">
        <v>-253.62</v>
      </c>
      <c r="BW146" s="84"/>
      <c r="BY146" s="80"/>
      <c r="BZ146" s="80"/>
      <c r="CA146" s="80"/>
      <c r="CC146" s="80"/>
    </row>
    <row r="147" spans="1:81">
      <c r="A147">
        <f t="shared" si="106"/>
        <v>56500</v>
      </c>
      <c r="B147">
        <f t="shared" si="138"/>
        <v>56.5</v>
      </c>
      <c r="C147">
        <f t="shared" si="107"/>
        <v>1.0021776090841361</v>
      </c>
      <c r="D147">
        <f t="shared" si="108"/>
        <v>6.5934281860083085E-2</v>
      </c>
      <c r="F147">
        <f t="shared" si="109"/>
        <v>0.16103307889276042</v>
      </c>
      <c r="G147">
        <f t="shared" si="110"/>
        <v>0.13264740147492562</v>
      </c>
      <c r="H147">
        <f t="shared" si="111"/>
        <v>-3.0089452485250745</v>
      </c>
      <c r="J147">
        <f t="shared" si="112"/>
        <v>9</v>
      </c>
      <c r="M147">
        <f t="shared" si="113"/>
        <v>7.470302458000809E-2</v>
      </c>
      <c r="N147">
        <f t="shared" si="114"/>
        <v>-1.5707963250000001</v>
      </c>
      <c r="O147">
        <f t="shared" si="115"/>
        <v>7.3346289212613547</v>
      </c>
      <c r="P147">
        <f t="shared" si="116"/>
        <v>1.4340308142097506</v>
      </c>
      <c r="Q147">
        <f t="shared" si="117"/>
        <v>3.1308212418822201</v>
      </c>
      <c r="R147">
        <f t="shared" si="118"/>
        <v>1.2456947820401549</v>
      </c>
      <c r="S147">
        <f t="shared" si="119"/>
        <v>0.99927598196813361</v>
      </c>
      <c r="T147">
        <f t="shared" si="120"/>
        <v>-3.8055365344631165E-2</v>
      </c>
      <c r="U147">
        <f t="shared" si="121"/>
        <v>0.99824342616682771</v>
      </c>
      <c r="V147">
        <f t="shared" si="122"/>
        <v>-5.9280491441999622E-2</v>
      </c>
      <c r="X147">
        <f t="shared" si="139"/>
        <v>7.9079762719711262</v>
      </c>
      <c r="Y147">
        <f t="shared" si="123"/>
        <v>-110.66207434509657</v>
      </c>
      <c r="Z147">
        <f t="shared" si="140"/>
        <v>69.33792565490343</v>
      </c>
      <c r="AC147">
        <v>1</v>
      </c>
      <c r="AD147">
        <f t="shared" si="124"/>
        <v>7.2661393747026004</v>
      </c>
      <c r="AE147">
        <f t="shared" si="125"/>
        <v>-1.4445083833817648E-5</v>
      </c>
      <c r="AF147">
        <f t="shared" si="126"/>
        <v>2.4338797905492E-4</v>
      </c>
      <c r="AG147">
        <f t="shared" si="141"/>
        <v>29506.358918966198</v>
      </c>
      <c r="AH147">
        <f t="shared" si="142"/>
        <v>-5859.8696359336454</v>
      </c>
      <c r="AJ147">
        <f t="shared" si="127"/>
        <v>55000</v>
      </c>
      <c r="AK147">
        <f t="shared" si="128"/>
        <v>2094.0560697931878</v>
      </c>
      <c r="AL147">
        <v>1</v>
      </c>
      <c r="AM147">
        <f t="shared" si="129"/>
        <v>2.9668234946860128</v>
      </c>
      <c r="AN147">
        <f t="shared" si="143"/>
        <v>6244.8923337990964</v>
      </c>
      <c r="AO147">
        <f t="shared" si="144"/>
        <v>-16433.437227906539</v>
      </c>
      <c r="AQ147">
        <f t="shared" si="130"/>
        <v>3.562494168538846</v>
      </c>
      <c r="AR147">
        <f t="shared" si="131"/>
        <v>-106.07504511532841</v>
      </c>
      <c r="AT147">
        <f t="shared" si="104"/>
        <v>-516469.70441797329</v>
      </c>
      <c r="AU147">
        <f t="shared" si="105"/>
        <v>-3150764.1049248236</v>
      </c>
      <c r="AV147">
        <f t="shared" si="145"/>
        <v>-1.73327029079549</v>
      </c>
      <c r="AW147">
        <f t="shared" si="146"/>
        <v>-1668785.2441831743</v>
      </c>
      <c r="AX147">
        <f t="shared" si="147"/>
        <v>-840450.43645769602</v>
      </c>
      <c r="AY147">
        <f t="shared" si="155"/>
        <v>-2.6750452039731107</v>
      </c>
      <c r="BA147">
        <f t="shared" si="132"/>
        <v>1.708779637533667</v>
      </c>
      <c r="BB147">
        <f t="shared" si="148"/>
        <v>4.6537212032302939</v>
      </c>
      <c r="BC147">
        <f t="shared" si="149"/>
        <v>0.94177491317762074</v>
      </c>
      <c r="BD147">
        <f t="shared" si="133"/>
        <v>-126.04027216196482</v>
      </c>
      <c r="BF147">
        <f t="shared" si="134"/>
        <v>7.8957672310760652</v>
      </c>
      <c r="BG147">
        <f t="shared" si="135"/>
        <v>-114.66237980526427</v>
      </c>
      <c r="BH147">
        <f t="shared" si="150"/>
        <v>65.337620194735734</v>
      </c>
      <c r="BI147">
        <f t="shared" si="151"/>
        <v>65.337620194735734</v>
      </c>
      <c r="BJ147">
        <f t="shared" si="136"/>
        <v>0</v>
      </c>
      <c r="BK147">
        <f t="shared" si="152"/>
        <v>0</v>
      </c>
      <c r="BM147">
        <f t="shared" si="153"/>
        <v>3.2420460278457712</v>
      </c>
      <c r="BN147">
        <f t="shared" si="137"/>
        <v>-168.62210764329944</v>
      </c>
      <c r="BQ147" s="75">
        <f t="shared" si="154"/>
        <v>21.555682003515429</v>
      </c>
      <c r="BR147" s="80"/>
      <c r="BS147" s="80"/>
      <c r="BT147" s="80">
        <v>2344.2289999999998</v>
      </c>
      <c r="BU147" s="80">
        <v>8.0662299999999991</v>
      </c>
      <c r="BV147" s="80">
        <v>-253.17099999999999</v>
      </c>
      <c r="BW147" s="84"/>
      <c r="BY147" s="80"/>
      <c r="BZ147" s="80"/>
      <c r="CA147" s="80"/>
      <c r="CC147" s="80"/>
    </row>
    <row r="148" spans="1:81">
      <c r="A148">
        <f t="shared" si="106"/>
        <v>57000</v>
      </c>
      <c r="B148">
        <f t="shared" si="138"/>
        <v>57</v>
      </c>
      <c r="C148">
        <f t="shared" si="107"/>
        <v>1.0022162785719979</v>
      </c>
      <c r="D148">
        <f t="shared" si="108"/>
        <v>6.6516059054546259E-2</v>
      </c>
      <c r="F148">
        <f t="shared" si="109"/>
        <v>0.15780377025382605</v>
      </c>
      <c r="G148">
        <f t="shared" si="110"/>
        <v>0.13112889667029448</v>
      </c>
      <c r="H148">
        <f t="shared" si="111"/>
        <v>-3.0104637533297058</v>
      </c>
      <c r="J148">
        <f t="shared" si="112"/>
        <v>9</v>
      </c>
      <c r="M148">
        <f t="shared" si="113"/>
        <v>7.4047734890709774E-2</v>
      </c>
      <c r="N148">
        <f t="shared" si="114"/>
        <v>-1.5707963250000001</v>
      </c>
      <c r="O148">
        <f t="shared" si="115"/>
        <v>7.3983357914612657</v>
      </c>
      <c r="P148">
        <f t="shared" si="116"/>
        <v>1.435215800147505</v>
      </c>
      <c r="Q148">
        <f t="shared" si="117"/>
        <v>3.1557121740356062</v>
      </c>
      <c r="R148">
        <f t="shared" si="118"/>
        <v>1.2483521893192155</v>
      </c>
      <c r="S148">
        <f t="shared" si="119"/>
        <v>0.99926312501167325</v>
      </c>
      <c r="T148">
        <f t="shared" si="120"/>
        <v>-3.8391809115274227E-2</v>
      </c>
      <c r="U148">
        <f t="shared" si="121"/>
        <v>0.99821228248807636</v>
      </c>
      <c r="V148">
        <f t="shared" si="122"/>
        <v>-5.9803853080719005E-2</v>
      </c>
      <c r="X148">
        <f t="shared" si="139"/>
        <v>7.799346200120203</v>
      </c>
      <c r="Y148">
        <f t="shared" si="123"/>
        <v>-110.54485519018442</v>
      </c>
      <c r="Z148">
        <f t="shared" si="140"/>
        <v>69.455144809815579</v>
      </c>
      <c r="AC148">
        <v>1</v>
      </c>
      <c r="AD148">
        <f t="shared" si="124"/>
        <v>7.3304414930628008</v>
      </c>
      <c r="AE148">
        <f t="shared" si="125"/>
        <v>-1.4701880296365742E-5</v>
      </c>
      <c r="AF148">
        <f t="shared" si="126"/>
        <v>2.4554185497576E-4</v>
      </c>
      <c r="AG148">
        <f t="shared" si="141"/>
        <v>29504.517840518809</v>
      </c>
      <c r="AH148">
        <f t="shared" si="142"/>
        <v>-5839.2158421823342</v>
      </c>
      <c r="AJ148">
        <f t="shared" si="127"/>
        <v>55000</v>
      </c>
      <c r="AK148">
        <f t="shared" si="128"/>
        <v>2112.5875394373757</v>
      </c>
      <c r="AL148">
        <v>1</v>
      </c>
      <c r="AM148">
        <f t="shared" si="129"/>
        <v>2.9930785698602254</v>
      </c>
      <c r="AN148">
        <f t="shared" si="143"/>
        <v>6157.857256459989</v>
      </c>
      <c r="AO148">
        <f t="shared" si="144"/>
        <v>-16318.363051131297</v>
      </c>
      <c r="AQ148">
        <f t="shared" si="130"/>
        <v>3.5003372772012766</v>
      </c>
      <c r="AR148">
        <f t="shared" si="131"/>
        <v>-105.14663146984914</v>
      </c>
      <c r="AT148">
        <f t="shared" si="104"/>
        <v>-510698.11258783261</v>
      </c>
      <c r="AU148">
        <f t="shared" si="105"/>
        <v>-3122739.8889546352</v>
      </c>
      <c r="AV148">
        <f t="shared" si="145"/>
        <v>-1.7329029397478954</v>
      </c>
      <c r="AW148">
        <f t="shared" si="146"/>
        <v>-1642502.4772805385</v>
      </c>
      <c r="AX148">
        <f t="shared" si="147"/>
        <v>-823184.03800964262</v>
      </c>
      <c r="AY148">
        <f t="shared" si="155"/>
        <v>-2.6770040952789897</v>
      </c>
      <c r="BA148">
        <f t="shared" si="132"/>
        <v>1.7222717993375707</v>
      </c>
      <c r="BB148">
        <f t="shared" si="148"/>
        <v>4.7220338092251843</v>
      </c>
      <c r="BC148">
        <f t="shared" si="149"/>
        <v>0.9441011555310943</v>
      </c>
      <c r="BD148">
        <f t="shared" si="133"/>
        <v>-125.9069882928339</v>
      </c>
      <c r="BF148">
        <f t="shared" si="134"/>
        <v>7.7884605520519399</v>
      </c>
      <c r="BG148">
        <f t="shared" si="135"/>
        <v>-114.58276647481071</v>
      </c>
      <c r="BH148">
        <f t="shared" si="150"/>
        <v>65.417233525189289</v>
      </c>
      <c r="BI148">
        <f t="shared" si="151"/>
        <v>65.417233525189289</v>
      </c>
      <c r="BJ148">
        <f t="shared" si="136"/>
        <v>0</v>
      </c>
      <c r="BK148">
        <f t="shared" si="152"/>
        <v>0</v>
      </c>
      <c r="BM148">
        <f t="shared" si="153"/>
        <v>3.0664267428267533</v>
      </c>
      <c r="BN148">
        <f t="shared" si="137"/>
        <v>-168.6757781819768</v>
      </c>
      <c r="BQ148" s="75">
        <f t="shared" si="154"/>
        <v>21.623994609510323</v>
      </c>
      <c r="BR148" s="80"/>
      <c r="BS148" s="80"/>
      <c r="BT148" s="80">
        <v>2398.8330000000001</v>
      </c>
      <c r="BU148" s="80">
        <v>7.8140200000000002</v>
      </c>
      <c r="BV148" s="80">
        <v>-252.65800000000002</v>
      </c>
      <c r="BW148" s="84"/>
      <c r="BY148" s="80"/>
      <c r="BZ148" s="80"/>
      <c r="CA148" s="80"/>
      <c r="CC148" s="80"/>
    </row>
    <row r="149" spans="1:81">
      <c r="A149">
        <f t="shared" si="106"/>
        <v>57500</v>
      </c>
      <c r="B149">
        <f t="shared" si="138"/>
        <v>57.5</v>
      </c>
      <c r="C149">
        <f t="shared" si="107"/>
        <v>1.0022552872484534</v>
      </c>
      <c r="D149">
        <f t="shared" si="108"/>
        <v>6.7097791159310055E-2</v>
      </c>
      <c r="F149">
        <f t="shared" si="109"/>
        <v>0.15467450098685309</v>
      </c>
      <c r="G149">
        <f t="shared" si="110"/>
        <v>0.12964768124959944</v>
      </c>
      <c r="H149">
        <f t="shared" si="111"/>
        <v>-3.011944968750401</v>
      </c>
      <c r="J149">
        <f t="shared" si="112"/>
        <v>9</v>
      </c>
      <c r="M149">
        <f t="shared" si="113"/>
        <v>7.3403841543834031E-2</v>
      </c>
      <c r="N149">
        <f t="shared" si="114"/>
        <v>-1.5707963250000001</v>
      </c>
      <c r="O149">
        <f t="shared" si="115"/>
        <v>7.4620528729486564</v>
      </c>
      <c r="P149">
        <f t="shared" si="116"/>
        <v>1.4363805509485845</v>
      </c>
      <c r="Q149">
        <f t="shared" si="117"/>
        <v>3.1806250423520446</v>
      </c>
      <c r="R149">
        <f t="shared" si="118"/>
        <v>1.2509679855047351</v>
      </c>
      <c r="S149">
        <f t="shared" si="119"/>
        <v>0.99925015528089134</v>
      </c>
      <c r="T149">
        <f t="shared" si="120"/>
        <v>-3.8728244190393217E-2</v>
      </c>
      <c r="U149">
        <f t="shared" si="121"/>
        <v>0.99818086736903666</v>
      </c>
      <c r="V149">
        <f t="shared" si="122"/>
        <v>-6.0327181920947492E-2</v>
      </c>
      <c r="X149">
        <f t="shared" si="139"/>
        <v>7.6922527932796401</v>
      </c>
      <c r="Y149">
        <f t="shared" si="123"/>
        <v>-110.42904324494144</v>
      </c>
      <c r="Z149">
        <f t="shared" si="140"/>
        <v>69.57095675505856</v>
      </c>
      <c r="AC149">
        <v>1</v>
      </c>
      <c r="AD149">
        <f t="shared" si="124"/>
        <v>7.3947436114230012</v>
      </c>
      <c r="AE149">
        <f t="shared" si="125"/>
        <v>-1.4960939282812938E-5</v>
      </c>
      <c r="AF149">
        <f t="shared" si="126"/>
        <v>2.476957308966E-4</v>
      </c>
      <c r="AG149">
        <f t="shared" si="141"/>
        <v>29502.660773898398</v>
      </c>
      <c r="AH149">
        <f t="shared" si="142"/>
        <v>-5819.1859476230729</v>
      </c>
      <c r="AJ149">
        <f t="shared" si="127"/>
        <v>55000</v>
      </c>
      <c r="AK149">
        <f t="shared" si="128"/>
        <v>2131.1190090815626</v>
      </c>
      <c r="AL149">
        <v>1</v>
      </c>
      <c r="AM149">
        <f t="shared" si="129"/>
        <v>3.0193336450344379</v>
      </c>
      <c r="AN149">
        <f t="shared" si="143"/>
        <v>6072.7835136035319</v>
      </c>
      <c r="AO149">
        <f t="shared" si="144"/>
        <v>-16204.640572552031</v>
      </c>
      <c r="AQ149">
        <f t="shared" si="130"/>
        <v>3.4397924576961523</v>
      </c>
      <c r="AR149">
        <f t="shared" si="131"/>
        <v>-104.23431094933765</v>
      </c>
      <c r="AT149">
        <f t="shared" si="104"/>
        <v>-505075.80752453557</v>
      </c>
      <c r="AU149">
        <f t="shared" si="105"/>
        <v>-3095206.3088719174</v>
      </c>
      <c r="AV149">
        <f t="shared" si="145"/>
        <v>-1.7325506788592897</v>
      </c>
      <c r="AW149">
        <f t="shared" si="146"/>
        <v>-1616799.1502049486</v>
      </c>
      <c r="AX149">
        <f t="shared" si="147"/>
        <v>-806439.40239296551</v>
      </c>
      <c r="AY149">
        <f t="shared" si="155"/>
        <v>-2.6789154177579801</v>
      </c>
      <c r="BA149">
        <f t="shared" si="132"/>
        <v>1.7357831737095175</v>
      </c>
      <c r="BB149">
        <f t="shared" si="148"/>
        <v>4.7899094819860704</v>
      </c>
      <c r="BC149">
        <f t="shared" si="149"/>
        <v>0.94636473889869044</v>
      </c>
      <c r="BD149">
        <f t="shared" si="133"/>
        <v>-125.77729451914644</v>
      </c>
      <c r="BF149">
        <f t="shared" si="134"/>
        <v>7.6827012618026362</v>
      </c>
      <c r="BG149">
        <f t="shared" si="135"/>
        <v>-114.50460929892742</v>
      </c>
      <c r="BH149">
        <f t="shared" si="150"/>
        <v>65.49539070107258</v>
      </c>
      <c r="BI149">
        <f t="shared" si="151"/>
        <v>65.49539070107258</v>
      </c>
      <c r="BJ149">
        <f t="shared" si="136"/>
        <v>0</v>
      </c>
      <c r="BK149">
        <f t="shared" si="152"/>
        <v>0</v>
      </c>
      <c r="BM149">
        <f t="shared" si="153"/>
        <v>2.892791779816565</v>
      </c>
      <c r="BN149">
        <f t="shared" si="137"/>
        <v>-168.72731477978098</v>
      </c>
      <c r="BQ149" s="75">
        <f t="shared" si="154"/>
        <v>21.691870282271207</v>
      </c>
      <c r="BR149" s="80"/>
      <c r="BS149" s="80"/>
      <c r="BT149" s="80">
        <v>2454.7089999999998</v>
      </c>
      <c r="BU149" s="80">
        <v>7.6423899999999998</v>
      </c>
      <c r="BV149" s="80">
        <v>-251.97399999999999</v>
      </c>
      <c r="BW149" s="84"/>
      <c r="BY149" s="80"/>
      <c r="BZ149" s="80"/>
      <c r="CA149" s="80"/>
      <c r="CC149" s="80"/>
    </row>
    <row r="150" spans="1:81">
      <c r="A150">
        <f t="shared" si="106"/>
        <v>58000</v>
      </c>
      <c r="B150">
        <f t="shared" si="138"/>
        <v>58</v>
      </c>
      <c r="C150">
        <f t="shared" si="107"/>
        <v>1.0022946350738995</v>
      </c>
      <c r="D150">
        <f t="shared" si="108"/>
        <v>6.7679477785931683E-2</v>
      </c>
      <c r="F150">
        <f t="shared" si="109"/>
        <v>0.15164104330463266</v>
      </c>
      <c r="G150">
        <f t="shared" si="110"/>
        <v>0.12820233560393887</v>
      </c>
      <c r="H150">
        <f t="shared" si="111"/>
        <v>-3.0133903143960614</v>
      </c>
      <c r="J150">
        <f t="shared" si="112"/>
        <v>9</v>
      </c>
      <c r="M150">
        <f t="shared" si="113"/>
        <v>7.2771049806387184E-2</v>
      </c>
      <c r="N150">
        <f t="shared" si="114"/>
        <v>-1.5707963250000001</v>
      </c>
      <c r="O150">
        <f t="shared" si="115"/>
        <v>7.5257799063616666</v>
      </c>
      <c r="P150">
        <f t="shared" si="116"/>
        <v>1.4375255774550126</v>
      </c>
      <c r="Q150">
        <f t="shared" si="117"/>
        <v>3.2055593353831662</v>
      </c>
      <c r="R150">
        <f t="shared" si="118"/>
        <v>1.25354310538657</v>
      </c>
      <c r="S150">
        <f t="shared" si="119"/>
        <v>0.99923707278898699</v>
      </c>
      <c r="T150">
        <f t="shared" si="120"/>
        <v>-3.9064670494166981E-2</v>
      </c>
      <c r="U150">
        <f t="shared" si="121"/>
        <v>0.99814918088695548</v>
      </c>
      <c r="V150">
        <f t="shared" si="122"/>
        <v>-6.0850477679143915E-2</v>
      </c>
      <c r="X150">
        <f t="shared" si="139"/>
        <v>7.5866529104253653</v>
      </c>
      <c r="Y150">
        <f t="shared" si="123"/>
        <v>-110.31463702002689</v>
      </c>
      <c r="Z150">
        <f t="shared" si="140"/>
        <v>69.685362979973107</v>
      </c>
      <c r="AC150">
        <v>1</v>
      </c>
      <c r="AD150">
        <f t="shared" si="124"/>
        <v>7.4590457297832007</v>
      </c>
      <c r="AE150">
        <f t="shared" si="125"/>
        <v>-1.5222260793159237E-5</v>
      </c>
      <c r="AF150">
        <f t="shared" si="126"/>
        <v>2.4984960681744006E-4</v>
      </c>
      <c r="AG150">
        <f t="shared" si="141"/>
        <v>29500.78772518607</v>
      </c>
      <c r="AH150">
        <f t="shared" si="142"/>
        <v>-5799.7637171197057</v>
      </c>
      <c r="AJ150">
        <f t="shared" si="127"/>
        <v>55000</v>
      </c>
      <c r="AK150">
        <f t="shared" si="128"/>
        <v>2149.65047872575</v>
      </c>
      <c r="AL150">
        <v>1</v>
      </c>
      <c r="AM150">
        <f t="shared" si="129"/>
        <v>3.04558872020865</v>
      </c>
      <c r="AN150">
        <f t="shared" si="143"/>
        <v>5989.6149563094759</v>
      </c>
      <c r="AO150">
        <f t="shared" si="144"/>
        <v>-16092.253270603416</v>
      </c>
      <c r="AQ150">
        <f t="shared" si="130"/>
        <v>3.3808044611598791</v>
      </c>
      <c r="AR150">
        <f t="shared" si="131"/>
        <v>-103.33766915981286</v>
      </c>
      <c r="AT150">
        <f t="shared" ref="AT150:AT213" si="156">-AR150*AH150+AG150*AQ150</f>
        <v>-499597.66945576295</v>
      </c>
      <c r="AU150">
        <f t="shared" ref="AU150:AU213" si="157">AQ150*AH150+AG150*AR150</f>
        <v>-3068150.5089476579</v>
      </c>
      <c r="AV150">
        <f t="shared" si="145"/>
        <v>-1.7322131290246732</v>
      </c>
      <c r="AW150">
        <f t="shared" si="146"/>
        <v>-1591659.2303117444</v>
      </c>
      <c r="AX150">
        <f t="shared" si="147"/>
        <v>-790196.77497406979</v>
      </c>
      <c r="AY150">
        <f t="shared" si="155"/>
        <v>-2.6807802294341649</v>
      </c>
      <c r="BA150">
        <f t="shared" si="132"/>
        <v>1.7493134316454557</v>
      </c>
      <c r="BB150">
        <f t="shared" si="148"/>
        <v>4.8573526154009956</v>
      </c>
      <c r="BC150">
        <f t="shared" si="149"/>
        <v>0.94856710040949177</v>
      </c>
      <c r="BD150">
        <f t="shared" si="133"/>
        <v>-125.65110849947128</v>
      </c>
      <c r="BF150">
        <f t="shared" si="134"/>
        <v>7.5784461940257568</v>
      </c>
      <c r="BG150">
        <f t="shared" si="135"/>
        <v>-114.42790729603813</v>
      </c>
      <c r="BH150">
        <f t="shared" si="150"/>
        <v>65.572092703961872</v>
      </c>
      <c r="BI150">
        <f t="shared" si="151"/>
        <v>65.572092703961872</v>
      </c>
      <c r="BJ150">
        <f t="shared" si="136"/>
        <v>0</v>
      </c>
      <c r="BK150">
        <f t="shared" si="152"/>
        <v>0</v>
      </c>
      <c r="BM150">
        <f t="shared" si="153"/>
        <v>2.7210935786247608</v>
      </c>
      <c r="BN150">
        <f t="shared" si="137"/>
        <v>-168.77679879656685</v>
      </c>
      <c r="BQ150" s="75">
        <f t="shared" si="154"/>
        <v>21.759313415686133</v>
      </c>
      <c r="BR150" s="80"/>
      <c r="BS150" s="80"/>
      <c r="BT150" s="80">
        <v>2511.886</v>
      </c>
      <c r="BU150" s="80">
        <v>7.45716</v>
      </c>
      <c r="BV150" s="80">
        <v>-252.25200000000001</v>
      </c>
      <c r="BW150" s="84"/>
      <c r="BY150" s="80"/>
      <c r="BZ150" s="80"/>
      <c r="CA150" s="80"/>
      <c r="CC150" s="80"/>
    </row>
    <row r="151" spans="1:81">
      <c r="A151">
        <f t="shared" si="106"/>
        <v>58500</v>
      </c>
      <c r="B151">
        <f t="shared" si="138"/>
        <v>58.5</v>
      </c>
      <c r="C151">
        <f t="shared" si="107"/>
        <v>1.0023343220083951</v>
      </c>
      <c r="D151">
        <f t="shared" si="108"/>
        <v>6.8261118546152161E-2</v>
      </c>
      <c r="F151">
        <f t="shared" si="109"/>
        <v>0.14869939643473615</v>
      </c>
      <c r="G151">
        <f t="shared" si="110"/>
        <v>0.12679151287472479</v>
      </c>
      <c r="H151">
        <f t="shared" si="111"/>
        <v>-3.0148011371252754</v>
      </c>
      <c r="J151">
        <f t="shared" si="112"/>
        <v>9</v>
      </c>
      <c r="M151">
        <f t="shared" si="113"/>
        <v>7.2149075021717204E-2</v>
      </c>
      <c r="N151">
        <f t="shared" si="114"/>
        <v>-1.5707963250000001</v>
      </c>
      <c r="O151">
        <f t="shared" si="115"/>
        <v>7.5895166410097525</v>
      </c>
      <c r="P151">
        <f t="shared" si="116"/>
        <v>1.4386513735595416</v>
      </c>
      <c r="Q151">
        <f t="shared" si="117"/>
        <v>3.2305145570376541</v>
      </c>
      <c r="R151">
        <f t="shared" si="118"/>
        <v>1.2560784570654373</v>
      </c>
      <c r="S151">
        <f t="shared" si="119"/>
        <v>0.99922387754927366</v>
      </c>
      <c r="T151">
        <f t="shared" si="120"/>
        <v>-3.9401087950786305E-2</v>
      </c>
      <c r="U151">
        <f t="shared" si="121"/>
        <v>0.99811722311973394</v>
      </c>
      <c r="V151">
        <f t="shared" si="122"/>
        <v>-6.1373740071875391E-2</v>
      </c>
      <c r="X151">
        <f t="shared" si="139"/>
        <v>7.4825051518779375</v>
      </c>
      <c r="Y151">
        <f t="shared" si="123"/>
        <v>-110.20163335810743</v>
      </c>
      <c r="Z151">
        <f t="shared" si="140"/>
        <v>69.798366641892571</v>
      </c>
      <c r="AC151">
        <v>1</v>
      </c>
      <c r="AD151">
        <f t="shared" si="124"/>
        <v>7.5233478481434011</v>
      </c>
      <c r="AE151">
        <f t="shared" si="125"/>
        <v>-1.5485844827404633E-5</v>
      </c>
      <c r="AF151">
        <f t="shared" si="126"/>
        <v>2.5200348273828001E-4</v>
      </c>
      <c r="AG151">
        <f t="shared" si="141"/>
        <v>29498.898700514164</v>
      </c>
      <c r="AH151">
        <f t="shared" si="142"/>
        <v>-5780.9334697507993</v>
      </c>
      <c r="AJ151">
        <f t="shared" si="127"/>
        <v>55000</v>
      </c>
      <c r="AK151">
        <f t="shared" si="128"/>
        <v>2168.1819483699378</v>
      </c>
      <c r="AL151">
        <v>1</v>
      </c>
      <c r="AM151">
        <f t="shared" si="129"/>
        <v>3.071843795382863</v>
      </c>
      <c r="AN151">
        <f t="shared" si="143"/>
        <v>5908.2973375979063</v>
      </c>
      <c r="AO151">
        <f t="shared" si="144"/>
        <v>-15981.184569407276</v>
      </c>
      <c r="AQ151">
        <f t="shared" si="130"/>
        <v>3.3233203846483428</v>
      </c>
      <c r="AR151">
        <f t="shared" si="131"/>
        <v>-102.45630579851608</v>
      </c>
      <c r="AT151">
        <f t="shared" si="156"/>
        <v>-494258.79600156925</v>
      </c>
      <c r="AU151">
        <f t="shared" si="157"/>
        <v>-3041560.0800216468</v>
      </c>
      <c r="AV151">
        <f t="shared" si="145"/>
        <v>-1.7318899235829481</v>
      </c>
      <c r="AW151">
        <f t="shared" si="146"/>
        <v>-1567067.1990855427</v>
      </c>
      <c r="AX151">
        <f t="shared" si="147"/>
        <v>-774437.28580793319</v>
      </c>
      <c r="AY151">
        <f t="shared" si="155"/>
        <v>-2.6825995571737438</v>
      </c>
      <c r="BA151">
        <f t="shared" si="132"/>
        <v>1.7628622555629219</v>
      </c>
      <c r="BB151">
        <f t="shared" si="148"/>
        <v>4.9243675847724697</v>
      </c>
      <c r="BC151">
        <f t="shared" si="149"/>
        <v>0.95070963359079563</v>
      </c>
      <c r="BD151">
        <f t="shared" si="133"/>
        <v>-125.52835039057555</v>
      </c>
      <c r="BF151">
        <f t="shared" si="134"/>
        <v>7.4756539235143125</v>
      </c>
      <c r="BG151">
        <f t="shared" si="135"/>
        <v>-114.35265781446839</v>
      </c>
      <c r="BH151">
        <f t="shared" si="150"/>
        <v>65.647342185531613</v>
      </c>
      <c r="BI151">
        <f t="shared" si="151"/>
        <v>65.647342185531613</v>
      </c>
      <c r="BJ151">
        <f t="shared" si="136"/>
        <v>0</v>
      </c>
      <c r="BK151">
        <f t="shared" si="152"/>
        <v>0</v>
      </c>
      <c r="BM151">
        <f t="shared" si="153"/>
        <v>2.5512863387418432</v>
      </c>
      <c r="BN151">
        <f t="shared" si="137"/>
        <v>-168.82430742389283</v>
      </c>
      <c r="BQ151" s="75">
        <f t="shared" si="154"/>
        <v>21.826328385057607</v>
      </c>
      <c r="BR151" s="80"/>
      <c r="BS151" s="80"/>
      <c r="BT151" s="80">
        <v>2570.3960000000002</v>
      </c>
      <c r="BU151" s="80">
        <v>7.31271</v>
      </c>
      <c r="BV151" s="80">
        <v>-251.702</v>
      </c>
      <c r="BW151" s="84"/>
      <c r="BY151" s="80"/>
      <c r="BZ151" s="80"/>
      <c r="CA151" s="80"/>
      <c r="CC151" s="80"/>
    </row>
    <row r="152" spans="1:81">
      <c r="A152">
        <f t="shared" si="106"/>
        <v>59000</v>
      </c>
      <c r="B152">
        <f t="shared" si="138"/>
        <v>59</v>
      </c>
      <c r="C152">
        <f t="shared" si="107"/>
        <v>1.0023743480116611</v>
      </c>
      <c r="D152">
        <f t="shared" si="108"/>
        <v>6.8842713051897916E-2</v>
      </c>
      <c r="F152">
        <f t="shared" si="109"/>
        <v>0.14584577183907016</v>
      </c>
      <c r="G152">
        <f t="shared" si="110"/>
        <v>0.12541393430756073</v>
      </c>
      <c r="H152">
        <f t="shared" si="111"/>
        <v>-3.0161787156924396</v>
      </c>
      <c r="J152">
        <f t="shared" si="112"/>
        <v>9</v>
      </c>
      <c r="M152">
        <f t="shared" si="113"/>
        <v>7.1537642182550112E-2</v>
      </c>
      <c r="N152">
        <f t="shared" si="114"/>
        <v>-1.5707963250000001</v>
      </c>
      <c r="O152">
        <f t="shared" si="115"/>
        <v>7.6532628345158837</v>
      </c>
      <c r="P152">
        <f t="shared" si="116"/>
        <v>1.4397584168985982</v>
      </c>
      <c r="Q152">
        <f t="shared" si="117"/>
        <v>3.2554902260254179</v>
      </c>
      <c r="R152">
        <f t="shared" si="118"/>
        <v>1.2585749228550329</v>
      </c>
      <c r="S152">
        <f t="shared" si="119"/>
        <v>0.99921056957517762</v>
      </c>
      <c r="T152">
        <f t="shared" si="120"/>
        <v>-3.9737496484453939E-2</v>
      </c>
      <c r="U152">
        <f t="shared" si="121"/>
        <v>0.99808499414592711</v>
      </c>
      <c r="V152">
        <f t="shared" si="122"/>
        <v>-6.1896968815818292E-2</v>
      </c>
      <c r="X152">
        <f t="shared" si="139"/>
        <v>7.3797697694250299</v>
      </c>
      <c r="Y152">
        <f t="shared" si="123"/>
        <v>-110.0900276086694</v>
      </c>
      <c r="Z152">
        <f t="shared" si="140"/>
        <v>69.909972391330598</v>
      </c>
      <c r="AC152">
        <v>1</v>
      </c>
      <c r="AD152">
        <f t="shared" si="124"/>
        <v>7.5876499665036015</v>
      </c>
      <c r="AE152">
        <f t="shared" si="125"/>
        <v>-1.5751691385549136E-5</v>
      </c>
      <c r="AF152">
        <f t="shared" si="126"/>
        <v>2.5415735865912001E-4</v>
      </c>
      <c r="AG152">
        <f t="shared" si="141"/>
        <v>29496.993706066052</v>
      </c>
      <c r="AH152">
        <f t="shared" si="142"/>
        <v>-5762.6800553267476</v>
      </c>
      <c r="AJ152">
        <f t="shared" si="127"/>
        <v>55000</v>
      </c>
      <c r="AK152">
        <f t="shared" si="128"/>
        <v>2186.7134180141252</v>
      </c>
      <c r="AL152">
        <v>1</v>
      </c>
      <c r="AM152">
        <f t="shared" si="129"/>
        <v>3.0980988705570756</v>
      </c>
      <c r="AN152">
        <f t="shared" si="143"/>
        <v>5828.7782401154882</v>
      </c>
      <c r="AO152">
        <f t="shared" si="144"/>
        <v>-15871.417864415327</v>
      </c>
      <c r="AQ152">
        <f t="shared" si="130"/>
        <v>3.2672895526528718</v>
      </c>
      <c r="AR152">
        <f t="shared" si="131"/>
        <v>-101.58983406063575</v>
      </c>
      <c r="AT152">
        <f t="shared" si="156"/>
        <v>-489054.49119468243</v>
      </c>
      <c r="AU152">
        <f t="shared" si="157"/>
        <v>-3015423.0402269177</v>
      </c>
      <c r="AV152">
        <f t="shared" si="145"/>
        <v>-1.7315807078144816</v>
      </c>
      <c r="AW152">
        <f t="shared" si="146"/>
        <v>-1543008.0343794196</v>
      </c>
      <c r="AX152">
        <f t="shared" si="147"/>
        <v>-759142.90431775595</v>
      </c>
      <c r="AY152">
        <f t="shared" si="155"/>
        <v>-2.6843743977761925</v>
      </c>
      <c r="BA152">
        <f t="shared" si="132"/>
        <v>1.7764293388389327</v>
      </c>
      <c r="BB152">
        <f t="shared" si="148"/>
        <v>4.9909587441043142</v>
      </c>
      <c r="BC152">
        <f t="shared" si="149"/>
        <v>0.95279368996171088</v>
      </c>
      <c r="BD152">
        <f t="shared" si="133"/>
        <v>-125.40894275611831</v>
      </c>
      <c r="BF152">
        <f t="shared" si="134"/>
        <v>7.3742846762783998</v>
      </c>
      <c r="BG152">
        <f t="shared" si="135"/>
        <v>-114.2788567073422</v>
      </c>
      <c r="BH152">
        <f t="shared" si="150"/>
        <v>65.7211432926578</v>
      </c>
      <c r="BI152">
        <f t="shared" si="151"/>
        <v>65.7211432926578</v>
      </c>
      <c r="BJ152">
        <f t="shared" si="136"/>
        <v>0</v>
      </c>
      <c r="BK152">
        <f t="shared" si="152"/>
        <v>0</v>
      </c>
      <c r="BM152">
        <f t="shared" si="153"/>
        <v>2.3833259321740861</v>
      </c>
      <c r="BN152">
        <f t="shared" si="137"/>
        <v>-168.86991395122391</v>
      </c>
      <c r="BQ152" s="75">
        <f t="shared" si="154"/>
        <v>21.89291954438945</v>
      </c>
      <c r="BR152" s="80"/>
      <c r="BS152" s="80"/>
      <c r="BT152" s="80">
        <v>2630.268</v>
      </c>
      <c r="BU152" s="80">
        <v>7.13504</v>
      </c>
      <c r="BV152" s="80">
        <v>-251.40100000000001</v>
      </c>
      <c r="BW152" s="84"/>
      <c r="BY152" s="80"/>
      <c r="BZ152" s="80"/>
      <c r="CA152" s="80"/>
      <c r="CC152" s="80"/>
    </row>
    <row r="153" spans="1:81">
      <c r="A153">
        <f t="shared" si="106"/>
        <v>59500</v>
      </c>
      <c r="B153">
        <f t="shared" si="138"/>
        <v>59.5</v>
      </c>
      <c r="C153">
        <f t="shared" si="107"/>
        <v>1.0024147130430812</v>
      </c>
      <c r="D153">
        <f t="shared" si="108"/>
        <v>6.9424260915282254E-2</v>
      </c>
      <c r="F153">
        <f t="shared" si="109"/>
        <v>0.14307657956220776</v>
      </c>
      <c r="G153">
        <f t="shared" si="110"/>
        <v>0.12406838495890599</v>
      </c>
      <c r="H153">
        <f t="shared" si="111"/>
        <v>-3.0175242650410943</v>
      </c>
      <c r="J153">
        <f t="shared" si="112"/>
        <v>9</v>
      </c>
      <c r="M153">
        <f t="shared" si="113"/>
        <v>7.09364855255539E-2</v>
      </c>
      <c r="N153">
        <f t="shared" si="114"/>
        <v>-1.5707963250000001</v>
      </c>
      <c r="O153">
        <f t="shared" si="115"/>
        <v>7.717018252476243</v>
      </c>
      <c r="P153">
        <f t="shared" si="116"/>
        <v>1.4408471695117142</v>
      </c>
      <c r="Q153">
        <f t="shared" si="117"/>
        <v>3.2804858753249748</v>
      </c>
      <c r="R153">
        <f t="shared" si="118"/>
        <v>1.2610333601498931</v>
      </c>
      <c r="S153">
        <f t="shared" si="119"/>
        <v>0.99919714888023958</v>
      </c>
      <c r="T153">
        <f t="shared" si="120"/>
        <v>-4.0073896019384762E-2</v>
      </c>
      <c r="U153">
        <f t="shared" si="121"/>
        <v>0.99805249404474217</v>
      </c>
      <c r="V153">
        <f t="shared" si="122"/>
        <v>-6.2420163627759102E-2</v>
      </c>
      <c r="X153">
        <f t="shared" si="139"/>
        <v>7.2784085820425339</v>
      </c>
      <c r="Y153">
        <f t="shared" si="123"/>
        <v>-109.97981378650177</v>
      </c>
      <c r="Z153">
        <f t="shared" si="140"/>
        <v>70.020186213498235</v>
      </c>
      <c r="AC153">
        <v>1</v>
      </c>
      <c r="AD153">
        <f t="shared" si="124"/>
        <v>7.6519520848638001</v>
      </c>
      <c r="AE153">
        <f t="shared" si="125"/>
        <v>-1.6019800467592736E-5</v>
      </c>
      <c r="AF153">
        <f t="shared" si="126"/>
        <v>2.5631123457996001E-4</v>
      </c>
      <c r="AG153">
        <f t="shared" si="141"/>
        <v>29495.072748076236</v>
      </c>
      <c r="AH153">
        <f t="shared" si="142"/>
        <v>-5744.9888320909477</v>
      </c>
      <c r="AJ153">
        <f t="shared" si="127"/>
        <v>55000</v>
      </c>
      <c r="AK153">
        <f t="shared" si="128"/>
        <v>2205.244887658313</v>
      </c>
      <c r="AL153">
        <v>1</v>
      </c>
      <c r="AM153">
        <f t="shared" si="129"/>
        <v>3.1243539457312877</v>
      </c>
      <c r="AN153">
        <f t="shared" si="143"/>
        <v>5751.0070067535962</v>
      </c>
      <c r="AO153">
        <f t="shared" si="144"/>
        <v>-15762.936545820568</v>
      </c>
      <c r="AQ153">
        <f t="shared" si="130"/>
        <v>3.2126634055371213</v>
      </c>
      <c r="AR153">
        <f t="shared" si="131"/>
        <v>-100.73788007572475</v>
      </c>
      <c r="AT153">
        <f t="shared" si="156"/>
        <v>-483980.25514215609</v>
      </c>
      <c r="AU153">
        <f t="shared" si="157"/>
        <v>-2989727.8167065592</v>
      </c>
      <c r="AV153">
        <f t="shared" si="145"/>
        <v>-1.7312851384625982</v>
      </c>
      <c r="AW153">
        <f t="shared" si="146"/>
        <v>-1519467.1932450344</v>
      </c>
      <c r="AX153">
        <f t="shared" si="147"/>
        <v>-744296.39657048718</v>
      </c>
      <c r="AY153">
        <f t="shared" si="155"/>
        <v>-2.6861057190216675</v>
      </c>
      <c r="BA153">
        <f t="shared" si="132"/>
        <v>1.790014385369511</v>
      </c>
      <c r="BB153">
        <f t="shared" si="148"/>
        <v>5.0571304236369121</v>
      </c>
      <c r="BC153">
        <f t="shared" si="149"/>
        <v>0.95482058055906927</v>
      </c>
      <c r="BD153">
        <f t="shared" si="133"/>
        <v>-125.29281047922223</v>
      </c>
      <c r="BF153">
        <f t="shared" si="134"/>
        <v>7.2743002452656942</v>
      </c>
      <c r="BG153">
        <f t="shared" si="135"/>
        <v>-114.20649849114385</v>
      </c>
      <c r="BH153">
        <f t="shared" si="150"/>
        <v>65.793501508856153</v>
      </c>
      <c r="BI153">
        <f t="shared" si="151"/>
        <v>65.793501508856153</v>
      </c>
      <c r="BJ153">
        <f t="shared" si="136"/>
        <v>0</v>
      </c>
      <c r="BK153">
        <f t="shared" si="152"/>
        <v>0</v>
      </c>
      <c r="BM153">
        <f t="shared" si="153"/>
        <v>2.2171698216287834</v>
      </c>
      <c r="BN153">
        <f t="shared" si="137"/>
        <v>-168.91368801192161</v>
      </c>
      <c r="BQ153" s="75">
        <f t="shared" si="154"/>
        <v>21.959091223922048</v>
      </c>
      <c r="BR153" s="80"/>
      <c r="BS153" s="80"/>
      <c r="BT153" s="80">
        <v>2691.5349999999999</v>
      </c>
      <c r="BU153" s="80">
        <v>6.8809300000000002</v>
      </c>
      <c r="BV153" s="80">
        <v>-251.244</v>
      </c>
      <c r="BW153" s="84"/>
      <c r="BY153" s="80"/>
      <c r="BZ153" s="80"/>
      <c r="CA153" s="80"/>
      <c r="CC153" s="80"/>
    </row>
    <row r="154" spans="1:81">
      <c r="A154">
        <f t="shared" si="106"/>
        <v>60000</v>
      </c>
      <c r="B154">
        <f t="shared" si="138"/>
        <v>60</v>
      </c>
      <c r="C154">
        <f t="shared" si="107"/>
        <v>1.0024554170617008</v>
      </c>
      <c r="D154">
        <f t="shared" si="108"/>
        <v>7.0005761748606829E-2</v>
      </c>
      <c r="F154">
        <f t="shared" si="109"/>
        <v>0.14038841560984344</v>
      </c>
      <c r="G154">
        <f t="shared" si="110"/>
        <v>0.12275370972465149</v>
      </c>
      <c r="H154">
        <f t="shared" si="111"/>
        <v>-3.0188389402753488</v>
      </c>
      <c r="J154">
        <f t="shared" si="112"/>
        <v>9</v>
      </c>
      <c r="M154">
        <f t="shared" si="113"/>
        <v>7.0345348146174283E-2</v>
      </c>
      <c r="N154">
        <f t="shared" si="114"/>
        <v>-1.5707963250000001</v>
      </c>
      <c r="O154">
        <f t="shared" si="115"/>
        <v>7.7807826681364176</v>
      </c>
      <c r="P154">
        <f t="shared" si="116"/>
        <v>1.4419180784693115</v>
      </c>
      <c r="Q154">
        <f t="shared" si="117"/>
        <v>3.3055010516729704</v>
      </c>
      <c r="R154">
        <f t="shared" si="118"/>
        <v>1.2634546022603923</v>
      </c>
      <c r="S154">
        <f t="shared" si="119"/>
        <v>0.99918361547811352</v>
      </c>
      <c r="T154">
        <f t="shared" si="120"/>
        <v>-4.0410286479805838E-2</v>
      </c>
      <c r="U154">
        <f t="shared" si="121"/>
        <v>0.99801972289604024</v>
      </c>
      <c r="V154">
        <f t="shared" si="122"/>
        <v>-6.2943324224595379E-2</v>
      </c>
      <c r="X154">
        <f t="shared" si="139"/>
        <v>7.1783848968079669</v>
      </c>
      <c r="Y154">
        <f t="shared" si="123"/>
        <v>-109.87098471543061</v>
      </c>
      <c r="Z154">
        <f t="shared" si="140"/>
        <v>70.129015284569391</v>
      </c>
      <c r="AC154">
        <v>1</v>
      </c>
      <c r="AD154">
        <f t="shared" si="124"/>
        <v>7.7162542032240005</v>
      </c>
      <c r="AE154">
        <f t="shared" si="125"/>
        <v>-1.6290172073535445E-5</v>
      </c>
      <c r="AF154">
        <f t="shared" si="126"/>
        <v>2.5846511050080001E-4</v>
      </c>
      <c r="AG154">
        <f t="shared" si="141"/>
        <v>29493.135832830234</v>
      </c>
      <c r="AH154">
        <f t="shared" si="142"/>
        <v>-5727.8456455358846</v>
      </c>
      <c r="AJ154">
        <f t="shared" si="127"/>
        <v>55000</v>
      </c>
      <c r="AK154">
        <f t="shared" si="128"/>
        <v>2223.7763573025004</v>
      </c>
      <c r="AL154">
        <v>1</v>
      </c>
      <c r="AM154">
        <f t="shared" si="129"/>
        <v>3.1506090209054998</v>
      </c>
      <c r="AN154">
        <f t="shared" si="143"/>
        <v>5674.9346740805095</v>
      </c>
      <c r="AO154">
        <f t="shared" si="144"/>
        <v>-15655.724019904963</v>
      </c>
      <c r="AQ154">
        <f t="shared" si="130"/>
        <v>3.1593953944368258</v>
      </c>
      <c r="AR154">
        <f t="shared" si="131"/>
        <v>-99.900082372092442</v>
      </c>
      <c r="AT154">
        <f t="shared" si="156"/>
        <v>-479031.77428592235</v>
      </c>
      <c r="AU154">
        <f t="shared" si="157"/>
        <v>-2964463.2282636026</v>
      </c>
      <c r="AV154">
        <f t="shared" si="145"/>
        <v>-1.7310028832776991</v>
      </c>
      <c r="AW154">
        <f t="shared" si="146"/>
        <v>-1496430.5953409178</v>
      </c>
      <c r="AX154">
        <f t="shared" si="147"/>
        <v>-729881.28498476045</v>
      </c>
      <c r="AY154">
        <f t="shared" si="155"/>
        <v>-2.6877944606765878</v>
      </c>
      <c r="BA154">
        <f t="shared" si="132"/>
        <v>1.8036171091496211</v>
      </c>
      <c r="BB154">
        <f t="shared" si="148"/>
        <v>5.122886927612238</v>
      </c>
      <c r="BC154">
        <f t="shared" si="149"/>
        <v>0.95679157739888865</v>
      </c>
      <c r="BD154">
        <f t="shared" si="133"/>
        <v>-125.17988067873792</v>
      </c>
      <c r="BF154">
        <f t="shared" si="134"/>
        <v>7.1756639112740732</v>
      </c>
      <c r="BG154">
        <f t="shared" si="135"/>
        <v>-114.13557648952786</v>
      </c>
      <c r="BH154">
        <f t="shared" si="150"/>
        <v>65.864423510472136</v>
      </c>
      <c r="BI154">
        <f t="shared" si="151"/>
        <v>65.864423510472136</v>
      </c>
      <c r="BJ154">
        <f t="shared" si="136"/>
        <v>0</v>
      </c>
      <c r="BK154">
        <f t="shared" si="152"/>
        <v>0</v>
      </c>
      <c r="BM154">
        <f t="shared" si="153"/>
        <v>2.0527769836618357</v>
      </c>
      <c r="BN154">
        <f t="shared" si="137"/>
        <v>-168.95569581078993</v>
      </c>
      <c r="BQ154" s="75">
        <f t="shared" si="154"/>
        <v>22.024847727897374</v>
      </c>
      <c r="BR154" s="80"/>
      <c r="BS154" s="80"/>
      <c r="BT154" s="80">
        <v>2754.2289999999998</v>
      </c>
      <c r="BU154" s="80">
        <v>6.7009400000000001</v>
      </c>
      <c r="BV154" s="80">
        <v>-251.05099999999999</v>
      </c>
      <c r="BW154" s="84"/>
      <c r="BY154" s="80"/>
      <c r="BZ154" s="80"/>
      <c r="CA154" s="80"/>
      <c r="CC154" s="80"/>
    </row>
    <row r="155" spans="1:81">
      <c r="A155">
        <f t="shared" si="106"/>
        <v>60500</v>
      </c>
      <c r="B155">
        <f t="shared" si="138"/>
        <v>60.5</v>
      </c>
      <c r="C155">
        <f t="shared" si="107"/>
        <v>1.0024964600262292</v>
      </c>
      <c r="D155">
        <f t="shared" si="108"/>
        <v>7.0587215164363296E-2</v>
      </c>
      <c r="F155">
        <f t="shared" si="109"/>
        <v>0.13777805026840031</v>
      </c>
      <c r="G155">
        <f t="shared" si="110"/>
        <v>0.12146880966277949</v>
      </c>
      <c r="H155">
        <f t="shared" si="111"/>
        <v>-3.0201238403372206</v>
      </c>
      <c r="J155">
        <f t="shared" si="112"/>
        <v>9</v>
      </c>
      <c r="M155">
        <f t="shared" si="113"/>
        <v>6.9763981632569541E-2</v>
      </c>
      <c r="N155">
        <f t="shared" si="114"/>
        <v>-1.5707963250000001</v>
      </c>
      <c r="O155">
        <f t="shared" si="115"/>
        <v>7.8445558620831992</v>
      </c>
      <c r="P155">
        <f t="shared" si="116"/>
        <v>1.4429715764705837</v>
      </c>
      <c r="Q155">
        <f t="shared" si="117"/>
        <v>3.3305353150747963</v>
      </c>
      <c r="R155">
        <f t="shared" si="118"/>
        <v>1.2658394592162059</v>
      </c>
      <c r="S155">
        <f t="shared" si="119"/>
        <v>0.99916996938256752</v>
      </c>
      <c r="T155">
        <f t="shared" si="120"/>
        <v>-4.0746667789956517E-2</v>
      </c>
      <c r="U155">
        <f t="shared" si="121"/>
        <v>0.99798668078033248</v>
      </c>
      <c r="V155">
        <f t="shared" si="122"/>
        <v>-6.346645032333656E-2</v>
      </c>
      <c r="X155">
        <f t="shared" si="139"/>
        <v>7.0796634346330674</v>
      </c>
      <c r="Y155">
        <f t="shared" si="123"/>
        <v>-109.76353215872369</v>
      </c>
      <c r="Z155">
        <f t="shared" si="140"/>
        <v>70.236467841276308</v>
      </c>
      <c r="AC155">
        <v>1</v>
      </c>
      <c r="AD155">
        <f t="shared" si="124"/>
        <v>7.7805563215842017</v>
      </c>
      <c r="AE155">
        <f t="shared" si="125"/>
        <v>-1.6562806203377256E-5</v>
      </c>
      <c r="AF155">
        <f t="shared" si="126"/>
        <v>2.6061898642164001E-4</v>
      </c>
      <c r="AG155">
        <f t="shared" si="141"/>
        <v>29491.182966664499</v>
      </c>
      <c r="AH155">
        <f t="shared" si="142"/>
        <v>-5711.2368082696721</v>
      </c>
      <c r="AJ155">
        <f t="shared" si="127"/>
        <v>55000</v>
      </c>
      <c r="AK155">
        <f t="shared" si="128"/>
        <v>2242.3078269466878</v>
      </c>
      <c r="AL155">
        <v>1</v>
      </c>
      <c r="AM155">
        <f t="shared" si="129"/>
        <v>3.1768640960797132</v>
      </c>
      <c r="AN155">
        <f t="shared" si="143"/>
        <v>5600.5139084737384</v>
      </c>
      <c r="AO155">
        <f t="shared" si="144"/>
        <v>-15549.763728478596</v>
      </c>
      <c r="AQ155">
        <f t="shared" si="130"/>
        <v>3.1074408821982011</v>
      </c>
      <c r="AR155">
        <f t="shared" si="131"/>
        <v>-99.076091367566335</v>
      </c>
      <c r="AT155">
        <f t="shared" si="156"/>
        <v>-474204.91222293343</v>
      </c>
      <c r="AU155">
        <f t="shared" si="157"/>
        <v>-2939618.4688888001</v>
      </c>
      <c r="AV155">
        <f t="shared" si="145"/>
        <v>-1.7307336205827755</v>
      </c>
      <c r="AW155">
        <f t="shared" si="146"/>
        <v>-1473884.6069054254</v>
      </c>
      <c r="AX155">
        <f t="shared" si="147"/>
        <v>-715881.81031893799</v>
      </c>
      <c r="AY155">
        <f t="shared" si="155"/>
        <v>-2.6894415354592511</v>
      </c>
      <c r="BA155">
        <f t="shared" si="132"/>
        <v>1.8172372338724392</v>
      </c>
      <c r="BB155">
        <f t="shared" si="148"/>
        <v>5.1882325322517087</v>
      </c>
      <c r="BC155">
        <f t="shared" si="149"/>
        <v>0.95870791487647566</v>
      </c>
      <c r="BD155">
        <f t="shared" si="133"/>
        <v>-125.07008262902397</v>
      </c>
      <c r="BF155">
        <f t="shared" si="134"/>
        <v>7.0783403686835111</v>
      </c>
      <c r="BG155">
        <f t="shared" si="135"/>
        <v>-114.06608296379501</v>
      </c>
      <c r="BH155">
        <f t="shared" si="150"/>
        <v>65.933917036204988</v>
      </c>
      <c r="BI155">
        <f t="shared" si="151"/>
        <v>65.933917036204988</v>
      </c>
      <c r="BJ155">
        <f t="shared" si="136"/>
        <v>0</v>
      </c>
      <c r="BK155">
        <f t="shared" si="152"/>
        <v>0</v>
      </c>
      <c r="BM155">
        <f t="shared" si="153"/>
        <v>1.8901078364318016</v>
      </c>
      <c r="BN155">
        <f t="shared" si="137"/>
        <v>-168.99600033477103</v>
      </c>
      <c r="BQ155" s="75">
        <f t="shared" si="154"/>
        <v>22.090193332536849</v>
      </c>
      <c r="BR155" s="80"/>
      <c r="BS155" s="80"/>
      <c r="BT155" s="80">
        <v>2818.3829999999998</v>
      </c>
      <c r="BU155" s="80">
        <v>6.5356199999999998</v>
      </c>
      <c r="BV155" s="80">
        <v>-250.48</v>
      </c>
      <c r="BW155" s="84"/>
      <c r="BY155" s="80"/>
      <c r="BZ155" s="80"/>
      <c r="CA155" s="80"/>
      <c r="CC155" s="80"/>
    </row>
    <row r="156" spans="1:81">
      <c r="A156">
        <f t="shared" si="106"/>
        <v>61000</v>
      </c>
      <c r="B156">
        <f t="shared" si="138"/>
        <v>61</v>
      </c>
      <c r="C156">
        <f t="shared" si="107"/>
        <v>1.0025378418950375</v>
      </c>
      <c r="D156">
        <f t="shared" si="108"/>
        <v>7.1168620775234726E-2</v>
      </c>
      <c r="F156">
        <f t="shared" si="109"/>
        <v>0.13524241728545033</v>
      </c>
      <c r="G156">
        <f t="shared" si="110"/>
        <v>0.12021263858499312</v>
      </c>
      <c r="H156">
        <f t="shared" si="111"/>
        <v>-3.0213800114150069</v>
      </c>
      <c r="J156">
        <f t="shared" si="112"/>
        <v>9</v>
      </c>
      <c r="M156">
        <f t="shared" si="113"/>
        <v>6.9192145717548476E-2</v>
      </c>
      <c r="N156">
        <f t="shared" si="114"/>
        <v>-1.5707963250000001</v>
      </c>
      <c r="O156">
        <f t="shared" si="115"/>
        <v>7.9083376219510839</v>
      </c>
      <c r="P156">
        <f t="shared" si="116"/>
        <v>1.4440080824131152</v>
      </c>
      <c r="Q156">
        <f t="shared" si="117"/>
        <v>3.3555882383353346</v>
      </c>
      <c r="R156">
        <f t="shared" si="118"/>
        <v>1.2681887185395209</v>
      </c>
      <c r="S156">
        <f t="shared" si="119"/>
        <v>0.99915621060748305</v>
      </c>
      <c r="T156">
        <f t="shared" si="120"/>
        <v>-4.1083039874088588E-2</v>
      </c>
      <c r="U156">
        <f t="shared" si="121"/>
        <v>0.99795336777878341</v>
      </c>
      <c r="V156">
        <f t="shared" si="122"/>
        <v>-6.3989541641104999E-2</v>
      </c>
      <c r="X156">
        <f t="shared" si="139"/>
        <v>6.9822102604732752</v>
      </c>
      <c r="Y156">
        <f t="shared" si="123"/>
        <v>-109.65744693743771</v>
      </c>
      <c r="Z156">
        <f t="shared" si="140"/>
        <v>70.342553062562288</v>
      </c>
      <c r="AC156">
        <v>1</v>
      </c>
      <c r="AD156">
        <f t="shared" si="124"/>
        <v>7.8448584399444004</v>
      </c>
      <c r="AE156">
        <f t="shared" si="125"/>
        <v>-1.6837702857118164E-5</v>
      </c>
      <c r="AF156">
        <f t="shared" si="126"/>
        <v>2.6277286234248001E-4</v>
      </c>
      <c r="AG156">
        <f t="shared" si="141"/>
        <v>29489.214155966405</v>
      </c>
      <c r="AH156">
        <f t="shared" si="142"/>
        <v>-5695.1490808727813</v>
      </c>
      <c r="AJ156">
        <f t="shared" si="127"/>
        <v>55000</v>
      </c>
      <c r="AK156">
        <f t="shared" si="128"/>
        <v>2260.8392965908752</v>
      </c>
      <c r="AL156">
        <v>1</v>
      </c>
      <c r="AM156">
        <f t="shared" si="129"/>
        <v>3.2031191712539258</v>
      </c>
      <c r="AN156">
        <f t="shared" si="143"/>
        <v>5527.6989448424893</v>
      </c>
      <c r="AO156">
        <f t="shared" si="144"/>
        <v>-15445.039166554199</v>
      </c>
      <c r="AQ156">
        <f t="shared" si="130"/>
        <v>3.0567570499618215</v>
      </c>
      <c r="AR156">
        <f t="shared" si="131"/>
        <v>-98.265568885122676</v>
      </c>
      <c r="AT156">
        <f t="shared" si="156"/>
        <v>-469495.70104846312</v>
      </c>
      <c r="AU156">
        <f t="shared" si="157"/>
        <v>-2915183.0921147931</v>
      </c>
      <c r="AV156">
        <f t="shared" si="145"/>
        <v>-1.7304770388591699</v>
      </c>
      <c r="AW156">
        <f t="shared" si="146"/>
        <v>-1451816.0252803371</v>
      </c>
      <c r="AX156">
        <f t="shared" si="147"/>
        <v>-702282.89579732006</v>
      </c>
      <c r="AY156">
        <f t="shared" si="155"/>
        <v>-2.6910478299672405</v>
      </c>
      <c r="BA156">
        <f t="shared" si="132"/>
        <v>1.830874492546914</v>
      </c>
      <c r="BB156">
        <f t="shared" si="148"/>
        <v>5.2531714839310419</v>
      </c>
      <c r="BC156">
        <f t="shared" si="149"/>
        <v>0.96057079110807053</v>
      </c>
      <c r="BD156">
        <f t="shared" si="133"/>
        <v>-124.96334768307639</v>
      </c>
      <c r="BF156">
        <f t="shared" si="134"/>
        <v>6.9822956556648208</v>
      </c>
      <c r="BG156">
        <f t="shared" si="135"/>
        <v>-113.99800923130699</v>
      </c>
      <c r="BH156">
        <f t="shared" si="150"/>
        <v>66.001990768693005</v>
      </c>
      <c r="BI156">
        <f t="shared" si="151"/>
        <v>66.001990768693005</v>
      </c>
      <c r="BJ156">
        <f t="shared" si="136"/>
        <v>0</v>
      </c>
      <c r="BK156">
        <f t="shared" si="152"/>
        <v>0</v>
      </c>
      <c r="BM156">
        <f t="shared" si="153"/>
        <v>1.7291241717337784</v>
      </c>
      <c r="BN156">
        <f t="shared" si="137"/>
        <v>-169.03466154823064</v>
      </c>
      <c r="BQ156" s="75">
        <f t="shared" si="154"/>
        <v>22.155132284216176</v>
      </c>
      <c r="BR156" s="80"/>
      <c r="BS156" s="80"/>
      <c r="BT156" s="80">
        <v>2884.0320000000002</v>
      </c>
      <c r="BU156" s="80">
        <v>6.3265200000000004</v>
      </c>
      <c r="BV156" s="80">
        <v>-250.202</v>
      </c>
      <c r="BW156" s="84"/>
      <c r="BY156" s="80"/>
      <c r="BZ156" s="80"/>
      <c r="CA156" s="80"/>
      <c r="CC156" s="80"/>
    </row>
    <row r="157" spans="1:81">
      <c r="A157">
        <f t="shared" si="106"/>
        <v>61500</v>
      </c>
      <c r="B157">
        <f t="shared" si="138"/>
        <v>61.5</v>
      </c>
      <c r="C157">
        <f t="shared" si="107"/>
        <v>1.0025795626261607</v>
      </c>
      <c r="D157">
        <f t="shared" si="108"/>
        <v>7.1749978194097119E-2</v>
      </c>
      <c r="F157">
        <f t="shared" si="109"/>
        <v>0.13277860383831158</v>
      </c>
      <c r="G157">
        <f t="shared" si="110"/>
        <v>0.11898419989462025</v>
      </c>
      <c r="H157">
        <f t="shared" si="111"/>
        <v>-3.02260845010538</v>
      </c>
      <c r="J157">
        <f t="shared" si="112"/>
        <v>9</v>
      </c>
      <c r="M157">
        <f t="shared" si="113"/>
        <v>6.8629607947487098E-2</v>
      </c>
      <c r="N157">
        <f t="shared" si="114"/>
        <v>-1.5707963250000001</v>
      </c>
      <c r="O157">
        <f t="shared" si="115"/>
        <v>7.9721277421426935</v>
      </c>
      <c r="P157">
        <f t="shared" si="116"/>
        <v>1.4450280019357746</v>
      </c>
      <c r="Q157">
        <f t="shared" si="117"/>
        <v>3.3806594066089093</v>
      </c>
      <c r="R157">
        <f t="shared" si="118"/>
        <v>1.2705031459892182</v>
      </c>
      <c r="S157">
        <f t="shared" si="119"/>
        <v>0.99914233916685513</v>
      </c>
      <c r="T157">
        <f t="shared" si="120"/>
        <v>-4.1419402656466327E-2</v>
      </c>
      <c r="U157">
        <f t="shared" si="121"/>
        <v>0.99791978397320724</v>
      </c>
      <c r="V157">
        <f t="shared" si="122"/>
        <v>-6.4512597895136761E-2</v>
      </c>
      <c r="X157">
        <f t="shared" si="139"/>
        <v>6.8859927176992617</v>
      </c>
      <c r="Y157">
        <f t="shared" si="123"/>
        <v>-109.55271903784873</v>
      </c>
      <c r="Z157">
        <f t="shared" si="140"/>
        <v>70.447280962151268</v>
      </c>
      <c r="AC157">
        <v>1</v>
      </c>
      <c r="AD157">
        <f t="shared" si="124"/>
        <v>7.9091605583046007</v>
      </c>
      <c r="AE157">
        <f t="shared" si="125"/>
        <v>-1.711486203475818E-5</v>
      </c>
      <c r="AF157">
        <f t="shared" si="126"/>
        <v>2.6492673826332002E-4</v>
      </c>
      <c r="AG157">
        <f t="shared" si="141"/>
        <v>29487.229407174236</v>
      </c>
      <c r="AH157">
        <f t="shared" si="142"/>
        <v>-5679.5696536885871</v>
      </c>
      <c r="AJ157">
        <f t="shared" si="127"/>
        <v>55000</v>
      </c>
      <c r="AK157">
        <f t="shared" si="128"/>
        <v>2279.3707662350625</v>
      </c>
      <c r="AL157">
        <v>1</v>
      </c>
      <c r="AM157">
        <f t="shared" si="129"/>
        <v>3.2293742464281379</v>
      </c>
      <c r="AN157">
        <f t="shared" si="143"/>
        <v>5456.4455278340802</v>
      </c>
      <c r="AO157">
        <f t="shared" si="144"/>
        <v>-15341.533898390304</v>
      </c>
      <c r="AQ157">
        <f t="shared" si="130"/>
        <v>3.0073028090273737</v>
      </c>
      <c r="AR157">
        <f t="shared" si="131"/>
        <v>-97.468187691981697</v>
      </c>
      <c r="AT157">
        <f t="shared" si="156"/>
        <v>-464900.33318877302</v>
      </c>
      <c r="AU157">
        <f t="shared" si="157"/>
        <v>-2891146.9961485853</v>
      </c>
      <c r="AV157">
        <f t="shared" si="145"/>
        <v>-1.7302328363515012</v>
      </c>
      <c r="AW157">
        <f t="shared" si="146"/>
        <v>-1430212.0639706594</v>
      </c>
      <c r="AX157">
        <f t="shared" si="147"/>
        <v>-689070.11324215448</v>
      </c>
      <c r="AY157">
        <f t="shared" si="155"/>
        <v>-2.6926142055683049</v>
      </c>
      <c r="BA157">
        <f t="shared" si="132"/>
        <v>1.844528627132652</v>
      </c>
      <c r="BB157">
        <f t="shared" si="148"/>
        <v>5.3177079975374504</v>
      </c>
      <c r="BC157">
        <f t="shared" si="149"/>
        <v>0.96238136921680373</v>
      </c>
      <c r="BD157">
        <f t="shared" si="133"/>
        <v>-124.85960919884866</v>
      </c>
      <c r="BF157">
        <f t="shared" si="134"/>
        <v>6.8874970885504716</v>
      </c>
      <c r="BG157">
        <f t="shared" si="135"/>
        <v>-113.93134577298116</v>
      </c>
      <c r="BH157">
        <f t="shared" si="150"/>
        <v>66.06865422701884</v>
      </c>
      <c r="BI157">
        <f t="shared" si="151"/>
        <v>66.06865422701884</v>
      </c>
      <c r="BJ157">
        <f t="shared" si="136"/>
        <v>0</v>
      </c>
      <c r="BK157">
        <f t="shared" si="152"/>
        <v>0</v>
      </c>
      <c r="BM157">
        <f t="shared" si="153"/>
        <v>1.5697890910130194</v>
      </c>
      <c r="BN157">
        <f t="shared" si="137"/>
        <v>-169.0717365741325</v>
      </c>
      <c r="BQ157" s="75">
        <f t="shared" si="154"/>
        <v>22.219668797822585</v>
      </c>
      <c r="BR157" s="80"/>
      <c r="BS157" s="80"/>
      <c r="BT157" s="80">
        <v>2951.2089999999998</v>
      </c>
      <c r="BU157" s="80">
        <v>6.1830800000000004</v>
      </c>
      <c r="BV157" s="80">
        <v>-249.92599999999999</v>
      </c>
      <c r="BW157" s="84"/>
      <c r="BY157" s="80"/>
      <c r="BZ157" s="80"/>
      <c r="CA157" s="80"/>
      <c r="CC157" s="80"/>
    </row>
    <row r="158" spans="1:81">
      <c r="A158">
        <f t="shared" si="106"/>
        <v>62000</v>
      </c>
      <c r="B158">
        <f t="shared" si="138"/>
        <v>62</v>
      </c>
      <c r="C158">
        <f t="shared" si="107"/>
        <v>1.002621622177297</v>
      </c>
      <c r="D158">
        <f t="shared" si="108"/>
        <v>7.2331287034021016E-2</v>
      </c>
      <c r="F158">
        <f t="shared" si="109"/>
        <v>0.13038384122507451</v>
      </c>
      <c r="G158">
        <f t="shared" si="110"/>
        <v>0.11778254365025835</v>
      </c>
      <c r="H158">
        <f t="shared" si="111"/>
        <v>-3.023810106349742</v>
      </c>
      <c r="J158">
        <f t="shared" si="112"/>
        <v>9</v>
      </c>
      <c r="M158">
        <f t="shared" si="113"/>
        <v>6.8076143367265432E-2</v>
      </c>
      <c r="N158">
        <f t="shared" si="114"/>
        <v>-1.5707963250000001</v>
      </c>
      <c r="O158">
        <f t="shared" si="115"/>
        <v>8.035926023562352</v>
      </c>
      <c r="P158">
        <f t="shared" si="116"/>
        <v>1.4460317279363262</v>
      </c>
      <c r="Q158">
        <f t="shared" si="117"/>
        <v>3.4057484169675512</v>
      </c>
      <c r="R158">
        <f t="shared" si="118"/>
        <v>1.2727834862772043</v>
      </c>
      <c r="S158">
        <f t="shared" si="119"/>
        <v>0.99912835507479247</v>
      </c>
      <c r="T158">
        <f t="shared" si="120"/>
        <v>-4.1755756061366611E-2</v>
      </c>
      <c r="U158">
        <f t="shared" si="121"/>
        <v>0.99788592944606869</v>
      </c>
      <c r="V158">
        <f t="shared" si="122"/>
        <v>-6.5035618802782566E-2</v>
      </c>
      <c r="X158">
        <f t="shared" si="139"/>
        <v>6.7909793663409985</v>
      </c>
      <c r="Y158">
        <f t="shared" si="123"/>
        <v>-109.44933770899327</v>
      </c>
      <c r="Z158">
        <f t="shared" si="140"/>
        <v>70.550662291006731</v>
      </c>
      <c r="AC158">
        <v>1</v>
      </c>
      <c r="AD158">
        <f t="shared" si="124"/>
        <v>7.9734626766648011</v>
      </c>
      <c r="AE158">
        <f t="shared" si="125"/>
        <v>-1.7394283736297295E-5</v>
      </c>
      <c r="AF158">
        <f t="shared" si="126"/>
        <v>2.6708061418416002E-4</v>
      </c>
      <c r="AG158">
        <f t="shared" si="141"/>
        <v>29485.228726777019</v>
      </c>
      <c r="AH158">
        <f t="shared" si="142"/>
        <v>-5664.4861294950124</v>
      </c>
      <c r="AJ158">
        <f t="shared" si="127"/>
        <v>55000</v>
      </c>
      <c r="AK158">
        <f t="shared" si="128"/>
        <v>2297.9022358792504</v>
      </c>
      <c r="AL158">
        <v>1</v>
      </c>
      <c r="AM158">
        <f t="shared" si="129"/>
        <v>3.2556293216023504</v>
      </c>
      <c r="AN158">
        <f t="shared" si="143"/>
        <v>5386.7108554220795</v>
      </c>
      <c r="AO158">
        <f t="shared" si="144"/>
        <v>-15239.231572026552</v>
      </c>
      <c r="AQ158">
        <f t="shared" si="130"/>
        <v>2.9590387176609498</v>
      </c>
      <c r="AR158">
        <f t="shared" si="131"/>
        <v>-96.68363106085387</v>
      </c>
      <c r="AT158">
        <f t="shared" si="156"/>
        <v>-460415.15369179781</v>
      </c>
      <c r="AU158">
        <f t="shared" si="157"/>
        <v>-2867500.4097374287</v>
      </c>
      <c r="AV158">
        <f t="shared" si="145"/>
        <v>-1.7300007206907329</v>
      </c>
      <c r="AW158">
        <f t="shared" si="146"/>
        <v>-1409060.3382259379</v>
      </c>
      <c r="AX158">
        <f t="shared" si="147"/>
        <v>-676229.65108800225</v>
      </c>
      <c r="AY158">
        <f t="shared" si="155"/>
        <v>-2.6941414992563075</v>
      </c>
      <c r="BA158">
        <f t="shared" si="132"/>
        <v>1.8581993881911949</v>
      </c>
      <c r="BB158">
        <f t="shared" si="148"/>
        <v>5.3818462549955441</v>
      </c>
      <c r="BC158">
        <f t="shared" si="149"/>
        <v>0.96414077856557467</v>
      </c>
      <c r="BD158">
        <f t="shared" si="133"/>
        <v>-124.75880246861303</v>
      </c>
      <c r="BF158">
        <f t="shared" si="134"/>
        <v>6.7939132000778653</v>
      </c>
      <c r="BG158">
        <f t="shared" si="135"/>
        <v>-113.86608233089235</v>
      </c>
      <c r="BH158">
        <f t="shared" si="150"/>
        <v>66.133917669107646</v>
      </c>
      <c r="BI158">
        <f t="shared" si="151"/>
        <v>66.133917669107646</v>
      </c>
      <c r="BJ158">
        <f t="shared" si="136"/>
        <v>0</v>
      </c>
      <c r="BK158">
        <f t="shared" si="152"/>
        <v>0</v>
      </c>
      <c r="BM158">
        <f t="shared" si="153"/>
        <v>1.4120669450823231</v>
      </c>
      <c r="BN158">
        <f t="shared" si="137"/>
        <v>-169.10727986227931</v>
      </c>
      <c r="BQ158" s="75">
        <f t="shared" si="154"/>
        <v>22.283807055280679</v>
      </c>
      <c r="BR158" s="80"/>
      <c r="BS158" s="80"/>
      <c r="BT158" s="80">
        <v>3019.9520000000002</v>
      </c>
      <c r="BU158" s="80">
        <v>6.0130600000000003</v>
      </c>
      <c r="BV158" s="80">
        <v>-249.65100000000001</v>
      </c>
      <c r="BW158" s="84"/>
      <c r="BY158" s="80"/>
      <c r="BZ158" s="80"/>
      <c r="CA158" s="80"/>
      <c r="CC158" s="80"/>
    </row>
    <row r="159" spans="1:81">
      <c r="A159">
        <f t="shared" si="106"/>
        <v>62500</v>
      </c>
      <c r="B159">
        <f t="shared" si="138"/>
        <v>62.5</v>
      </c>
      <c r="C159">
        <f t="shared" si="107"/>
        <v>1.0026640205058079</v>
      </c>
      <c r="D159">
        <f t="shared" si="108"/>
        <v>7.2912546908272896E-2</v>
      </c>
      <c r="F159">
        <f t="shared" si="109"/>
        <v>0.12805549621847173</v>
      </c>
      <c r="G159">
        <f t="shared" si="110"/>
        <v>0.11660676383655844</v>
      </c>
      <c r="H159">
        <f t="shared" si="111"/>
        <v>-3.0249858861634418</v>
      </c>
      <c r="J159">
        <f t="shared" si="112"/>
        <v>9</v>
      </c>
      <c r="M159">
        <f t="shared" si="113"/>
        <v>6.7531534220327316E-2</v>
      </c>
      <c r="N159">
        <f t="shared" si="114"/>
        <v>-1.5707963250000001</v>
      </c>
      <c r="O159">
        <f t="shared" si="115"/>
        <v>8.0997322733620827</v>
      </c>
      <c r="P159">
        <f t="shared" si="116"/>
        <v>1.4470196410651119</v>
      </c>
      <c r="Q159">
        <f t="shared" si="117"/>
        <v>3.4308548779867483</v>
      </c>
      <c r="R159">
        <f t="shared" si="118"/>
        <v>1.2750304637580196</v>
      </c>
      <c r="S159">
        <f t="shared" si="119"/>
        <v>0.99911425834551737</v>
      </c>
      <c r="T159">
        <f t="shared" si="120"/>
        <v>-4.2092100013079045E-2</v>
      </c>
      <c r="U159">
        <f t="shared" si="121"/>
        <v>0.99785180428048248</v>
      </c>
      <c r="V159">
        <f t="shared" si="122"/>
        <v>-6.5558604081508681E-2</v>
      </c>
      <c r="X159">
        <f t="shared" si="139"/>
        <v>6.6971399249376642</v>
      </c>
      <c r="Y159">
        <f t="shared" si="123"/>
        <v>-109.3472915512431</v>
      </c>
      <c r="Z159">
        <f t="shared" si="140"/>
        <v>70.652708448756897</v>
      </c>
      <c r="AC159">
        <v>1</v>
      </c>
      <c r="AD159">
        <f t="shared" si="124"/>
        <v>8.0377647950249997</v>
      </c>
      <c r="AE159">
        <f t="shared" si="125"/>
        <v>-1.7675967961735514E-5</v>
      </c>
      <c r="AF159">
        <f t="shared" si="126"/>
        <v>2.6923449010500002E-4</v>
      </c>
      <c r="AG159">
        <f t="shared" si="141"/>
        <v>29483.212121314573</v>
      </c>
      <c r="AH159">
        <f t="shared" si="142"/>
        <v>-5649.8865070079628</v>
      </c>
      <c r="AJ159">
        <f t="shared" si="127"/>
        <v>55000</v>
      </c>
      <c r="AK159">
        <f t="shared" si="128"/>
        <v>2316.4337055234378</v>
      </c>
      <c r="AL159">
        <v>1</v>
      </c>
      <c r="AM159">
        <f t="shared" si="129"/>
        <v>3.281884396776563</v>
      </c>
      <c r="AN159">
        <f t="shared" si="143"/>
        <v>5318.4535247776439</v>
      </c>
      <c r="AO159">
        <f t="shared" si="144"/>
        <v>-15138.115932425626</v>
      </c>
      <c r="AQ159">
        <f t="shared" si="130"/>
        <v>2.9119269025307122</v>
      </c>
      <c r="AR159">
        <f t="shared" si="131"/>
        <v>-95.91159235210533</v>
      </c>
      <c r="AT159">
        <f t="shared" si="156"/>
        <v>-456036.65294673247</v>
      </c>
      <c r="AU159">
        <f t="shared" si="157"/>
        <v>-2844233.878726176</v>
      </c>
      <c r="AV159">
        <f t="shared" si="145"/>
        <v>-1.7297804085344359</v>
      </c>
      <c r="AW159">
        <f t="shared" si="146"/>
        <v>-1388348.851128194</v>
      </c>
      <c r="AX159">
        <f t="shared" si="147"/>
        <v>-663748.28416324919</v>
      </c>
      <c r="AY159">
        <f t="shared" si="155"/>
        <v>-2.6956305244737679</v>
      </c>
      <c r="BA159">
        <f t="shared" si="132"/>
        <v>1.871886534552855</v>
      </c>
      <c r="BB159">
        <f t="shared" si="148"/>
        <v>5.4455904039494136</v>
      </c>
      <c r="BC159">
        <f t="shared" si="149"/>
        <v>0.96585011593933201</v>
      </c>
      <c r="BD159">
        <f t="shared" si="133"/>
        <v>-124.66086465122086</v>
      </c>
      <c r="BF159">
        <f t="shared" si="134"/>
        <v>6.7015136812385663</v>
      </c>
      <c r="BG159">
        <f t="shared" si="135"/>
        <v>-113.80220799690584</v>
      </c>
      <c r="BH159">
        <f t="shared" si="150"/>
        <v>66.197792003094165</v>
      </c>
      <c r="BI159">
        <f t="shared" si="151"/>
        <v>66.197792003094165</v>
      </c>
      <c r="BJ159">
        <f t="shared" si="136"/>
        <v>0</v>
      </c>
      <c r="BK159">
        <f t="shared" si="152"/>
        <v>0</v>
      </c>
      <c r="BM159">
        <f t="shared" si="153"/>
        <v>1.2559232772891529</v>
      </c>
      <c r="BN159">
        <f t="shared" si="137"/>
        <v>-169.14134334568499</v>
      </c>
      <c r="BQ159" s="75">
        <f t="shared" si="154"/>
        <v>22.347551204234549</v>
      </c>
      <c r="BR159" s="80"/>
      <c r="BS159" s="80"/>
      <c r="BT159" s="80">
        <v>3090.2950000000001</v>
      </c>
      <c r="BU159" s="80">
        <v>5.8544900000000002</v>
      </c>
      <c r="BV159" s="80">
        <v>-248.41800000000001</v>
      </c>
      <c r="BW159" s="84"/>
      <c r="BY159" s="80"/>
      <c r="BZ159" s="80"/>
      <c r="CA159" s="80"/>
      <c r="CC159" s="80"/>
    </row>
    <row r="160" spans="1:81">
      <c r="A160">
        <f t="shared" si="106"/>
        <v>63000</v>
      </c>
      <c r="B160">
        <f t="shared" si="138"/>
        <v>63</v>
      </c>
      <c r="C160">
        <f t="shared" si="107"/>
        <v>1.0027067575687192</v>
      </c>
      <c r="D160">
        <f t="shared" si="108"/>
        <v>7.3493757430316761E-2</v>
      </c>
      <c r="F160">
        <f t="shared" si="109"/>
        <v>0.12579106302853058</v>
      </c>
      <c r="G160">
        <f t="shared" si="110"/>
        <v>0.11545599582527742</v>
      </c>
      <c r="H160">
        <f t="shared" si="111"/>
        <v>-3.026136654174723</v>
      </c>
      <c r="J160">
        <f t="shared" si="112"/>
        <v>9</v>
      </c>
      <c r="M160">
        <f t="shared" si="113"/>
        <v>6.6995569663023127E-2</v>
      </c>
      <c r="N160">
        <f t="shared" si="114"/>
        <v>-1.5707963250000001</v>
      </c>
      <c r="O160">
        <f t="shared" si="115"/>
        <v>8.1635463046993983</v>
      </c>
      <c r="P160">
        <f t="shared" si="116"/>
        <v>1.4479921101960826</v>
      </c>
      <c r="Q160">
        <f t="shared" si="117"/>
        <v>3.4559784093478871</v>
      </c>
      <c r="R160">
        <f t="shared" si="118"/>
        <v>1.2772447830928051</v>
      </c>
      <c r="S160">
        <f t="shared" si="119"/>
        <v>0.99910004899336546</v>
      </c>
      <c r="T160">
        <f t="shared" si="120"/>
        <v>-4.2428434435906028E-2</v>
      </c>
      <c r="U160">
        <f t="shared" si="121"/>
        <v>0.99781740856021228</v>
      </c>
      <c r="V160">
        <f t="shared" si="122"/>
        <v>-6.6081553448897851E-2</v>
      </c>
      <c r="X160">
        <f t="shared" si="139"/>
        <v>6.6044452157478144</v>
      </c>
      <c r="Y160">
        <f t="shared" si="123"/>
        <v>-109.246568596746</v>
      </c>
      <c r="Z160">
        <f t="shared" si="140"/>
        <v>70.753431403253998</v>
      </c>
      <c r="AC160">
        <v>1</v>
      </c>
      <c r="AD160">
        <f t="shared" si="124"/>
        <v>8.102066913385201</v>
      </c>
      <c r="AE160">
        <f t="shared" si="125"/>
        <v>-1.7959914711072832E-5</v>
      </c>
      <c r="AF160">
        <f t="shared" si="126"/>
        <v>2.7138836602584002E-4</v>
      </c>
      <c r="AG160">
        <f t="shared" si="141"/>
        <v>29481.179597377439</v>
      </c>
      <c r="AH160">
        <f t="shared" si="142"/>
        <v>-5635.7591651702978</v>
      </c>
      <c r="AJ160">
        <f t="shared" si="127"/>
        <v>55000</v>
      </c>
      <c r="AK160">
        <f t="shared" si="128"/>
        <v>2334.9651751676251</v>
      </c>
      <c r="AL160">
        <v>1</v>
      </c>
      <c r="AM160">
        <f t="shared" si="129"/>
        <v>3.3081394719507755</v>
      </c>
      <c r="AN160">
        <f t="shared" si="143"/>
        <v>5251.6334803292666</v>
      </c>
      <c r="AO160">
        <f t="shared" si="144"/>
        <v>-15038.170833327848</v>
      </c>
      <c r="AQ160">
        <f t="shared" si="130"/>
        <v>2.8659309844790792</v>
      </c>
      <c r="AR160">
        <f t="shared" si="131"/>
        <v>-95.151774615689916</v>
      </c>
      <c r="AT160">
        <f t="shared" si="156"/>
        <v>-451761.45980547642</v>
      </c>
      <c r="AU160">
        <f t="shared" si="157"/>
        <v>-2821338.2532668575</v>
      </c>
      <c r="AV160">
        <f t="shared" si="145"/>
        <v>-1.7295716252233364</v>
      </c>
      <c r="AW160">
        <f t="shared" si="146"/>
        <v>-1368065.9801715505</v>
      </c>
      <c r="AX160">
        <f t="shared" si="147"/>
        <v>-651613.34513122705</v>
      </c>
      <c r="AY160">
        <f t="shared" si="155"/>
        <v>-2.6970820719024506</v>
      </c>
      <c r="BA160">
        <f t="shared" si="132"/>
        <v>1.885589832998281</v>
      </c>
      <c r="BB160">
        <f t="shared" si="148"/>
        <v>5.5089445565891557</v>
      </c>
      <c r="BC160">
        <f t="shared" si="149"/>
        <v>0.96751044667911423</v>
      </c>
      <c r="BD160">
        <f t="shared" si="133"/>
        <v>-124.56573470712681</v>
      </c>
      <c r="BF160">
        <f t="shared" si="134"/>
        <v>6.6102693264876677</v>
      </c>
      <c r="BG160">
        <f t="shared" si="135"/>
        <v>-113.73971129317243</v>
      </c>
      <c r="BH160">
        <f t="shared" si="150"/>
        <v>66.260288706827566</v>
      </c>
      <c r="BI160">
        <f t="shared" si="151"/>
        <v>66.260288706827566</v>
      </c>
      <c r="BJ160">
        <f t="shared" si="136"/>
        <v>0</v>
      </c>
      <c r="BK160">
        <f t="shared" si="152"/>
        <v>0</v>
      </c>
      <c r="BM160">
        <f t="shared" si="153"/>
        <v>1.1013247698985098</v>
      </c>
      <c r="BN160">
        <f t="shared" si="137"/>
        <v>-169.17397658604565</v>
      </c>
      <c r="BQ160" s="75">
        <f t="shared" si="154"/>
        <v>22.410905356874295</v>
      </c>
      <c r="BR160" s="80"/>
      <c r="BS160" s="80"/>
      <c r="BT160" s="80">
        <v>3162.2779999999998</v>
      </c>
      <c r="BU160" s="80">
        <v>5.6099300000000003</v>
      </c>
      <c r="BV160" s="80">
        <v>-248.626</v>
      </c>
      <c r="BW160" s="84"/>
      <c r="BY160" s="80"/>
      <c r="BZ160" s="80"/>
      <c r="CA160" s="80"/>
      <c r="CC160" s="80"/>
    </row>
    <row r="161" spans="1:81">
      <c r="A161">
        <f t="shared" si="106"/>
        <v>63500</v>
      </c>
      <c r="B161">
        <f t="shared" si="138"/>
        <v>63.5</v>
      </c>
      <c r="C161">
        <f t="shared" si="107"/>
        <v>1.0027498333227203</v>
      </c>
      <c r="D161">
        <f t="shared" si="108"/>
        <v>7.407491821381558E-2</v>
      </c>
      <c r="F161">
        <f t="shared" si="109"/>
        <v>0.12358815582490429</v>
      </c>
      <c r="G161">
        <f t="shared" si="110"/>
        <v>0.1143294140112797</v>
      </c>
      <c r="H161">
        <f t="shared" si="111"/>
        <v>-3.0272632359887206</v>
      </c>
      <c r="J161">
        <f t="shared" si="112"/>
        <v>9</v>
      </c>
      <c r="M161">
        <f t="shared" si="113"/>
        <v>6.6468045492448141E-2</v>
      </c>
      <c r="N161">
        <f t="shared" si="114"/>
        <v>-1.5707963250000001</v>
      </c>
      <c r="O161">
        <f t="shared" si="115"/>
        <v>8.2273679365062033</v>
      </c>
      <c r="P161">
        <f t="shared" si="116"/>
        <v>1.4489494928763686</v>
      </c>
      <c r="Q161">
        <f t="shared" si="117"/>
        <v>3.4811186414566295</v>
      </c>
      <c r="R161">
        <f t="shared" si="118"/>
        <v>1.2794271298886619</v>
      </c>
      <c r="S161">
        <f t="shared" si="119"/>
        <v>0.99908572703278598</v>
      </c>
      <c r="T161">
        <f t="shared" si="120"/>
        <v>-4.2764759254162885E-2</v>
      </c>
      <c r="U161">
        <f t="shared" si="121"/>
        <v>0.99778274236967046</v>
      </c>
      <c r="V161">
        <f t="shared" si="122"/>
        <v>-6.6604466622650127E-2</v>
      </c>
      <c r="X161">
        <f t="shared" si="139"/>
        <v>6.512867113093046</v>
      </c>
      <c r="Y161">
        <f t="shared" si="123"/>
        <v>-109.14715638248124</v>
      </c>
      <c r="Z161">
        <f t="shared" si="140"/>
        <v>70.852843617518758</v>
      </c>
      <c r="AC161">
        <v>1</v>
      </c>
      <c r="AD161">
        <f t="shared" si="124"/>
        <v>8.1663690317454023</v>
      </c>
      <c r="AE161">
        <f t="shared" si="125"/>
        <v>-1.8246123984309247E-5</v>
      </c>
      <c r="AF161">
        <f t="shared" si="126"/>
        <v>2.7354224194668002E-4</v>
      </c>
      <c r="AG161">
        <f t="shared" si="141"/>
        <v>29479.13116160678</v>
      </c>
      <c r="AH161">
        <f t="shared" si="142"/>
        <v>-5622.0928481830661</v>
      </c>
      <c r="AJ161">
        <f t="shared" si="127"/>
        <v>55000</v>
      </c>
      <c r="AK161">
        <f t="shared" si="128"/>
        <v>2353.4966448118125</v>
      </c>
      <c r="AL161">
        <v>1</v>
      </c>
      <c r="AM161">
        <f t="shared" si="129"/>
        <v>3.3343945471249876</v>
      </c>
      <c r="AN161">
        <f t="shared" si="143"/>
        <v>5186.2119639197899</v>
      </c>
      <c r="AO161">
        <f t="shared" si="144"/>
        <v>-14939.380247916706</v>
      </c>
      <c r="AQ161">
        <f t="shared" si="130"/>
        <v>2.8210160083600799</v>
      </c>
      <c r="AR161">
        <f t="shared" si="131"/>
        <v>-94.403890211765884</v>
      </c>
      <c r="AT161">
        <f t="shared" si="156"/>
        <v>-447586.33508078905</v>
      </c>
      <c r="AU161">
        <f t="shared" si="157"/>
        <v>-2798804.675643784</v>
      </c>
      <c r="AV161">
        <f t="shared" si="145"/>
        <v>-1.7293741044533089</v>
      </c>
      <c r="AW161">
        <f t="shared" si="146"/>
        <v>-1348200.4643185884</v>
      </c>
      <c r="AX161">
        <f t="shared" si="147"/>
        <v>-639812.69749051693</v>
      </c>
      <c r="AY161">
        <f t="shared" si="155"/>
        <v>-2.6984969102233776</v>
      </c>
      <c r="BA161">
        <f t="shared" si="132"/>
        <v>1.8993090579540031</v>
      </c>
      <c r="BB161">
        <f t="shared" si="148"/>
        <v>5.5719127886110185</v>
      </c>
      <c r="BC161">
        <f t="shared" si="149"/>
        <v>0.96912280577006871</v>
      </c>
      <c r="BD161">
        <f t="shared" si="133"/>
        <v>-124.47335333605</v>
      </c>
      <c r="BF161">
        <f t="shared" si="134"/>
        <v>6.5201519820867144</v>
      </c>
      <c r="BG161">
        <f t="shared" si="135"/>
        <v>-113.67858024523659</v>
      </c>
      <c r="BH161">
        <f t="shared" si="150"/>
        <v>66.321419754763411</v>
      </c>
      <c r="BI161">
        <f t="shared" si="151"/>
        <v>66.321419754763411</v>
      </c>
      <c r="BJ161">
        <f t="shared" si="136"/>
        <v>0</v>
      </c>
      <c r="BK161">
        <f t="shared" si="152"/>
        <v>0</v>
      </c>
      <c r="BM161">
        <f t="shared" si="153"/>
        <v>0.94823919347569707</v>
      </c>
      <c r="BN161">
        <f t="shared" si="137"/>
        <v>-169.20522690918659</v>
      </c>
      <c r="BQ161" s="75">
        <f t="shared" si="154"/>
        <v>22.473873588896154</v>
      </c>
      <c r="BR161" s="80"/>
      <c r="BS161" s="80"/>
      <c r="BT161" s="80">
        <v>3235.9369999999999</v>
      </c>
      <c r="BU161" s="80">
        <v>5.4320899999999996</v>
      </c>
      <c r="BV161" s="80">
        <v>-248.57499999999999</v>
      </c>
      <c r="BW161" s="84"/>
      <c r="BY161" s="80"/>
      <c r="BZ161" s="80"/>
      <c r="CA161" s="80"/>
      <c r="CC161" s="80"/>
    </row>
    <row r="162" spans="1:81">
      <c r="A162">
        <f t="shared" si="106"/>
        <v>64000</v>
      </c>
      <c r="B162">
        <f t="shared" si="138"/>
        <v>64</v>
      </c>
      <c r="C162">
        <f t="shared" si="107"/>
        <v>1.0027932477241652</v>
      </c>
      <c r="D162">
        <f t="shared" si="108"/>
        <v>7.4656028872632924E-2</v>
      </c>
      <c r="F162">
        <f t="shared" si="109"/>
        <v>0.12144450177423098</v>
      </c>
      <c r="G162">
        <f t="shared" si="110"/>
        <v>0.1132262296095618</v>
      </c>
      <c r="H162">
        <f t="shared" si="111"/>
        <v>-3.0283664203904386</v>
      </c>
      <c r="J162">
        <f t="shared" si="112"/>
        <v>9</v>
      </c>
      <c r="M162">
        <f t="shared" si="113"/>
        <v>6.5948763887038395E-2</v>
      </c>
      <c r="N162">
        <f t="shared" si="114"/>
        <v>-1.5707963250000001</v>
      </c>
      <c r="O162">
        <f t="shared" si="115"/>
        <v>8.2911969932682617</v>
      </c>
      <c r="P162">
        <f t="shared" si="116"/>
        <v>1.4498921357555206</v>
      </c>
      <c r="Q162">
        <f t="shared" si="117"/>
        <v>3.5062752150765002</v>
      </c>
      <c r="R162">
        <f t="shared" si="118"/>
        <v>1.281578171314399</v>
      </c>
      <c r="S162">
        <f t="shared" si="119"/>
        <v>0.99907129247834103</v>
      </c>
      <c r="T162">
        <f t="shared" si="120"/>
        <v>-4.3101074392177939E-2</v>
      </c>
      <c r="U162">
        <f t="shared" si="121"/>
        <v>0.99774780579391753</v>
      </c>
      <c r="V162">
        <f t="shared" si="122"/>
        <v>-6.7127343320583871E-2</v>
      </c>
      <c r="X162">
        <f t="shared" si="139"/>
        <v>6.422378494626038</v>
      </c>
      <c r="Y162">
        <f t="shared" si="123"/>
        <v>-109.0490420166079</v>
      </c>
      <c r="Z162">
        <f t="shared" si="140"/>
        <v>70.950957983392101</v>
      </c>
      <c r="AC162">
        <v>1</v>
      </c>
      <c r="AD162">
        <f t="shared" si="124"/>
        <v>8.2306711501056</v>
      </c>
      <c r="AE162">
        <f t="shared" si="125"/>
        <v>-1.8534595781444774E-5</v>
      </c>
      <c r="AF162">
        <f t="shared" si="126"/>
        <v>2.7569611786752002E-4</v>
      </c>
      <c r="AG162">
        <f t="shared" si="141"/>
        <v>29477.066820694348</v>
      </c>
      <c r="AH162">
        <f t="shared" si="142"/>
        <v>-5608.8766512384154</v>
      </c>
      <c r="AJ162">
        <f t="shared" si="127"/>
        <v>55000</v>
      </c>
      <c r="AK162">
        <f t="shared" si="128"/>
        <v>2372.0281144560004</v>
      </c>
      <c r="AL162">
        <v>1</v>
      </c>
      <c r="AM162">
        <f t="shared" si="129"/>
        <v>3.3606496222992002</v>
      </c>
      <c r="AN162">
        <f t="shared" si="143"/>
        <v>5122.1514669731114</v>
      </c>
      <c r="AO162">
        <f t="shared" si="144"/>
        <v>-14841.728278386483</v>
      </c>
      <c r="AQ162">
        <f t="shared" si="130"/>
        <v>2.7771483766894969</v>
      </c>
      <c r="AR162">
        <f t="shared" si="131"/>
        <v>-93.667660448983355</v>
      </c>
      <c r="AT162">
        <f t="shared" si="156"/>
        <v>-443508.16539777158</v>
      </c>
      <c r="AU162">
        <f t="shared" si="157"/>
        <v>-2776624.5686798301</v>
      </c>
      <c r="AV162">
        <f t="shared" si="145"/>
        <v>-1.729187587962014</v>
      </c>
      <c r="AW162">
        <f t="shared" si="146"/>
        <v>-1328741.3915185877</v>
      </c>
      <c r="AX162">
        <f t="shared" si="147"/>
        <v>-628334.71004062006</v>
      </c>
      <c r="AY162">
        <f t="shared" si="155"/>
        <v>-2.699875786847592</v>
      </c>
      <c r="BA162">
        <f t="shared" si="132"/>
        <v>1.9130439912012318</v>
      </c>
      <c r="BB162">
        <f t="shared" si="148"/>
        <v>5.634499138301071</v>
      </c>
      <c r="BC162">
        <f t="shared" si="149"/>
        <v>0.970688198885578</v>
      </c>
      <c r="BD162">
        <f t="shared" si="133"/>
        <v>-124.38366291714999</v>
      </c>
      <c r="BF162">
        <f t="shared" si="134"/>
        <v>6.4311344973709685</v>
      </c>
      <c r="BG162">
        <f t="shared" si="135"/>
        <v>-113.61880244843358</v>
      </c>
      <c r="BH162">
        <f t="shared" si="150"/>
        <v>66.381197551566416</v>
      </c>
      <c r="BI162">
        <f t="shared" si="151"/>
        <v>66.381197551566416</v>
      </c>
      <c r="BJ162">
        <f t="shared" si="136"/>
        <v>0</v>
      </c>
      <c r="BK162">
        <f t="shared" si="152"/>
        <v>0</v>
      </c>
      <c r="BM162">
        <f t="shared" si="153"/>
        <v>0.79663535906989691</v>
      </c>
      <c r="BN162">
        <f t="shared" si="137"/>
        <v>-169.23513953128361</v>
      </c>
      <c r="BQ162" s="75">
        <f t="shared" si="154"/>
        <v>22.536459938586209</v>
      </c>
      <c r="BR162" s="80"/>
      <c r="BS162" s="80"/>
      <c r="BT162" s="80">
        <v>3311.3110000000001</v>
      </c>
      <c r="BU162" s="80">
        <v>5.2356100000000003</v>
      </c>
      <c r="BV162" s="80">
        <v>-247.75799999999998</v>
      </c>
      <c r="BW162" s="84"/>
      <c r="BY162" s="80"/>
      <c r="BZ162" s="80"/>
      <c r="CA162" s="80"/>
      <c r="CC162" s="80"/>
    </row>
    <row r="163" spans="1:81">
      <c r="A163">
        <f t="shared" si="106"/>
        <v>64500</v>
      </c>
      <c r="B163">
        <f t="shared" si="138"/>
        <v>64.5</v>
      </c>
      <c r="C163">
        <f t="shared" si="107"/>
        <v>1.0028370007290719</v>
      </c>
      <c r="D163">
        <f t="shared" si="108"/>
        <v>7.5237089020834258E-2</v>
      </c>
      <c r="F163">
        <f t="shared" si="109"/>
        <v>0.11935793455187489</v>
      </c>
      <c r="G163">
        <f t="shared" si="110"/>
        <v>0.11214568860062679</v>
      </c>
      <c r="H163">
        <f t="shared" si="111"/>
        <v>-3.0294469613993735</v>
      </c>
      <c r="J163">
        <f t="shared" si="112"/>
        <v>9</v>
      </c>
      <c r="M163">
        <f t="shared" si="113"/>
        <v>6.5437533159231884E-2</v>
      </c>
      <c r="N163">
        <f t="shared" si="114"/>
        <v>-1.5707963250000001</v>
      </c>
      <c r="O163">
        <f t="shared" si="115"/>
        <v>8.355033304814663</v>
      </c>
      <c r="P163">
        <f t="shared" si="116"/>
        <v>1.4508203749954778</v>
      </c>
      <c r="Q163">
        <f t="shared" si="117"/>
        <v>3.5314477809770133</v>
      </c>
      <c r="R163">
        <f t="shared" si="118"/>
        <v>1.2836985566936179</v>
      </c>
      <c r="S163">
        <f t="shared" si="119"/>
        <v>0.99905674534470701</v>
      </c>
      <c r="T163">
        <f t="shared" si="120"/>
        <v>-4.3437379774292642E-2</v>
      </c>
      <c r="U163">
        <f t="shared" si="121"/>
        <v>0.99771259891866138</v>
      </c>
      <c r="V163">
        <f t="shared" si="122"/>
        <v>-6.7650183260636515E-2</v>
      </c>
      <c r="X163">
        <f t="shared" si="139"/>
        <v>6.3329531953295675</v>
      </c>
      <c r="Y163">
        <f t="shared" si="123"/>
        <v>-108.95221223871502</v>
      </c>
      <c r="Z163">
        <f t="shared" si="140"/>
        <v>71.04778776128498</v>
      </c>
      <c r="AC163">
        <v>1</v>
      </c>
      <c r="AD163">
        <f t="shared" si="124"/>
        <v>8.2949732684658013</v>
      </c>
      <c r="AE163">
        <f t="shared" si="125"/>
        <v>-1.8825330102479402E-5</v>
      </c>
      <c r="AF163">
        <f t="shared" si="126"/>
        <v>2.7784999378835997E-4</v>
      </c>
      <c r="AG163">
        <f t="shared" si="141"/>
        <v>29474.986581382491</v>
      </c>
      <c r="AH163">
        <f t="shared" si="142"/>
        <v>-5596.1000069160882</v>
      </c>
      <c r="AJ163">
        <f t="shared" si="127"/>
        <v>55000</v>
      </c>
      <c r="AK163">
        <f t="shared" si="128"/>
        <v>2390.5595841001877</v>
      </c>
      <c r="AL163">
        <v>1</v>
      </c>
      <c r="AM163">
        <f t="shared" si="129"/>
        <v>3.3869046974734127</v>
      </c>
      <c r="AN163">
        <f t="shared" si="143"/>
        <v>5059.4156845864427</v>
      </c>
      <c r="AO163">
        <f t="shared" si="144"/>
        <v>-14745.1991644963</v>
      </c>
      <c r="AQ163">
        <f t="shared" si="130"/>
        <v>2.7342957868728965</v>
      </c>
      <c r="AR163">
        <f t="shared" si="131"/>
        <v>-92.942815239490074</v>
      </c>
      <c r="AT163">
        <f t="shared" si="156"/>
        <v>-439523.95737690176</v>
      </c>
      <c r="AU163">
        <f t="shared" si="157"/>
        <v>-2754789.6246917122</v>
      </c>
      <c r="AV163">
        <f t="shared" si="145"/>
        <v>-1.7290118252294311</v>
      </c>
      <c r="AW163">
        <f t="shared" si="146"/>
        <v>-1309678.1866728789</v>
      </c>
      <c r="AX163">
        <f t="shared" si="147"/>
        <v>-617168.23272531363</v>
      </c>
      <c r="AY163">
        <f t="shared" si="155"/>
        <v>-2.7012194286189195</v>
      </c>
      <c r="BA163">
        <f t="shared" si="132"/>
        <v>1.9267944215972654</v>
      </c>
      <c r="BB163">
        <f t="shared" si="148"/>
        <v>5.696707605733204</v>
      </c>
      <c r="BC163">
        <f t="shared" si="149"/>
        <v>0.97220760338948842</v>
      </c>
      <c r="BD163">
        <f t="shared" si="133"/>
        <v>-124.29660745160328</v>
      </c>
      <c r="BF163">
        <f t="shared" si="134"/>
        <v>6.3431906787477113</v>
      </c>
      <c r="BG163">
        <f t="shared" si="135"/>
        <v>-113.56036512818717</v>
      </c>
      <c r="BH163">
        <f t="shared" si="150"/>
        <v>66.439634871812828</v>
      </c>
      <c r="BI163">
        <f t="shared" si="151"/>
        <v>66.439634871812828</v>
      </c>
      <c r="BJ163">
        <f t="shared" si="136"/>
        <v>0</v>
      </c>
      <c r="BK163">
        <f t="shared" si="152"/>
        <v>0</v>
      </c>
      <c r="BM163">
        <f t="shared" si="153"/>
        <v>0.64648307301450414</v>
      </c>
      <c r="BN163">
        <f t="shared" si="137"/>
        <v>-169.26375767658388</v>
      </c>
      <c r="BQ163" s="75">
        <f t="shared" si="154"/>
        <v>22.598668406018341</v>
      </c>
      <c r="BR163" s="80"/>
      <c r="BS163" s="80"/>
      <c r="BT163" s="80">
        <v>3388.442</v>
      </c>
      <c r="BU163" s="80">
        <v>5.0528199999999996</v>
      </c>
      <c r="BV163" s="80">
        <v>-247.756</v>
      </c>
      <c r="BW163" s="84"/>
      <c r="BY163" s="80"/>
      <c r="BZ163" s="80"/>
      <c r="CA163" s="80"/>
      <c r="CC163" s="80"/>
    </row>
    <row r="164" spans="1:81">
      <c r="A164">
        <f t="shared" si="106"/>
        <v>65000</v>
      </c>
      <c r="B164">
        <f t="shared" si="138"/>
        <v>65</v>
      </c>
      <c r="C164">
        <f t="shared" si="107"/>
        <v>1.0028810922931233</v>
      </c>
      <c r="D164">
        <f t="shared" si="108"/>
        <v>7.5818098272688678E-2</v>
      </c>
      <c r="F164">
        <f t="shared" si="109"/>
        <v>0.11732638829101337</v>
      </c>
      <c r="G164">
        <f t="shared" si="110"/>
        <v>0.11108706981266181</v>
      </c>
      <c r="H164">
        <f t="shared" si="111"/>
        <v>-3.0305055801873384</v>
      </c>
      <c r="J164">
        <f t="shared" si="112"/>
        <v>9</v>
      </c>
      <c r="M164">
        <f t="shared" si="113"/>
        <v>6.4934167519545491E-2</v>
      </c>
      <c r="N164">
        <f t="shared" si="114"/>
        <v>-1.5707963250000001</v>
      </c>
      <c r="O164">
        <f t="shared" si="115"/>
        <v>8.4188767061167376</v>
      </c>
      <c r="P164">
        <f t="shared" si="116"/>
        <v>1.45173453666226</v>
      </c>
      <c r="Q164">
        <f t="shared" si="117"/>
        <v>3.5566359995956836</v>
      </c>
      <c r="R164">
        <f t="shared" si="118"/>
        <v>1.2857889180760476</v>
      </c>
      <c r="S164">
        <f t="shared" si="119"/>
        <v>0.99904208564667274</v>
      </c>
      <c r="T164">
        <f t="shared" si="120"/>
        <v>-4.3773675324861663E-2</v>
      </c>
      <c r="U164">
        <f t="shared" si="121"/>
        <v>0.9976771218302567</v>
      </c>
      <c r="V164">
        <f t="shared" si="122"/>
        <v>-6.8172986160865617E-2</v>
      </c>
      <c r="X164">
        <f t="shared" si="139"/>
        <v>6.2445659640679283</v>
      </c>
      <c r="Y164">
        <f t="shared" si="123"/>
        <v>-108.85665347452749</v>
      </c>
      <c r="Z164">
        <f t="shared" si="140"/>
        <v>71.143346525472509</v>
      </c>
      <c r="AC164">
        <v>1</v>
      </c>
      <c r="AD164">
        <f t="shared" si="124"/>
        <v>8.3592753868260008</v>
      </c>
      <c r="AE164">
        <f t="shared" si="125"/>
        <v>-1.9118326947413128E-5</v>
      </c>
      <c r="AF164">
        <f t="shared" si="126"/>
        <v>2.8000386970920003E-4</v>
      </c>
      <c r="AG164">
        <f t="shared" si="141"/>
        <v>29472.89045046398</v>
      </c>
      <c r="AH164">
        <f t="shared" si="142"/>
        <v>-5583.7526722077655</v>
      </c>
      <c r="AJ164">
        <f t="shared" si="127"/>
        <v>55000</v>
      </c>
      <c r="AK164">
        <f t="shared" si="128"/>
        <v>2409.0910537443756</v>
      </c>
      <c r="AL164">
        <v>1</v>
      </c>
      <c r="AM164">
        <f t="shared" si="129"/>
        <v>3.4131597726476253</v>
      </c>
      <c r="AN164">
        <f t="shared" si="143"/>
        <v>4997.9694714673515</v>
      </c>
      <c r="AO164">
        <f t="shared" si="144"/>
        <v>-14649.777291188901</v>
      </c>
      <c r="AQ164">
        <f t="shared" si="130"/>
        <v>2.6924271717927972</v>
      </c>
      <c r="AR164">
        <f t="shared" si="131"/>
        <v>-92.229092769762261</v>
      </c>
      <c r="AT164">
        <f t="shared" si="156"/>
        <v>-435630.83212835621</v>
      </c>
      <c r="AU164">
        <f t="shared" si="157"/>
        <v>-2733291.7949641054</v>
      </c>
      <c r="AV164">
        <f t="shared" si="145"/>
        <v>-1.7288465731915752</v>
      </c>
      <c r="AW164">
        <f t="shared" si="146"/>
        <v>-1291000.6000327792</v>
      </c>
      <c r="AX164">
        <f t="shared" si="147"/>
        <v>-606302.57377172599</v>
      </c>
      <c r="AY164">
        <f t="shared" si="155"/>
        <v>-2.702528542489937</v>
      </c>
      <c r="BA164">
        <f t="shared" si="132"/>
        <v>1.940560144808815</v>
      </c>
      <c r="BB164">
        <f t="shared" si="148"/>
        <v>5.7585421520725442</v>
      </c>
      <c r="BC164">
        <f t="shared" si="149"/>
        <v>0.97368196929836182</v>
      </c>
      <c r="BD164">
        <f t="shared" si="133"/>
        <v>-124.21213250747034</v>
      </c>
      <c r="BF164">
        <f t="shared" si="134"/>
        <v>6.2562952462467933</v>
      </c>
      <c r="BG164">
        <f t="shared" si="135"/>
        <v>-113.50325519475983</v>
      </c>
      <c r="BH164">
        <f t="shared" si="150"/>
        <v>66.496744805240169</v>
      </c>
      <c r="BI164">
        <f t="shared" si="151"/>
        <v>66.496744805240169</v>
      </c>
      <c r="BJ164">
        <f t="shared" si="136"/>
        <v>0</v>
      </c>
      <c r="BK164">
        <f t="shared" si="152"/>
        <v>0</v>
      </c>
      <c r="BM164">
        <f t="shared" si="153"/>
        <v>0.49775309417424923</v>
      </c>
      <c r="BN164">
        <f t="shared" si="137"/>
        <v>-169.29112268728949</v>
      </c>
      <c r="BQ164" s="75">
        <f t="shared" si="154"/>
        <v>22.660502952357682</v>
      </c>
      <c r="BR164" s="80"/>
      <c r="BS164" s="80"/>
      <c r="BT164" s="80">
        <v>3467.3690000000001</v>
      </c>
      <c r="BU164" s="80">
        <v>4.9028999999999998</v>
      </c>
      <c r="BV164" s="80">
        <v>-247.51300000000001</v>
      </c>
      <c r="BW164" s="84"/>
      <c r="BY164" s="80"/>
      <c r="BZ164" s="80"/>
      <c r="CA164" s="80"/>
      <c r="CC164" s="80"/>
    </row>
    <row r="165" spans="1:81">
      <c r="A165">
        <f t="shared" si="106"/>
        <v>65500</v>
      </c>
      <c r="B165">
        <f t="shared" si="138"/>
        <v>65.5</v>
      </c>
      <c r="C165">
        <f t="shared" si="107"/>
        <v>1.0029255223716673</v>
      </c>
      <c r="D165">
        <f t="shared" si="108"/>
        <v>7.6399056242670224E-2</v>
      </c>
      <c r="F165">
        <f t="shared" si="109"/>
        <v>0.11534789193528396</v>
      </c>
      <c r="G165">
        <f t="shared" si="110"/>
        <v>0.11004968312998838</v>
      </c>
      <c r="H165">
        <f t="shared" si="111"/>
        <v>-3.031542966870012</v>
      </c>
      <c r="J165">
        <f t="shared" si="112"/>
        <v>9</v>
      </c>
      <c r="M165">
        <f t="shared" si="113"/>
        <v>6.4438486851457352E-2</v>
      </c>
      <c r="N165">
        <f t="shared" si="114"/>
        <v>-1.5707963250000001</v>
      </c>
      <c r="O165">
        <f t="shared" si="115"/>
        <v>8.4827270370959713</v>
      </c>
      <c r="P165">
        <f t="shared" si="116"/>
        <v>1.4526349371003222</v>
      </c>
      <c r="Q165">
        <f t="shared" si="117"/>
        <v>3.581839540713307</v>
      </c>
      <c r="R165">
        <f t="shared" si="118"/>
        <v>1.2878498707880011</v>
      </c>
      <c r="S165">
        <f t="shared" si="119"/>
        <v>0.99902731339914075</v>
      </c>
      <c r="T165">
        <f t="shared" si="120"/>
        <v>-4.4109960968252981E-2</v>
      </c>
      <c r="U165">
        <f t="shared" si="121"/>
        <v>0.99764137461570468</v>
      </c>
      <c r="V165">
        <f t="shared" si="122"/>
        <v>-6.8695751739449584E-2</v>
      </c>
      <c r="X165">
        <f t="shared" si="139"/>
        <v>6.1571924225251573</v>
      </c>
      <c r="Y165">
        <f t="shared" si="123"/>
        <v>-108.76235188556662</v>
      </c>
      <c r="Z165">
        <f t="shared" si="140"/>
        <v>71.237648114433384</v>
      </c>
      <c r="AC165">
        <v>1</v>
      </c>
      <c r="AD165">
        <f t="shared" si="124"/>
        <v>8.4235775051862003</v>
      </c>
      <c r="AE165">
        <f t="shared" si="125"/>
        <v>-1.9413586316245956E-5</v>
      </c>
      <c r="AF165">
        <f t="shared" si="126"/>
        <v>2.8215774563004003E-4</v>
      </c>
      <c r="AG165">
        <f t="shared" si="141"/>
        <v>29470.778434782063</v>
      </c>
      <c r="AH165">
        <f t="shared" si="142"/>
        <v>-5571.8247161357522</v>
      </c>
      <c r="AJ165">
        <f t="shared" si="127"/>
        <v>55000</v>
      </c>
      <c r="AK165">
        <f t="shared" si="128"/>
        <v>2427.622523388563</v>
      </c>
      <c r="AL165">
        <v>1</v>
      </c>
      <c r="AM165">
        <f t="shared" si="129"/>
        <v>3.4394148478218378</v>
      </c>
      <c r="AN165">
        <f t="shared" si="143"/>
        <v>4937.7787996381039</v>
      </c>
      <c r="AO165">
        <f t="shared" si="144"/>
        <v>-14555.447195346624</v>
      </c>
      <c r="AQ165">
        <f t="shared" si="130"/>
        <v>2.6515126435511469</v>
      </c>
      <c r="AR165">
        <f t="shared" si="131"/>
        <v>-91.52623918642027</v>
      </c>
      <c r="AT165">
        <f t="shared" si="156"/>
        <v>-431826.02003873</v>
      </c>
      <c r="AU165">
        <f t="shared" si="157"/>
        <v>-2712123.2797143441</v>
      </c>
      <c r="AV165">
        <f t="shared" si="145"/>
        <v>-1.7286915959667351</v>
      </c>
      <c r="AW165">
        <f t="shared" si="146"/>
        <v>-1272698.6960157361</v>
      </c>
      <c r="AX165">
        <f t="shared" si="147"/>
        <v>-595727.47804846312</v>
      </c>
      <c r="AY165">
        <f t="shared" si="155"/>
        <v>-2.7038038161722784</v>
      </c>
      <c r="BA165">
        <f t="shared" si="132"/>
        <v>1.9543409630567166</v>
      </c>
      <c r="BB165">
        <f t="shared" si="148"/>
        <v>5.8200066989765409</v>
      </c>
      <c r="BC165">
        <f t="shared" si="149"/>
        <v>0.97511222020554333</v>
      </c>
      <c r="BD165">
        <f t="shared" si="133"/>
        <v>-124.13018516675044</v>
      </c>
      <c r="BF165">
        <f t="shared" si="134"/>
        <v>6.1704237924581937</v>
      </c>
      <c r="BG165">
        <f t="shared" si="135"/>
        <v>-113.44745929295564</v>
      </c>
      <c r="BH165">
        <f t="shared" si="150"/>
        <v>66.552540707044358</v>
      </c>
      <c r="BI165">
        <f t="shared" si="151"/>
        <v>66.552540707044358</v>
      </c>
      <c r="BJ165">
        <f t="shared" si="136"/>
        <v>0</v>
      </c>
      <c r="BK165">
        <f t="shared" si="152"/>
        <v>0</v>
      </c>
      <c r="BM165">
        <f t="shared" si="153"/>
        <v>0.35041709348165329</v>
      </c>
      <c r="BN165">
        <f t="shared" si="137"/>
        <v>-169.31727412620521</v>
      </c>
      <c r="BQ165" s="75">
        <f t="shared" si="154"/>
        <v>22.72196749926168</v>
      </c>
      <c r="BR165" s="80"/>
      <c r="BS165" s="80"/>
      <c r="BT165" s="80">
        <v>3548.134</v>
      </c>
      <c r="BU165" s="80">
        <v>4.6522600000000001</v>
      </c>
      <c r="BV165" s="80">
        <v>-246.726</v>
      </c>
      <c r="BW165" s="84"/>
      <c r="BY165" s="80"/>
      <c r="BZ165" s="80"/>
      <c r="CA165" s="80"/>
      <c r="CC165" s="80"/>
    </row>
    <row r="166" spans="1:81">
      <c r="A166">
        <f t="shared" ref="A166:A200" si="158">A165+500</f>
        <v>66000</v>
      </c>
      <c r="B166">
        <f t="shared" si="138"/>
        <v>66</v>
      </c>
      <c r="C166">
        <f t="shared" si="107"/>
        <v>1.0029702909197171</v>
      </c>
      <c r="D166">
        <f t="shared" si="108"/>
        <v>7.6979962545459524E-2</v>
      </c>
      <c r="F166">
        <f t="shared" si="109"/>
        <v>0.11342056396414377</v>
      </c>
      <c r="G166">
        <f t="shared" si="110"/>
        <v>0.10903286781817136</v>
      </c>
      <c r="H166">
        <f t="shared" si="111"/>
        <v>-3.0325597821818286</v>
      </c>
      <c r="J166">
        <f t="shared" si="112"/>
        <v>9</v>
      </c>
      <c r="M166">
        <f t="shared" si="113"/>
        <v>6.3950316496522067E-2</v>
      </c>
      <c r="N166">
        <f t="shared" si="114"/>
        <v>-1.5707963250000001</v>
      </c>
      <c r="O166">
        <f t="shared" si="115"/>
        <v>8.5465841424404285</v>
      </c>
      <c r="P166">
        <f t="shared" si="116"/>
        <v>1.4535218832904564</v>
      </c>
      <c r="Q166">
        <f t="shared" si="117"/>
        <v>3.6070580831419181</v>
      </c>
      <c r="R166">
        <f t="shared" si="118"/>
        <v>1.289882013962794</v>
      </c>
      <c r="S166">
        <f t="shared" si="119"/>
        <v>0.99901242861712702</v>
      </c>
      <c r="T166">
        <f t="shared" si="120"/>
        <v>-4.4446236628848002E-2</v>
      </c>
      <c r="U166">
        <f t="shared" si="121"/>
        <v>0.99760535736265199</v>
      </c>
      <c r="V166">
        <f t="shared" si="122"/>
        <v>-6.9218479714688724E-2</v>
      </c>
      <c r="X166">
        <f t="shared" si="139"/>
        <v>6.0708090263770762</v>
      </c>
      <c r="Y166">
        <f t="shared" si="123"/>
        <v>-108.66929341421717</v>
      </c>
      <c r="Z166">
        <f t="shared" si="140"/>
        <v>71.330706585782835</v>
      </c>
      <c r="AC166">
        <v>1</v>
      </c>
      <c r="AD166">
        <f t="shared" si="124"/>
        <v>8.4878796235464016</v>
      </c>
      <c r="AE166">
        <f t="shared" si="125"/>
        <v>-1.9711108208977892E-5</v>
      </c>
      <c r="AF166">
        <f t="shared" si="126"/>
        <v>2.8431162155088003E-4</v>
      </c>
      <c r="AG166">
        <f t="shared" si="141"/>
        <v>29468.650541230356</v>
      </c>
      <c r="AH166">
        <f t="shared" si="142"/>
        <v>-5560.3065079344215</v>
      </c>
      <c r="AJ166">
        <f t="shared" si="127"/>
        <v>55000</v>
      </c>
      <c r="AK166">
        <f t="shared" si="128"/>
        <v>2446.1539930327503</v>
      </c>
      <c r="AL166">
        <v>1</v>
      </c>
      <c r="AM166">
        <f t="shared" si="129"/>
        <v>3.4656699229960499</v>
      </c>
      <c r="AN166">
        <f t="shared" si="143"/>
        <v>4878.8107178329856</v>
      </c>
      <c r="AO166">
        <f t="shared" si="144"/>
        <v>-14462.193571751795</v>
      </c>
      <c r="AQ166">
        <f t="shared" si="130"/>
        <v>2.6115234401771059</v>
      </c>
      <c r="AR166">
        <f t="shared" si="131"/>
        <v>-90.8340082962401</v>
      </c>
      <c r="AT166">
        <f t="shared" si="156"/>
        <v>-428106.85583254218</v>
      </c>
      <c r="AU166">
        <f t="shared" si="157"/>
        <v>-2691276.5185211585</v>
      </c>
      <c r="AV166">
        <f t="shared" si="145"/>
        <v>-1.7285466645936001</v>
      </c>
      <c r="AW166">
        <f t="shared" si="146"/>
        <v>-1254762.842425602</v>
      </c>
      <c r="AX166">
        <f t="shared" si="147"/>
        <v>-585433.10657106701</v>
      </c>
      <c r="AY166">
        <f t="shared" si="155"/>
        <v>-2.7050459187623783</v>
      </c>
      <c r="BA166">
        <f t="shared" si="132"/>
        <v>1.9681366848714077</v>
      </c>
      <c r="BB166">
        <f t="shared" si="148"/>
        <v>5.8811051280860296</v>
      </c>
      <c r="BC166">
        <f t="shared" si="149"/>
        <v>0.97649925416877825</v>
      </c>
      <c r="BD166">
        <f t="shared" si="133"/>
        <v>-124.05071397452497</v>
      </c>
      <c r="BF166">
        <f t="shared" si="134"/>
        <v>6.0855527437031887</v>
      </c>
      <c r="BG166">
        <f t="shared" si="135"/>
        <v>-113.39296384722772</v>
      </c>
      <c r="BH166">
        <f t="shared" si="150"/>
        <v>66.607036152772281</v>
      </c>
      <c r="BI166">
        <f t="shared" si="151"/>
        <v>66.607036152772281</v>
      </c>
      <c r="BJ166">
        <f t="shared" si="136"/>
        <v>0</v>
      </c>
      <c r="BK166">
        <f t="shared" si="152"/>
        <v>0</v>
      </c>
      <c r="BM166">
        <f t="shared" si="153"/>
        <v>0.20444761561715821</v>
      </c>
      <c r="BN166">
        <f t="shared" si="137"/>
        <v>-169.34224987270275</v>
      </c>
      <c r="BQ166" s="75">
        <f t="shared" si="154"/>
        <v>22.783065928371165</v>
      </c>
      <c r="BR166" s="80"/>
      <c r="BS166" s="80"/>
      <c r="BT166" s="80">
        <v>3630.7809999999999</v>
      </c>
      <c r="BU166" s="80">
        <v>4.4950999999999999</v>
      </c>
      <c r="BV166" s="80">
        <v>-246.21199999999999</v>
      </c>
      <c r="BW166" s="84"/>
      <c r="BY166" s="80"/>
      <c r="BZ166" s="80"/>
      <c r="CA166" s="80"/>
      <c r="CC166" s="80"/>
    </row>
    <row r="167" spans="1:81">
      <c r="A167">
        <f t="shared" si="158"/>
        <v>66500</v>
      </c>
      <c r="B167">
        <f t="shared" si="138"/>
        <v>66.5</v>
      </c>
      <c r="C167">
        <f t="shared" si="107"/>
        <v>1.0030153978919505</v>
      </c>
      <c r="D167">
        <f t="shared" si="108"/>
        <v>7.7560816795945148E-2</v>
      </c>
      <c r="F167">
        <f t="shared" si="109"/>
        <v>0.11154260746274541</v>
      </c>
      <c r="G167">
        <f t="shared" si="110"/>
        <v>0.10803599095700001</v>
      </c>
      <c r="H167">
        <f t="shared" si="111"/>
        <v>-3.0335566590430001</v>
      </c>
      <c r="J167">
        <f t="shared" si="112"/>
        <v>9</v>
      </c>
      <c r="M167">
        <f t="shared" si="113"/>
        <v>6.3469487049179804E-2</v>
      </c>
      <c r="N167">
        <f t="shared" si="114"/>
        <v>-1.5707963250000001</v>
      </c>
      <c r="O167">
        <f t="shared" si="115"/>
        <v>8.6104478714292565</v>
      </c>
      <c r="P167">
        <f t="shared" si="116"/>
        <v>1.4543956731920733</v>
      </c>
      <c r="Q167">
        <f t="shared" si="117"/>
        <v>3.6322913144248754</v>
      </c>
      <c r="R167">
        <f t="shared" si="118"/>
        <v>1.2918859310519202</v>
      </c>
      <c r="S167">
        <f t="shared" si="119"/>
        <v>0.99899743131576013</v>
      </c>
      <c r="T167">
        <f t="shared" si="120"/>
        <v>-4.4782502231041632E-2</v>
      </c>
      <c r="U167">
        <f t="shared" si="121"/>
        <v>0.99756907015939045</v>
      </c>
      <c r="V167">
        <f t="shared" si="122"/>
        <v>-6.974116980500604E-2</v>
      </c>
      <c r="X167">
        <f t="shared" si="139"/>
        <v>5.9853930285550483</v>
      </c>
      <c r="Y167">
        <f t="shared" si="123"/>
        <v>-108.57746382461124</v>
      </c>
      <c r="Z167">
        <f t="shared" si="140"/>
        <v>71.422536175388757</v>
      </c>
      <c r="AC167">
        <v>1</v>
      </c>
      <c r="AD167">
        <f t="shared" si="124"/>
        <v>8.5521817419066011</v>
      </c>
      <c r="AE167">
        <f t="shared" si="125"/>
        <v>-2.0010892625608926E-5</v>
      </c>
      <c r="AF167">
        <f t="shared" si="126"/>
        <v>2.8646549747172003E-4</v>
      </c>
      <c r="AG167">
        <f t="shared" si="141"/>
        <v>29466.506776752794</v>
      </c>
      <c r="AH167">
        <f t="shared" si="142"/>
        <v>-5549.1887057648491</v>
      </c>
      <c r="AJ167">
        <f t="shared" si="127"/>
        <v>55000</v>
      </c>
      <c r="AK167">
        <f t="shared" si="128"/>
        <v>2464.6854626769377</v>
      </c>
      <c r="AL167">
        <v>1</v>
      </c>
      <c r="AM167">
        <f t="shared" si="129"/>
        <v>3.4919249981702634</v>
      </c>
      <c r="AN167">
        <f t="shared" si="143"/>
        <v>4821.0333125173038</v>
      </c>
      <c r="AO167">
        <f t="shared" si="144"/>
        <v>-14370.001278313828</v>
      </c>
      <c r="AQ167">
        <f t="shared" si="130"/>
        <v>2.572431875122875</v>
      </c>
      <c r="AR167">
        <f t="shared" si="131"/>
        <v>-90.15216127961871</v>
      </c>
      <c r="AT167">
        <f t="shared" si="156"/>
        <v>-424470.77389210823</v>
      </c>
      <c r="AU167">
        <f t="shared" si="157"/>
        <v>-2670744.1811925769</v>
      </c>
      <c r="AV167">
        <f t="shared" si="145"/>
        <v>-1.7284115567806833</v>
      </c>
      <c r="AW167">
        <f t="shared" si="146"/>
        <v>-1237183.7000632263</v>
      </c>
      <c r="AX167">
        <f t="shared" si="147"/>
        <v>-575410.01708767144</v>
      </c>
      <c r="AY167">
        <f t="shared" si="155"/>
        <v>-2.7062555013436866</v>
      </c>
      <c r="BA167">
        <f t="shared" si="132"/>
        <v>1.981947124858666</v>
      </c>
      <c r="BB167">
        <f t="shared" si="148"/>
        <v>5.9418412805994443</v>
      </c>
      <c r="BC167">
        <f t="shared" si="149"/>
        <v>0.97784394456300339</v>
      </c>
      <c r="BD167">
        <f t="shared" si="133"/>
        <v>-123.97366889009605</v>
      </c>
      <c r="BF167">
        <f t="shared" si="134"/>
        <v>6.0016593232973605</v>
      </c>
      <c r="BG167">
        <f t="shared" si="135"/>
        <v>-113.33975510260034</v>
      </c>
      <c r="BH167">
        <f t="shared" si="150"/>
        <v>66.660244897399664</v>
      </c>
      <c r="BI167">
        <f t="shared" si="151"/>
        <v>66.660244897399664</v>
      </c>
      <c r="BJ167">
        <f t="shared" si="136"/>
        <v>0</v>
      </c>
      <c r="BK167">
        <f t="shared" si="152"/>
        <v>0</v>
      </c>
      <c r="BM167">
        <f t="shared" si="153"/>
        <v>5.9818042697915144E-2</v>
      </c>
      <c r="BN167">
        <f t="shared" si="137"/>
        <v>-169.36608621250429</v>
      </c>
      <c r="BQ167" s="75">
        <f t="shared" si="154"/>
        <v>22.843802080884579</v>
      </c>
      <c r="BR167" s="80"/>
      <c r="BS167" s="80"/>
      <c r="BT167" s="80">
        <v>3715.3519999999999</v>
      </c>
      <c r="BU167" s="80">
        <v>4.3437000000000001</v>
      </c>
      <c r="BV167" s="80">
        <v>-245.97</v>
      </c>
      <c r="BW167" s="84"/>
      <c r="BY167" s="80"/>
      <c r="BZ167" s="80"/>
      <c r="CA167" s="80"/>
      <c r="CC167" s="80"/>
    </row>
    <row r="168" spans="1:81">
      <c r="A168">
        <f t="shared" si="158"/>
        <v>67000</v>
      </c>
      <c r="B168">
        <f t="shared" si="138"/>
        <v>67</v>
      </c>
      <c r="C168">
        <f t="shared" si="107"/>
        <v>1.0030608432427119</v>
      </c>
      <c r="D168">
        <f t="shared" si="108"/>
        <v>7.8141618609225222E-2</v>
      </c>
      <c r="F168">
        <f t="shared" si="109"/>
        <v>0.10971230551053422</v>
      </c>
      <c r="G168">
        <f t="shared" si="110"/>
        <v>0.10705844597330333</v>
      </c>
      <c r="H168">
        <f t="shared" si="111"/>
        <v>-3.0345342040266967</v>
      </c>
      <c r="J168">
        <f t="shared" si="112"/>
        <v>9</v>
      </c>
      <c r="M168">
        <f t="shared" si="113"/>
        <v>6.2995834160753092E-2</v>
      </c>
      <c r="N168">
        <f t="shared" si="114"/>
        <v>-1.5707963250000001</v>
      </c>
      <c r="O168">
        <f t="shared" si="115"/>
        <v>8.6743180777648625</v>
      </c>
      <c r="P168">
        <f t="shared" si="116"/>
        <v>1.4552565960706503</v>
      </c>
      <c r="Q168">
        <f t="shared" si="117"/>
        <v>3.6575389305485375</v>
      </c>
      <c r="R168">
        <f t="shared" si="118"/>
        <v>1.2938621903177585</v>
      </c>
      <c r="S168">
        <f t="shared" si="119"/>
        <v>0.9989823215102821</v>
      </c>
      <c r="T168">
        <f t="shared" si="120"/>
        <v>-4.5118757699242437E-2</v>
      </c>
      <c r="U168">
        <f t="shared" si="121"/>
        <v>0.9975325130948568</v>
      </c>
      <c r="V168">
        <f t="shared" si="122"/>
        <v>-7.0263821728948128E-2</v>
      </c>
      <c r="X168">
        <f t="shared" si="139"/>
        <v>5.9009224444698614</v>
      </c>
      <c r="Y168">
        <f t="shared" si="123"/>
        <v>-108.48684873970076</v>
      </c>
      <c r="Z168">
        <f t="shared" si="140"/>
        <v>71.513151260299239</v>
      </c>
      <c r="AC168">
        <v>1</v>
      </c>
      <c r="AD168">
        <f t="shared" si="124"/>
        <v>8.6164838602668006</v>
      </c>
      <c r="AE168">
        <f t="shared" si="125"/>
        <v>-2.0312939566139061E-5</v>
      </c>
      <c r="AF168">
        <f t="shared" si="126"/>
        <v>2.8861937339256003E-4</v>
      </c>
      <c r="AG168">
        <f t="shared" si="141"/>
        <v>29464.347148343575</v>
      </c>
      <c r="AH168">
        <f t="shared" si="142"/>
        <v>-5538.462245934772</v>
      </c>
      <c r="AJ168">
        <f t="shared" si="127"/>
        <v>55000</v>
      </c>
      <c r="AK168">
        <f t="shared" si="128"/>
        <v>2483.2169323211251</v>
      </c>
      <c r="AL168">
        <v>1</v>
      </c>
      <c r="AM168">
        <f t="shared" si="129"/>
        <v>3.5181800733444755</v>
      </c>
      <c r="AN168">
        <f t="shared" si="143"/>
        <v>4764.4156704598072</v>
      </c>
      <c r="AO168">
        <f t="shared" si="144"/>
        <v>-14278.855340620728</v>
      </c>
      <c r="AQ168">
        <f t="shared" si="130"/>
        <v>2.534211289382172</v>
      </c>
      <c r="AR168">
        <f t="shared" si="131"/>
        <v>-89.48046641679511</v>
      </c>
      <c r="AT168">
        <f t="shared" si="156"/>
        <v>-420915.30382044631</v>
      </c>
      <c r="AU168">
        <f t="shared" si="157"/>
        <v>-2650519.1590496148</v>
      </c>
      <c r="AV168">
        <f t="shared" si="145"/>
        <v>-1.7282860566664802</v>
      </c>
      <c r="AW168">
        <f t="shared" si="146"/>
        <v>-1219952.212713842</v>
      </c>
      <c r="AX168">
        <f t="shared" si="147"/>
        <v>-565649.14568200731</v>
      </c>
      <c r="AY168">
        <f t="shared" si="155"/>
        <v>-2.7074331975663437</v>
      </c>
      <c r="BA168">
        <f t="shared" si="132"/>
        <v>1.9957721034751019</v>
      </c>
      <c r="BB168">
        <f t="shared" si="148"/>
        <v>6.002218956923759</v>
      </c>
      <c r="BC168">
        <f t="shared" si="149"/>
        <v>0.97914714089986354</v>
      </c>
      <c r="BD168">
        <f t="shared" si="133"/>
        <v>-123.89900124003174</v>
      </c>
      <c r="BF168">
        <f t="shared" si="134"/>
        <v>5.918721516773692</v>
      </c>
      <c r="BG168">
        <f t="shared" si="135"/>
        <v>-113.28781916177751</v>
      </c>
      <c r="BH168">
        <f t="shared" si="150"/>
        <v>66.712180838222494</v>
      </c>
      <c r="BI168">
        <f t="shared" si="151"/>
        <v>66.712180838222494</v>
      </c>
      <c r="BJ168">
        <f t="shared" si="136"/>
        <v>0</v>
      </c>
      <c r="BK168">
        <f t="shared" si="152"/>
        <v>0</v>
      </c>
      <c r="BM168">
        <f t="shared" si="153"/>
        <v>-8.3497440150066077E-2</v>
      </c>
      <c r="BN168">
        <f t="shared" si="137"/>
        <v>-169.38881792174578</v>
      </c>
      <c r="BQ168" s="75">
        <f t="shared" si="154"/>
        <v>22.904179757208894</v>
      </c>
      <c r="BR168" s="80"/>
      <c r="BS168" s="80"/>
      <c r="BT168" s="80">
        <v>3801.8939999999998</v>
      </c>
      <c r="BU168" s="80">
        <v>4.1437400000000002</v>
      </c>
      <c r="BV168" s="80">
        <v>-245.16899999999998</v>
      </c>
      <c r="BW168" s="84"/>
      <c r="BY168" s="80"/>
      <c r="BZ168" s="80"/>
      <c r="CA168" s="80"/>
      <c r="CC168" s="80"/>
    </row>
    <row r="169" spans="1:81">
      <c r="A169">
        <f t="shared" si="158"/>
        <v>67500</v>
      </c>
      <c r="B169">
        <f t="shared" si="138"/>
        <v>67.5</v>
      </c>
      <c r="C169">
        <f t="shared" si="107"/>
        <v>1.0031066269260105</v>
      </c>
      <c r="D169">
        <f t="shared" si="108"/>
        <v>7.872236760060887E-2</v>
      </c>
      <c r="F169">
        <f t="shared" si="109"/>
        <v>0.10792801686494531</v>
      </c>
      <c r="G169">
        <f t="shared" si="110"/>
        <v>0.10609965126623959</v>
      </c>
      <c r="H169">
        <f t="shared" si="111"/>
        <v>-3.0354929987337607</v>
      </c>
      <c r="J169">
        <f t="shared" si="112"/>
        <v>9</v>
      </c>
      <c r="M169">
        <f t="shared" si="113"/>
        <v>6.2529198352154911E-2</v>
      </c>
      <c r="N169">
        <f t="shared" si="114"/>
        <v>-1.5707963250000001</v>
      </c>
      <c r="O169">
        <f t="shared" si="115"/>
        <v>8.7381946194123632</v>
      </c>
      <c r="P169">
        <f t="shared" si="116"/>
        <v>1.4561049328110862</v>
      </c>
      <c r="Q169">
        <f t="shared" si="117"/>
        <v>3.6828006356650227</v>
      </c>
      <c r="R169">
        <f t="shared" si="118"/>
        <v>1.2958113453085416</v>
      </c>
      <c r="S169">
        <f t="shared" si="119"/>
        <v>0.9989670992160482</v>
      </c>
      <c r="T169">
        <f t="shared" si="120"/>
        <v>-4.5455002957872671E-2</v>
      </c>
      <c r="U169">
        <f t="shared" si="121"/>
        <v>0.99749568625863128</v>
      </c>
      <c r="V169">
        <f t="shared" si="122"/>
        <v>-7.0786435205186155E-2</v>
      </c>
      <c r="X169">
        <f t="shared" si="139"/>
        <v>5.817376019073464</v>
      </c>
      <c r="Y169">
        <f t="shared" si="123"/>
        <v>-108.39743367485433</v>
      </c>
      <c r="Z169">
        <f t="shared" si="140"/>
        <v>71.602566325145673</v>
      </c>
      <c r="AC169">
        <v>1</v>
      </c>
      <c r="AD169">
        <f t="shared" si="124"/>
        <v>8.6807859786270019</v>
      </c>
      <c r="AE169">
        <f t="shared" si="125"/>
        <v>-2.0617249030568301E-5</v>
      </c>
      <c r="AF169">
        <f t="shared" si="126"/>
        <v>2.9077324931340003E-4</v>
      </c>
      <c r="AG169">
        <f t="shared" si="141"/>
        <v>29462.171663047109</v>
      </c>
      <c r="AH169">
        <f t="shared" si="142"/>
        <v>-5528.1183325976544</v>
      </c>
      <c r="AJ169">
        <f t="shared" si="127"/>
        <v>55000</v>
      </c>
      <c r="AK169">
        <f t="shared" si="128"/>
        <v>2501.748401965313</v>
      </c>
      <c r="AL169">
        <v>1</v>
      </c>
      <c r="AM169">
        <f t="shared" si="129"/>
        <v>3.544435148518688</v>
      </c>
      <c r="AN169">
        <f t="shared" si="143"/>
        <v>4708.9278427930085</v>
      </c>
      <c r="AO169">
        <f t="shared" si="144"/>
        <v>-14188.74095586851</v>
      </c>
      <c r="AQ169">
        <f t="shared" si="130"/>
        <v>2.4968360060768782</v>
      </c>
      <c r="AR169">
        <f t="shared" si="131"/>
        <v>-88.818698826169751</v>
      </c>
      <c r="AT169">
        <f t="shared" si="156"/>
        <v>-417438.06623290485</v>
      </c>
      <c r="AU169">
        <f t="shared" si="157"/>
        <v>-2630594.5566037772</v>
      </c>
      <c r="AV169">
        <f t="shared" si="145"/>
        <v>-1.7281699545898348</v>
      </c>
      <c r="AW169">
        <f t="shared" si="146"/>
        <v>-1203059.5974980595</v>
      </c>
      <c r="AX169">
        <f t="shared" si="147"/>
        <v>-556141.78933488321</v>
      </c>
      <c r="AY169">
        <f t="shared" si="155"/>
        <v>-2.7085796242052673</v>
      </c>
      <c r="BA169">
        <f t="shared" si="132"/>
        <v>2.0096114468129245</v>
      </c>
      <c r="BB169">
        <f t="shared" si="148"/>
        <v>6.0622419163961236</v>
      </c>
      <c r="BC169">
        <f t="shared" si="149"/>
        <v>0.98040966961543252</v>
      </c>
      <c r="BD169">
        <f t="shared" si="133"/>
        <v>-123.8266636730329</v>
      </c>
      <c r="BF169">
        <f t="shared" si="134"/>
        <v>5.8367180389435038</v>
      </c>
      <c r="BG169">
        <f t="shared" si="135"/>
        <v>-113.2371420187749</v>
      </c>
      <c r="BH169">
        <f t="shared" si="150"/>
        <v>66.762857981225096</v>
      </c>
      <c r="BI169">
        <f t="shared" si="151"/>
        <v>66.762857981225096</v>
      </c>
      <c r="BJ169">
        <f t="shared" si="136"/>
        <v>0</v>
      </c>
      <c r="BK169">
        <f t="shared" si="152"/>
        <v>0</v>
      </c>
      <c r="BM169">
        <f t="shared" si="153"/>
        <v>-0.22552387745262112</v>
      </c>
      <c r="BN169">
        <f t="shared" si="137"/>
        <v>-169.41047834574204</v>
      </c>
      <c r="BQ169" s="75">
        <f t="shared" si="154"/>
        <v>22.96420271668126</v>
      </c>
      <c r="BR169" s="80"/>
      <c r="BS169" s="80"/>
      <c r="BT169" s="80">
        <v>3890.451</v>
      </c>
      <c r="BU169" s="80">
        <v>3.9573</v>
      </c>
      <c r="BV169" s="80">
        <v>-244.768</v>
      </c>
      <c r="BW169" s="84"/>
      <c r="BY169" s="80"/>
      <c r="BZ169" s="80"/>
      <c r="CA169" s="80"/>
      <c r="CC169" s="80"/>
    </row>
    <row r="170" spans="1:81">
      <c r="A170">
        <f t="shared" si="158"/>
        <v>68000</v>
      </c>
      <c r="B170">
        <f t="shared" si="138"/>
        <v>68</v>
      </c>
      <c r="C170">
        <f t="shared" si="107"/>
        <v>1.0031527488955225</v>
      </c>
      <c r="D170">
        <f t="shared" si="108"/>
        <v>7.930306338561767E-2</v>
      </c>
      <c r="F170">
        <f t="shared" si="109"/>
        <v>0.10618817191854903</v>
      </c>
      <c r="G170">
        <f t="shared" si="110"/>
        <v>0.10515904891831336</v>
      </c>
      <c r="H170">
        <f t="shared" si="111"/>
        <v>-3.0364336010816868</v>
      </c>
      <c r="J170">
        <f t="shared" si="112"/>
        <v>9</v>
      </c>
      <c r="M170">
        <f t="shared" si="113"/>
        <v>6.2069424834859666E-2</v>
      </c>
      <c r="N170">
        <f t="shared" si="114"/>
        <v>-1.5707963250000001</v>
      </c>
      <c r="O170">
        <f t="shared" si="115"/>
        <v>8.8020773584459722</v>
      </c>
      <c r="P170">
        <f t="shared" si="116"/>
        <v>1.456940956217663</v>
      </c>
      <c r="Q170">
        <f t="shared" si="117"/>
        <v>3.7080761418255763</v>
      </c>
      <c r="R170">
        <f t="shared" si="118"/>
        <v>1.2977339353162927</v>
      </c>
      <c r="S170">
        <f t="shared" si="119"/>
        <v>0.99895176444852662</v>
      </c>
      <c r="T170">
        <f t="shared" si="120"/>
        <v>-4.5791237931368418E-2</v>
      </c>
      <c r="U170">
        <f t="shared" si="121"/>
        <v>0.9974585897409376</v>
      </c>
      <c r="V170">
        <f t="shared" si="122"/>
        <v>-7.13090099525166E-2</v>
      </c>
      <c r="X170">
        <f t="shared" si="139"/>
        <v>5.7347331956450978</v>
      </c>
      <c r="Y170">
        <f t="shared" si="123"/>
        <v>-108.30920406828676</v>
      </c>
      <c r="Z170">
        <f t="shared" si="140"/>
        <v>71.690795931713239</v>
      </c>
      <c r="AC170">
        <v>1</v>
      </c>
      <c r="AD170">
        <f t="shared" si="124"/>
        <v>8.7450880969872014</v>
      </c>
      <c r="AE170">
        <f t="shared" si="125"/>
        <v>-2.0923821018896643E-5</v>
      </c>
      <c r="AF170">
        <f t="shared" si="126"/>
        <v>2.9292712523424003E-4</v>
      </c>
      <c r="AG170">
        <f t="shared" si="141"/>
        <v>29459.98032795795</v>
      </c>
      <c r="AH170">
        <f t="shared" si="142"/>
        <v>-5518.1484279062133</v>
      </c>
      <c r="AJ170">
        <f t="shared" si="127"/>
        <v>55000</v>
      </c>
      <c r="AK170">
        <f t="shared" si="128"/>
        <v>2520.2798716095003</v>
      </c>
      <c r="AL170">
        <v>1</v>
      </c>
      <c r="AM170">
        <f t="shared" si="129"/>
        <v>3.5706902236929006</v>
      </c>
      <c r="AN170">
        <f t="shared" si="143"/>
        <v>4654.5408104987782</v>
      </c>
      <c r="AO170">
        <f t="shared" si="144"/>
        <v>-14099.643496218117</v>
      </c>
      <c r="AQ170">
        <f t="shared" si="130"/>
        <v>2.4602812873675646</v>
      </c>
      <c r="AR170">
        <f t="shared" si="131"/>
        <v>-88.166640214104049</v>
      </c>
      <c r="AT170">
        <f t="shared" si="156"/>
        <v>-414036.7687641395</v>
      </c>
      <c r="AU170">
        <f t="shared" si="157"/>
        <v>-2610963.6836077459</v>
      </c>
      <c r="AV170">
        <f t="shared" si="145"/>
        <v>-1.7280630468700118</v>
      </c>
      <c r="AW170">
        <f t="shared" si="146"/>
        <v>-1186497.3355736006</v>
      </c>
      <c r="AX170">
        <f t="shared" si="147"/>
        <v>-546879.58938899403</v>
      </c>
      <c r="AY170">
        <f t="shared" si="155"/>
        <v>-2.7096953816975526</v>
      </c>
      <c r="BA170">
        <f t="shared" si="132"/>
        <v>2.0234649863935354</v>
      </c>
      <c r="BB170">
        <f t="shared" si="148"/>
        <v>6.1219138770707024</v>
      </c>
      <c r="BC170">
        <f t="shared" si="149"/>
        <v>0.98163233482754086</v>
      </c>
      <c r="BD170">
        <f t="shared" si="133"/>
        <v>-123.75661011654157</v>
      </c>
      <c r="BF170">
        <f t="shared" si="134"/>
        <v>5.7556283026817558</v>
      </c>
      <c r="BG170">
        <f t="shared" si="135"/>
        <v>-113.18770958938138</v>
      </c>
      <c r="BH170">
        <f t="shared" si="150"/>
        <v>66.812290410618616</v>
      </c>
      <c r="BI170">
        <f t="shared" si="151"/>
        <v>66.812290410618616</v>
      </c>
      <c r="BJ170">
        <f t="shared" si="136"/>
        <v>0</v>
      </c>
      <c r="BK170">
        <f t="shared" si="152"/>
        <v>0</v>
      </c>
      <c r="BM170">
        <f t="shared" si="153"/>
        <v>-0.36628557438894599</v>
      </c>
      <c r="BN170">
        <f t="shared" si="137"/>
        <v>-169.4310994728398</v>
      </c>
      <c r="BQ170" s="75">
        <f t="shared" si="154"/>
        <v>23.023874677355842</v>
      </c>
      <c r="BR170" s="80"/>
      <c r="BS170" s="80"/>
      <c r="BT170" s="80">
        <v>3981.0720000000001</v>
      </c>
      <c r="BU170" s="80">
        <v>3.8980899999999998</v>
      </c>
      <c r="BV170" s="80">
        <v>-244.315</v>
      </c>
      <c r="BW170" s="84"/>
      <c r="BY170" s="80"/>
      <c r="BZ170" s="80"/>
      <c r="CA170" s="80"/>
      <c r="CC170" s="80"/>
    </row>
    <row r="171" spans="1:81">
      <c r="A171">
        <f t="shared" si="158"/>
        <v>68500</v>
      </c>
      <c r="B171">
        <f t="shared" si="138"/>
        <v>68.5</v>
      </c>
      <c r="C171">
        <f t="shared" si="107"/>
        <v>1.0031992091045896</v>
      </c>
      <c r="D171">
        <f t="shared" si="108"/>
        <v>7.9883705579987224E-2</v>
      </c>
      <c r="F171">
        <f t="shared" si="109"/>
        <v>0.1044912689097823</v>
      </c>
      <c r="G171">
        <f t="shared" si="110"/>
        <v>0.10423610348593083</v>
      </c>
      <c r="H171">
        <f t="shared" si="111"/>
        <v>-3.0373565465140695</v>
      </c>
      <c r="J171">
        <f t="shared" si="112"/>
        <v>9</v>
      </c>
      <c r="M171">
        <f t="shared" si="113"/>
        <v>6.1616363339714694E-2</v>
      </c>
      <c r="N171">
        <f t="shared" si="114"/>
        <v>-1.5707963250000001</v>
      </c>
      <c r="O171">
        <f t="shared" si="115"/>
        <v>8.8659661609019551</v>
      </c>
      <c r="P171">
        <f t="shared" si="116"/>
        <v>1.4577649313012717</v>
      </c>
      <c r="Q171">
        <f t="shared" si="117"/>
        <v>3.7333651687240859</v>
      </c>
      <c r="R171">
        <f t="shared" si="118"/>
        <v>1.2996304858184047</v>
      </c>
      <c r="S171">
        <f t="shared" si="119"/>
        <v>0.99893631722329856</v>
      </c>
      <c r="T171">
        <f t="shared" si="120"/>
        <v>-4.6127462544179702E-2</v>
      </c>
      <c r="U171">
        <f t="shared" si="121"/>
        <v>0.99742122363264218</v>
      </c>
      <c r="V171">
        <f t="shared" si="122"/>
        <v>-7.1831545689862331E-2</v>
      </c>
      <c r="X171">
        <f t="shared" si="139"/>
        <v>5.6529740861962061</v>
      </c>
      <c r="Y171">
        <f t="shared" si="123"/>
        <v>-108.22214530859709</v>
      </c>
      <c r="Z171">
        <f t="shared" si="140"/>
        <v>71.777854691402908</v>
      </c>
      <c r="AC171">
        <v>1</v>
      </c>
      <c r="AD171">
        <f t="shared" si="124"/>
        <v>8.8093902153474009</v>
      </c>
      <c r="AE171">
        <f t="shared" si="125"/>
        <v>-2.1232655531124082E-5</v>
      </c>
      <c r="AF171">
        <f t="shared" si="126"/>
        <v>2.9508100115508004E-4</v>
      </c>
      <c r="AG171">
        <f t="shared" si="141"/>
        <v>29457.773150220764</v>
      </c>
      <c r="AH171">
        <f t="shared" si="142"/>
        <v>-5508.5442425971987</v>
      </c>
      <c r="AJ171">
        <f t="shared" si="127"/>
        <v>55000</v>
      </c>
      <c r="AK171">
        <f t="shared" si="128"/>
        <v>2538.8113412536877</v>
      </c>
      <c r="AL171">
        <v>1</v>
      </c>
      <c r="AM171">
        <f t="shared" si="129"/>
        <v>3.5969452988671131</v>
      </c>
      <c r="AN171">
        <f t="shared" si="143"/>
        <v>4601.2264512591137</v>
      </c>
      <c r="AO171">
        <f t="shared" si="144"/>
        <v>-14011.548511625793</v>
      </c>
      <c r="AQ171">
        <f t="shared" si="130"/>
        <v>2.4245232935530066</v>
      </c>
      <c r="AR171">
        <f t="shared" si="131"/>
        <v>-87.524078635616775</v>
      </c>
      <c r="AT171">
        <f t="shared" si="156"/>
        <v>-410709.2022779407</v>
      </c>
      <c r="AU171">
        <f t="shared" si="157"/>
        <v>-2591620.0474598268</v>
      </c>
      <c r="AV171">
        <f t="shared" si="145"/>
        <v>-1.7279651355960051</v>
      </c>
      <c r="AW171">
        <f t="shared" si="146"/>
        <v>-1170257.1631752509</v>
      </c>
      <c r="AX171">
        <f t="shared" si="147"/>
        <v>-537854.51586535375</v>
      </c>
      <c r="AY171">
        <f t="shared" si="155"/>
        <v>-2.7107810546600364</v>
      </c>
      <c r="BA171">
        <f t="shared" si="132"/>
        <v>2.0373325589695237</v>
      </c>
      <c r="BB171">
        <f t="shared" si="148"/>
        <v>6.1812385155655072</v>
      </c>
      <c r="BC171">
        <f t="shared" si="149"/>
        <v>0.98281591906403132</v>
      </c>
      <c r="BD171">
        <f t="shared" si="133"/>
        <v>-123.68879573501496</v>
      </c>
      <c r="BF171">
        <f t="shared" si="134"/>
        <v>5.6754323893311822</v>
      </c>
      <c r="BG171">
        <f t="shared" si="135"/>
        <v>-113.13950773872901</v>
      </c>
      <c r="BH171">
        <f t="shared" si="150"/>
        <v>66.860492261270991</v>
      </c>
      <c r="BI171">
        <f t="shared" si="151"/>
        <v>66.860492261270991</v>
      </c>
      <c r="BJ171">
        <f t="shared" si="136"/>
        <v>0</v>
      </c>
      <c r="BK171">
        <f t="shared" si="152"/>
        <v>0</v>
      </c>
      <c r="BM171">
        <f t="shared" si="153"/>
        <v>-0.50580612623432508</v>
      </c>
      <c r="BN171">
        <f t="shared" si="137"/>
        <v>-169.45071200371405</v>
      </c>
      <c r="BQ171" s="75">
        <f t="shared" si="154"/>
        <v>23.083199315850642</v>
      </c>
      <c r="BR171" s="80"/>
      <c r="BS171" s="80"/>
      <c r="BT171" s="80">
        <v>4073.8029999999999</v>
      </c>
      <c r="BU171" s="80">
        <v>3.5600999999999998</v>
      </c>
      <c r="BV171" s="80">
        <v>-244.142</v>
      </c>
      <c r="BW171" s="84"/>
      <c r="BY171" s="80"/>
      <c r="BZ171" s="80"/>
      <c r="CA171" s="80"/>
      <c r="CC171" s="80"/>
    </row>
    <row r="172" spans="1:81">
      <c r="A172">
        <f t="shared" si="158"/>
        <v>69000</v>
      </c>
      <c r="B172">
        <f t="shared" si="138"/>
        <v>69</v>
      </c>
      <c r="C172">
        <f t="shared" si="107"/>
        <v>1.0032460075062204</v>
      </c>
      <c r="D172">
        <f t="shared" si="108"/>
        <v>8.0464293799668588E-2</v>
      </c>
      <c r="F172">
        <f t="shared" si="109"/>
        <v>0.10283587036902631</v>
      </c>
      <c r="G172">
        <f t="shared" si="110"/>
        <v>0.10333030086381025</v>
      </c>
      <c r="H172">
        <f t="shared" si="111"/>
        <v>-3.0382623491361898</v>
      </c>
      <c r="J172">
        <f t="shared" si="112"/>
        <v>9</v>
      </c>
      <c r="M172">
        <f t="shared" si="113"/>
        <v>6.1169867953195033E-2</v>
      </c>
      <c r="N172">
        <f t="shared" si="114"/>
        <v>-1.5707963250000001</v>
      </c>
      <c r="O172">
        <f t="shared" si="115"/>
        <v>8.9298608966378126</v>
      </c>
      <c r="P172">
        <f t="shared" si="116"/>
        <v>1.45857711555453</v>
      </c>
      <c r="Q172">
        <f t="shared" si="117"/>
        <v>3.7586674434502978</v>
      </c>
      <c r="R172">
        <f t="shared" si="118"/>
        <v>1.3015015089035078</v>
      </c>
      <c r="S172">
        <f t="shared" si="119"/>
        <v>0.99892075755605814</v>
      </c>
      <c r="T172">
        <f t="shared" si="120"/>
        <v>-4.6463676720770564E-2</v>
      </c>
      <c r="U172">
        <f t="shared" si="121"/>
        <v>0.99738358802525329</v>
      </c>
      <c r="V172">
        <f t="shared" si="122"/>
        <v>-7.2354042136273278E-2</v>
      </c>
      <c r="X172">
        <f t="shared" si="139"/>
        <v>5.572079443396035</v>
      </c>
      <c r="Y172">
        <f t="shared" si="123"/>
        <v>-108.13624275966998</v>
      </c>
      <c r="Z172">
        <f t="shared" si="140"/>
        <v>71.863757240330017</v>
      </c>
      <c r="AC172">
        <v>1</v>
      </c>
      <c r="AD172">
        <f t="shared" si="124"/>
        <v>8.8736923337076004</v>
      </c>
      <c r="AE172">
        <f t="shared" si="125"/>
        <v>-2.1543752567250627E-5</v>
      </c>
      <c r="AF172">
        <f t="shared" si="126"/>
        <v>2.9723487707591998E-4</v>
      </c>
      <c r="AG172">
        <f t="shared" si="141"/>
        <v>29455.550137030237</v>
      </c>
      <c r="AH172">
        <f t="shared" si="142"/>
        <v>-5499.2977269855119</v>
      </c>
      <c r="AJ172">
        <f t="shared" si="127"/>
        <v>55000</v>
      </c>
      <c r="AK172">
        <f t="shared" si="128"/>
        <v>2557.3428108978751</v>
      </c>
      <c r="AL172">
        <v>1</v>
      </c>
      <c r="AM172">
        <f t="shared" si="129"/>
        <v>3.6232003740413252</v>
      </c>
      <c r="AN172">
        <f t="shared" si="143"/>
        <v>4548.9575076145993</v>
      </c>
      <c r="AO172">
        <f t="shared" si="144"/>
        <v>-13924.441732189434</v>
      </c>
      <c r="AQ172">
        <f t="shared" si="130"/>
        <v>2.389539044232551</v>
      </c>
      <c r="AR172">
        <f t="shared" si="131"/>
        <v>-86.890808265428248</v>
      </c>
      <c r="AT172">
        <f t="shared" si="156"/>
        <v>-407453.23726822028</v>
      </c>
      <c r="AU172">
        <f t="shared" si="157"/>
        <v>-2572557.3459438942</v>
      </c>
      <c r="AV172">
        <f t="shared" si="145"/>
        <v>-1.7278760284246351</v>
      </c>
      <c r="AW172">
        <f t="shared" si="146"/>
        <v>-1154331.0629808595</v>
      </c>
      <c r="AX172">
        <f t="shared" si="147"/>
        <v>-529058.85258288542</v>
      </c>
      <c r="AY172">
        <f t="shared" si="155"/>
        <v>-2.711837212387866</v>
      </c>
      <c r="BA172">
        <f t="shared" si="132"/>
        <v>2.0512140063346673</v>
      </c>
      <c r="BB172">
        <f t="shared" si="148"/>
        <v>6.2402194669645006</v>
      </c>
      <c r="BC172">
        <f t="shared" si="149"/>
        <v>0.98396118396323096</v>
      </c>
      <c r="BD172">
        <f t="shared" si="133"/>
        <v>-123.62317688979137</v>
      </c>
      <c r="BF172">
        <f t="shared" si="134"/>
        <v>5.5961110206270774</v>
      </c>
      <c r="BG172">
        <f t="shared" si="135"/>
        <v>-113.0925223062233</v>
      </c>
      <c r="BH172">
        <f t="shared" si="150"/>
        <v>66.907477693776698</v>
      </c>
      <c r="BI172">
        <f t="shared" si="151"/>
        <v>66.907477693776698</v>
      </c>
      <c r="BJ172">
        <f t="shared" si="136"/>
        <v>0</v>
      </c>
      <c r="BK172">
        <f t="shared" si="152"/>
        <v>0</v>
      </c>
      <c r="BM172">
        <f t="shared" si="153"/>
        <v>-0.64410844633742492</v>
      </c>
      <c r="BN172">
        <f t="shared" si="137"/>
        <v>-169.46934541643193</v>
      </c>
      <c r="BQ172" s="75">
        <f t="shared" si="154"/>
        <v>23.142180267249639</v>
      </c>
      <c r="BR172" s="80"/>
      <c r="BS172" s="80"/>
      <c r="BT172" s="80">
        <v>4168.6940000000004</v>
      </c>
      <c r="BU172" s="80">
        <v>3.4098799999999998</v>
      </c>
      <c r="BV172" s="80">
        <v>-243.709</v>
      </c>
      <c r="BW172" s="84"/>
      <c r="BY172" s="80"/>
      <c r="BZ172" s="80"/>
      <c r="CA172" s="80"/>
      <c r="CC172" s="80"/>
    </row>
    <row r="173" spans="1:81">
      <c r="A173">
        <f t="shared" si="158"/>
        <v>69500</v>
      </c>
      <c r="B173">
        <f t="shared" si="138"/>
        <v>69.5</v>
      </c>
      <c r="C173">
        <f t="shared" si="107"/>
        <v>1.0032931440530899</v>
      </c>
      <c r="D173">
        <f t="shared" si="108"/>
        <v>8.1044827660829738E-2</v>
      </c>
      <c r="F173">
        <f t="shared" si="109"/>
        <v>0.10122059978326944</v>
      </c>
      <c r="G173">
        <f t="shared" si="110"/>
        <v>0.1024411472180231</v>
      </c>
      <c r="H173">
        <f t="shared" si="111"/>
        <v>-3.0391515027819773</v>
      </c>
      <c r="J173">
        <f t="shared" si="112"/>
        <v>9</v>
      </c>
      <c r="M173">
        <f t="shared" si="113"/>
        <v>6.0729796960725994E-2</v>
      </c>
      <c r="N173">
        <f t="shared" si="114"/>
        <v>-1.5707963250000001</v>
      </c>
      <c r="O173">
        <f t="shared" si="115"/>
        <v>8.9937614391974403</v>
      </c>
      <c r="P173">
        <f t="shared" si="116"/>
        <v>1.4593777592153772</v>
      </c>
      <c r="Q173">
        <f t="shared" si="117"/>
        <v>3.7839827002523392</v>
      </c>
      <c r="R173">
        <f t="shared" si="118"/>
        <v>1.3033475036822446</v>
      </c>
      <c r="S173">
        <f t="shared" si="119"/>
        <v>0.99890508546261259</v>
      </c>
      <c r="T173">
        <f t="shared" si="120"/>
        <v>-4.6799880385619164E-2</v>
      </c>
      <c r="U173">
        <f t="shared" si="121"/>
        <v>0.99734568301092108</v>
      </c>
      <c r="V173">
        <f t="shared" si="122"/>
        <v>-7.2876499010927534E-2</v>
      </c>
      <c r="X173">
        <f t="shared" si="139"/>
        <v>5.4920306339265847</v>
      </c>
      <c r="Y173">
        <f t="shared" si="123"/>
        <v>-108.05148178316915</v>
      </c>
      <c r="Z173">
        <f t="shared" si="140"/>
        <v>71.948518216830848</v>
      </c>
      <c r="AC173">
        <v>1</v>
      </c>
      <c r="AD173">
        <f t="shared" si="124"/>
        <v>8.9379944520678016</v>
      </c>
      <c r="AE173">
        <f t="shared" si="125"/>
        <v>-2.1857112127276272E-5</v>
      </c>
      <c r="AF173">
        <f t="shared" si="126"/>
        <v>2.9938875299675998E-4</v>
      </c>
      <c r="AG173">
        <f t="shared" si="141"/>
        <v>29453.311295631047</v>
      </c>
      <c r="AH173">
        <f t="shared" si="142"/>
        <v>-5490.4010623470858</v>
      </c>
      <c r="AJ173">
        <f t="shared" si="127"/>
        <v>55000</v>
      </c>
      <c r="AK173">
        <f t="shared" si="128"/>
        <v>2575.8742805420629</v>
      </c>
      <c r="AL173">
        <v>1</v>
      </c>
      <c r="AM173">
        <f t="shared" si="129"/>
        <v>3.6494554492155378</v>
      </c>
      <c r="AN173">
        <f t="shared" si="143"/>
        <v>4497.707556375517</v>
      </c>
      <c r="AO173">
        <f t="shared" si="144"/>
        <v>-13838.309070050467</v>
      </c>
      <c r="AQ173">
        <f t="shared" si="130"/>
        <v>2.3553063814133108</v>
      </c>
      <c r="AR173">
        <f t="shared" si="131"/>
        <v>-86.266629178834634</v>
      </c>
      <c r="AT173">
        <f t="shared" si="156"/>
        <v>-404266.82044022321</v>
      </c>
      <c r="AU173">
        <f t="shared" si="157"/>
        <v>-2553769.4602876497</v>
      </c>
      <c r="AV173">
        <f t="shared" si="145"/>
        <v>-1.7277955383870107</v>
      </c>
      <c r="AW173">
        <f t="shared" si="146"/>
        <v>-1138711.2557915642</v>
      </c>
      <c r="AX173">
        <f t="shared" si="147"/>
        <v>-520485.18303570576</v>
      </c>
      <c r="AY173">
        <f t="shared" si="155"/>
        <v>-2.7128644093348377</v>
      </c>
      <c r="BA173">
        <f t="shared" si="132"/>
        <v>2.0651091751415493</v>
      </c>
      <c r="BB173">
        <f t="shared" si="148"/>
        <v>6.298860324770458</v>
      </c>
      <c r="BC173">
        <f t="shared" si="149"/>
        <v>0.98506887094782702</v>
      </c>
      <c r="BD173">
        <f t="shared" si="133"/>
        <v>-123.55971110047992</v>
      </c>
      <c r="BF173">
        <f t="shared" si="134"/>
        <v>5.5176455320513966</v>
      </c>
      <c r="BG173">
        <f t="shared" si="135"/>
        <v>-113.04673912806541</v>
      </c>
      <c r="BH173">
        <f t="shared" si="150"/>
        <v>66.953260871934589</v>
      </c>
      <c r="BI173">
        <f t="shared" si="151"/>
        <v>66.953260871934589</v>
      </c>
      <c r="BJ173">
        <f t="shared" si="136"/>
        <v>0</v>
      </c>
      <c r="BK173">
        <f t="shared" si="152"/>
        <v>0</v>
      </c>
      <c r="BM173">
        <f t="shared" si="153"/>
        <v>-0.78121479271906158</v>
      </c>
      <c r="BN173">
        <f t="shared" si="137"/>
        <v>-169.48702802758547</v>
      </c>
      <c r="BQ173" s="75">
        <f t="shared" si="154"/>
        <v>23.200821125055594</v>
      </c>
      <c r="BR173" s="80"/>
      <c r="BS173" s="80"/>
      <c r="BT173" s="80">
        <v>4265.7950000000001</v>
      </c>
      <c r="BU173" s="80">
        <v>3.2244999999999999</v>
      </c>
      <c r="BV173" s="80">
        <v>-243.32400000000001</v>
      </c>
      <c r="BW173" s="84"/>
      <c r="BY173" s="80"/>
      <c r="BZ173" s="80"/>
      <c r="CA173" s="80"/>
      <c r="CC173" s="80"/>
    </row>
    <row r="174" spans="1:81">
      <c r="A174">
        <f t="shared" si="158"/>
        <v>70000</v>
      </c>
      <c r="B174">
        <f t="shared" si="138"/>
        <v>70</v>
      </c>
      <c r="C174">
        <f t="shared" si="107"/>
        <v>1.0033406186975407</v>
      </c>
      <c r="D174">
        <f t="shared" si="108"/>
        <v>8.1625306779857104E-2</v>
      </c>
      <c r="F174">
        <f t="shared" si="109"/>
        <v>9.9644138463937312E-2</v>
      </c>
      <c r="G174">
        <f t="shared" si="110"/>
        <v>0.10156816798286165</v>
      </c>
      <c r="H174">
        <f t="shared" si="111"/>
        <v>-3.0400244820171385</v>
      </c>
      <c r="J174">
        <f t="shared" si="112"/>
        <v>9</v>
      </c>
      <c r="M174">
        <f t="shared" si="113"/>
        <v>6.0296012696720816E-2</v>
      </c>
      <c r="N174">
        <f t="shared" si="114"/>
        <v>-1.5707963250000001</v>
      </c>
      <c r="O174">
        <f t="shared" si="115"/>
        <v>9.0576676656819188</v>
      </c>
      <c r="P174">
        <f t="shared" si="116"/>
        <v>1.4601671055197052</v>
      </c>
      <c r="Q174">
        <f t="shared" si="117"/>
        <v>3.809310680308128</v>
      </c>
      <c r="R174">
        <f t="shared" si="118"/>
        <v>1.3051689566835452</v>
      </c>
      <c r="S174">
        <f t="shared" si="119"/>
        <v>0.99888930095888206</v>
      </c>
      <c r="T174">
        <f t="shared" si="120"/>
        <v>-4.7136073463217902E-2</v>
      </c>
      <c r="U174">
        <f t="shared" si="121"/>
        <v>0.99730750868243645</v>
      </c>
      <c r="V174">
        <f t="shared" si="122"/>
        <v>-7.3398916033132061E-2</v>
      </c>
      <c r="X174">
        <f t="shared" si="139"/>
        <v>5.4128096131817145</v>
      </c>
      <c r="Y174">
        <f t="shared" si="123"/>
        <v>-107.96784775883295</v>
      </c>
      <c r="Z174">
        <f t="shared" si="140"/>
        <v>72.032152241167054</v>
      </c>
      <c r="AC174">
        <v>1</v>
      </c>
      <c r="AD174">
        <f t="shared" si="124"/>
        <v>9.0022965704280011</v>
      </c>
      <c r="AE174">
        <f t="shared" si="125"/>
        <v>-2.2172734211201023E-5</v>
      </c>
      <c r="AF174">
        <f t="shared" si="126"/>
        <v>3.0154262891759999E-4</v>
      </c>
      <c r="AG174">
        <f t="shared" si="141"/>
        <v>29451.056633317774</v>
      </c>
      <c r="AH174">
        <f t="shared" si="142"/>
        <v>-5481.8466526710827</v>
      </c>
      <c r="AJ174">
        <f t="shared" si="127"/>
        <v>55000</v>
      </c>
      <c r="AK174">
        <f t="shared" si="128"/>
        <v>2594.4057501862503</v>
      </c>
      <c r="AL174">
        <v>1</v>
      </c>
      <c r="AM174">
        <f t="shared" si="129"/>
        <v>3.6757105243897503</v>
      </c>
      <c r="AN174">
        <f t="shared" si="143"/>
        <v>4447.4509792329263</v>
      </c>
      <c r="AO174">
        <f t="shared" si="144"/>
        <v>-13753.136620887719</v>
      </c>
      <c r="AQ174">
        <f t="shared" si="130"/>
        <v>2.3218039344517005</v>
      </c>
      <c r="AR174">
        <f t="shared" si="131"/>
        <v>-85.651347141923225</v>
      </c>
      <c r="AT174">
        <f t="shared" si="156"/>
        <v>-401147.97146172368</v>
      </c>
      <c r="AU174">
        <f t="shared" si="157"/>
        <v>-2535250.4485229738</v>
      </c>
      <c r="AV174">
        <f t="shared" si="145"/>
        <v>-1.7277234837029631</v>
      </c>
      <c r="AW174">
        <f t="shared" si="146"/>
        <v>-1123390.1925147704</v>
      </c>
      <c r="AX174">
        <f t="shared" si="147"/>
        <v>-512126.37698544818</v>
      </c>
      <c r="AY174">
        <f t="shared" si="155"/>
        <v>-2.7138631855762689</v>
      </c>
      <c r="BA174">
        <f t="shared" si="132"/>
        <v>2.0790179167264458</v>
      </c>
      <c r="BB174">
        <f t="shared" si="148"/>
        <v>6.3571646409045224</v>
      </c>
      <c r="BC174">
        <f t="shared" si="149"/>
        <v>0.9861397018733058</v>
      </c>
      <c r="BD174">
        <f t="shared" si="133"/>
        <v>-123.4983570078078</v>
      </c>
      <c r="BF174">
        <f t="shared" si="134"/>
        <v>5.4400178475310899</v>
      </c>
      <c r="BG174">
        <f t="shared" si="135"/>
        <v>-113.00214405757399</v>
      </c>
      <c r="BH174">
        <f t="shared" si="150"/>
        <v>66.997855942426014</v>
      </c>
      <c r="BI174">
        <f t="shared" si="151"/>
        <v>66.997855942426014</v>
      </c>
      <c r="BJ174">
        <f t="shared" si="136"/>
        <v>0</v>
      </c>
      <c r="BK174">
        <f t="shared" si="152"/>
        <v>0</v>
      </c>
      <c r="BM174">
        <f t="shared" si="153"/>
        <v>-0.91714679337343219</v>
      </c>
      <c r="BN174">
        <f t="shared" si="137"/>
        <v>-169.5037870497662</v>
      </c>
      <c r="BQ174" s="75">
        <f t="shared" si="154"/>
        <v>23.259125441189656</v>
      </c>
      <c r="BR174" s="80"/>
      <c r="BS174" s="80"/>
      <c r="BT174" s="80">
        <v>4365.1580000000004</v>
      </c>
      <c r="BU174" s="80">
        <v>3.07782</v>
      </c>
      <c r="BV174" s="80">
        <v>-242.172</v>
      </c>
      <c r="BW174" s="84"/>
      <c r="BY174" s="80"/>
      <c r="BZ174" s="80"/>
      <c r="CA174" s="80"/>
      <c r="CC174" s="80"/>
    </row>
    <row r="175" spans="1:81">
      <c r="A175">
        <f t="shared" si="158"/>
        <v>70500</v>
      </c>
      <c r="B175">
        <f t="shared" si="138"/>
        <v>70.5</v>
      </c>
      <c r="C175">
        <f t="shared" si="107"/>
        <v>1.0033884313915817</v>
      </c>
      <c r="D175">
        <f t="shared" si="108"/>
        <v>8.220573077335705E-2</v>
      </c>
      <c r="F175">
        <f t="shared" si="109"/>
        <v>9.810522260369714E-2</v>
      </c>
      <c r="G175">
        <f t="shared" si="110"/>
        <v>0.10071090691710773</v>
      </c>
      <c r="H175">
        <f t="shared" si="111"/>
        <v>-3.0408817430828923</v>
      </c>
      <c r="J175">
        <f t="shared" si="112"/>
        <v>9</v>
      </c>
      <c r="M175">
        <f t="shared" si="113"/>
        <v>5.9868381400999385E-2</v>
      </c>
      <c r="N175">
        <f t="shared" si="114"/>
        <v>-1.5707963250000001</v>
      </c>
      <c r="O175">
        <f t="shared" si="115"/>
        <v>9.1215794566256978</v>
      </c>
      <c r="P175">
        <f t="shared" si="116"/>
        <v>1.4609453909435488</v>
      </c>
      <c r="Q175">
        <f t="shared" si="117"/>
        <v>3.834651131505312</v>
      </c>
      <c r="R175">
        <f t="shared" si="118"/>
        <v>1.3069663422369706</v>
      </c>
      <c r="S175">
        <f t="shared" si="119"/>
        <v>0.99887340406089908</v>
      </c>
      <c r="T175">
        <f t="shared" si="120"/>
        <v>-4.7472255878073508E-2</v>
      </c>
      <c r="U175">
        <f t="shared" si="121"/>
        <v>0.99726906513323033</v>
      </c>
      <c r="V175">
        <f t="shared" si="122"/>
        <v>-7.3921292922323703E-2</v>
      </c>
      <c r="X175">
        <f t="shared" si="139"/>
        <v>5.3343989012312045</v>
      </c>
      <c r="Y175">
        <f t="shared" si="123"/>
        <v>-107.88532610276329</v>
      </c>
      <c r="Z175">
        <f t="shared" si="140"/>
        <v>72.114673897236713</v>
      </c>
      <c r="AC175">
        <v>1</v>
      </c>
      <c r="AD175">
        <f t="shared" si="124"/>
        <v>9.0665986887882006</v>
      </c>
      <c r="AE175">
        <f t="shared" si="125"/>
        <v>-2.2490618819024875E-5</v>
      </c>
      <c r="AF175">
        <f t="shared" si="126"/>
        <v>3.0369650483843999E-4</v>
      </c>
      <c r="AG175">
        <f t="shared" si="141"/>
        <v>29448.786157434875</v>
      </c>
      <c r="AH175">
        <f t="shared" si="142"/>
        <v>-5473.6271167630439</v>
      </c>
      <c r="AJ175">
        <f t="shared" si="127"/>
        <v>55000</v>
      </c>
      <c r="AK175">
        <f t="shared" si="128"/>
        <v>2612.9372198304377</v>
      </c>
      <c r="AL175">
        <v>1</v>
      </c>
      <c r="AM175">
        <f t="shared" si="129"/>
        <v>3.7019655995639629</v>
      </c>
      <c r="AN175">
        <f t="shared" si="143"/>
        <v>4398.162934519275</v>
      </c>
      <c r="AO175">
        <f t="shared" si="144"/>
        <v>-13668.91066503721</v>
      </c>
      <c r="AQ175">
        <f t="shared" si="130"/>
        <v>2.2890110867258415</v>
      </c>
      <c r="AR175">
        <f t="shared" si="131"/>
        <v>-85.044773410668554</v>
      </c>
      <c r="AT175">
        <f t="shared" si="156"/>
        <v>-398094.77987461718</v>
      </c>
      <c r="AU175">
        <f t="shared" si="157"/>
        <v>-2516994.5391331553</v>
      </c>
      <c r="AV175">
        <f t="shared" si="145"/>
        <v>-1.7276596876030654</v>
      </c>
      <c r="AW175">
        <f t="shared" si="146"/>
        <v>-1108360.5464387848</v>
      </c>
      <c r="AX175">
        <f t="shared" si="147"/>
        <v>-503975.57772859035</v>
      </c>
      <c r="AY175">
        <f t="shared" si="155"/>
        <v>-2.714834067255111</v>
      </c>
      <c r="BA175">
        <f t="shared" si="132"/>
        <v>2.0929400869411299</v>
      </c>
      <c r="BB175">
        <f t="shared" si="148"/>
        <v>6.4151359257485581</v>
      </c>
      <c r="BC175">
        <f t="shared" si="149"/>
        <v>0.98717437965204557</v>
      </c>
      <c r="BD175">
        <f t="shared" si="133"/>
        <v>-123.43907433786229</v>
      </c>
      <c r="BF175">
        <f t="shared" si="134"/>
        <v>5.3632104554013038</v>
      </c>
      <c r="BG175">
        <f t="shared" si="135"/>
        <v>-112.9587229834995</v>
      </c>
      <c r="BH175">
        <f t="shared" si="150"/>
        <v>67.041277016500501</v>
      </c>
      <c r="BI175">
        <f t="shared" si="151"/>
        <v>67.041277016500501</v>
      </c>
      <c r="BJ175">
        <f t="shared" si="136"/>
        <v>0</v>
      </c>
      <c r="BK175">
        <f t="shared" si="152"/>
        <v>0</v>
      </c>
      <c r="BM175">
        <f t="shared" si="153"/>
        <v>-1.0519254703472549</v>
      </c>
      <c r="BN175">
        <f t="shared" si="137"/>
        <v>-169.5196486456372</v>
      </c>
      <c r="BQ175" s="75">
        <f t="shared" si="154"/>
        <v>23.317096726033697</v>
      </c>
      <c r="BR175" s="80"/>
      <c r="BS175" s="80"/>
      <c r="BT175" s="80">
        <v>4466.8360000000002</v>
      </c>
      <c r="BU175" s="80">
        <v>2.9233199999999999</v>
      </c>
      <c r="BV175" s="80">
        <v>-240.90300000000002</v>
      </c>
      <c r="BW175" s="84"/>
      <c r="BY175" s="80"/>
      <c r="BZ175" s="80"/>
      <c r="CA175" s="80"/>
      <c r="CC175" s="80"/>
    </row>
    <row r="176" spans="1:81">
      <c r="A176">
        <f t="shared" si="158"/>
        <v>71000</v>
      </c>
      <c r="B176">
        <f t="shared" si="138"/>
        <v>71</v>
      </c>
      <c r="C176">
        <f t="shared" si="107"/>
        <v>1.0034365820868902</v>
      </c>
      <c r="D176">
        <f t="shared" si="108"/>
        <v>8.2786099258157234E-2</v>
      </c>
      <c r="F176">
        <f t="shared" si="109"/>
        <v>9.6602640509159815E-2</v>
      </c>
      <c r="G176">
        <f t="shared" si="110"/>
        <v>9.9868925215626361E-2</v>
      </c>
      <c r="H176">
        <f t="shared" si="111"/>
        <v>-3.041723724784374</v>
      </c>
      <c r="J176">
        <f t="shared" si="112"/>
        <v>9</v>
      </c>
      <c r="M176">
        <f t="shared" si="113"/>
        <v>5.9446773081274044E-2</v>
      </c>
      <c r="N176">
        <f t="shared" si="114"/>
        <v>-1.5707963250000001</v>
      </c>
      <c r="O176">
        <f t="shared" si="115"/>
        <v>9.1854966958778732</v>
      </c>
      <c r="P176">
        <f t="shared" si="116"/>
        <v>1.4617128454353361</v>
      </c>
      <c r="Q176">
        <f t="shared" si="117"/>
        <v>3.860003808229362</v>
      </c>
      <c r="R176">
        <f t="shared" si="118"/>
        <v>1.3087401228416695</v>
      </c>
      <c r="S176">
        <f t="shared" si="119"/>
        <v>0.99885739478480939</v>
      </c>
      <c r="T176">
        <f t="shared" si="120"/>
        <v>-4.7808427554707121E-2</v>
      </c>
      <c r="U176">
        <f t="shared" si="121"/>
        <v>0.99723035245737335</v>
      </c>
      <c r="V176">
        <f t="shared" si="122"/>
        <v>-7.4443629398069991E-2</v>
      </c>
      <c r="X176">
        <f t="shared" si="139"/>
        <v>5.2567815599757157</v>
      </c>
      <c r="Y176">
        <f t="shared" si="123"/>
        <v>-107.8039022838807</v>
      </c>
      <c r="Z176">
        <f t="shared" si="140"/>
        <v>72.196097716119297</v>
      </c>
      <c r="AC176">
        <v>1</v>
      </c>
      <c r="AD176">
        <f t="shared" si="124"/>
        <v>9.1309008071484019</v>
      </c>
      <c r="AE176">
        <f t="shared" si="125"/>
        <v>-2.2810765950747832E-5</v>
      </c>
      <c r="AF176">
        <f t="shared" si="126"/>
        <v>3.0585038075927999E-4</v>
      </c>
      <c r="AG176">
        <f t="shared" si="141"/>
        <v>29446.499875376605</v>
      </c>
      <c r="AH176">
        <f t="shared" si="142"/>
        <v>-5465.7352806817416</v>
      </c>
      <c r="AJ176">
        <f t="shared" si="127"/>
        <v>55000</v>
      </c>
      <c r="AK176">
        <f t="shared" si="128"/>
        <v>2631.4686894746255</v>
      </c>
      <c r="AL176">
        <v>1</v>
      </c>
      <c r="AM176">
        <f t="shared" si="129"/>
        <v>3.7282206747381754</v>
      </c>
      <c r="AN176">
        <f t="shared" si="143"/>
        <v>4349.8193300703088</v>
      </c>
      <c r="AO176">
        <f t="shared" si="144"/>
        <v>-13585.617668269257</v>
      </c>
      <c r="AQ176">
        <f t="shared" si="130"/>
        <v>2.2569079439418811</v>
      </c>
      <c r="AR176">
        <f t="shared" si="131"/>
        <v>-84.446724538473362</v>
      </c>
      <c r="AT176">
        <f t="shared" si="156"/>
        <v>-395105.40215792536</v>
      </c>
      <c r="AU176">
        <f t="shared" si="157"/>
        <v>-2498996.1249725721</v>
      </c>
      <c r="AV176">
        <f t="shared" si="145"/>
        <v>-1.7276039781578878</v>
      </c>
      <c r="AW176">
        <f t="shared" si="146"/>
        <v>-1093615.2057883285</v>
      </c>
      <c r="AX176">
        <f t="shared" si="147"/>
        <v>-496026.19000119477</v>
      </c>
      <c r="AY176">
        <f t="shared" si="155"/>
        <v>-2.7157775670119872</v>
      </c>
      <c r="BA176">
        <f t="shared" si="132"/>
        <v>2.1068755459912794</v>
      </c>
      <c r="BB176">
        <f t="shared" si="148"/>
        <v>6.472777648226784</v>
      </c>
      <c r="BC176">
        <f t="shared" si="149"/>
        <v>0.98817358885409945</v>
      </c>
      <c r="BD176">
        <f t="shared" si="133"/>
        <v>-123.38182386766856</v>
      </c>
      <c r="BF176">
        <f t="shared" si="134"/>
        <v>5.2872063855595242</v>
      </c>
      <c r="BG176">
        <f t="shared" si="135"/>
        <v>-112.91646184650358</v>
      </c>
      <c r="BH176">
        <f t="shared" si="150"/>
        <v>67.08353815349642</v>
      </c>
      <c r="BI176">
        <f t="shared" si="151"/>
        <v>67.08353815349642</v>
      </c>
      <c r="BJ176">
        <f t="shared" si="136"/>
        <v>0</v>
      </c>
      <c r="BK176">
        <f t="shared" si="152"/>
        <v>0</v>
      </c>
      <c r="BM176">
        <f t="shared" si="153"/>
        <v>-1.1855712626672597</v>
      </c>
      <c r="BN176">
        <f t="shared" si="137"/>
        <v>-169.53463797883501</v>
      </c>
      <c r="BQ176" s="75">
        <f t="shared" si="154"/>
        <v>23.374738448511923</v>
      </c>
      <c r="BR176" s="80"/>
      <c r="BS176" s="80"/>
      <c r="BT176" s="80">
        <v>4570.8819999999996</v>
      </c>
      <c r="BU176" s="80">
        <v>2.7266900000000001</v>
      </c>
      <c r="BV176" s="80">
        <v>-241.25200000000001</v>
      </c>
      <c r="BW176" s="84"/>
      <c r="BY176" s="80"/>
      <c r="BZ176" s="80"/>
      <c r="CA176" s="80"/>
      <c r="CC176" s="80"/>
    </row>
    <row r="177" spans="1:81">
      <c r="A177">
        <f t="shared" si="158"/>
        <v>71500</v>
      </c>
      <c r="B177">
        <f t="shared" si="138"/>
        <v>71.5</v>
      </c>
      <c r="C177">
        <f t="shared" si="107"/>
        <v>1.0034850707348109</v>
      </c>
      <c r="D177">
        <f t="shared" si="108"/>
        <v>8.3366411851308289E-2</v>
      </c>
      <c r="F177">
        <f t="shared" si="109"/>
        <v>9.513522999742248E-2</v>
      </c>
      <c r="G177">
        <f t="shared" si="110"/>
        <v>9.9041800672524535E-2</v>
      </c>
      <c r="H177">
        <f t="shared" si="111"/>
        <v>-3.0425508493274758</v>
      </c>
      <c r="J177">
        <f t="shared" si="112"/>
        <v>9</v>
      </c>
      <c r="M177">
        <f t="shared" si="113"/>
        <v>5.9031061381404987E-2</v>
      </c>
      <c r="N177">
        <f t="shared" si="114"/>
        <v>-1.5707963250000001</v>
      </c>
      <c r="O177">
        <f t="shared" si="115"/>
        <v>9.2494192704883886</v>
      </c>
      <c r="P177">
        <f t="shared" si="116"/>
        <v>1.4624696926386684</v>
      </c>
      <c r="Q177">
        <f t="shared" si="117"/>
        <v>3.8853684711594845</v>
      </c>
      <c r="R177">
        <f t="shared" si="118"/>
        <v>1.3104907495224669</v>
      </c>
      <c r="S177">
        <f t="shared" si="119"/>
        <v>0.99884127314687143</v>
      </c>
      <c r="T177">
        <f t="shared" si="120"/>
        <v>-4.8144588417654434E-2</v>
      </c>
      <c r="U177">
        <f t="shared" si="121"/>
        <v>0.99719137074957498</v>
      </c>
      <c r="V177">
        <f t="shared" si="122"/>
        <v>-7.4965925180070087E-2</v>
      </c>
      <c r="X177">
        <f t="shared" si="139"/>
        <v>5.1799411714236809</v>
      </c>
      <c r="Y177">
        <f t="shared" si="123"/>
        <v>-107.72356183870501</v>
      </c>
      <c r="Z177">
        <f t="shared" si="140"/>
        <v>72.27643816129499</v>
      </c>
      <c r="AC177">
        <v>1</v>
      </c>
      <c r="AD177">
        <f t="shared" si="124"/>
        <v>9.1952029255086014</v>
      </c>
      <c r="AE177">
        <f t="shared" si="125"/>
        <v>-2.3133175606369886E-5</v>
      </c>
      <c r="AF177">
        <f t="shared" si="126"/>
        <v>3.0800425668012004E-4</v>
      </c>
      <c r="AG177">
        <f t="shared" si="141"/>
        <v>29444.19779458694</v>
      </c>
      <c r="AH177">
        <f t="shared" si="142"/>
        <v>-5458.1641704933509</v>
      </c>
      <c r="AJ177">
        <f t="shared" si="127"/>
        <v>55000</v>
      </c>
      <c r="AK177">
        <f t="shared" si="128"/>
        <v>2650.0001591188129</v>
      </c>
      <c r="AL177">
        <v>1</v>
      </c>
      <c r="AM177">
        <f t="shared" si="129"/>
        <v>3.7544757499123875</v>
      </c>
      <c r="AN177">
        <f t="shared" si="143"/>
        <v>4302.3967971420961</v>
      </c>
      <c r="AO177">
        <f t="shared" si="144"/>
        <v>-13503.244282251911</v>
      </c>
      <c r="AQ177">
        <f t="shared" si="130"/>
        <v>2.2254753039833384</v>
      </c>
      <c r="AR177">
        <f t="shared" si="131"/>
        <v>-83.857022191744178</v>
      </c>
      <c r="AT177">
        <f t="shared" si="156"/>
        <v>-392178.05893378996</v>
      </c>
      <c r="AU177">
        <f t="shared" si="157"/>
        <v>-2481249.7574453019</v>
      </c>
      <c r="AV177">
        <f t="shared" si="145"/>
        <v>-1.7275561881141466</v>
      </c>
      <c r="AW177">
        <f t="shared" si="146"/>
        <v>-1079147.2665505409</v>
      </c>
      <c r="AX177">
        <f t="shared" si="147"/>
        <v>-488271.86848576192</v>
      </c>
      <c r="AY177">
        <f t="shared" si="155"/>
        <v>-2.7166941843998136</v>
      </c>
      <c r="BA177">
        <f t="shared" si="132"/>
        <v>2.1208241582811791</v>
      </c>
      <c r="BB177">
        <f t="shared" si="148"/>
        <v>6.5300932359233368</v>
      </c>
      <c r="BC177">
        <f t="shared" si="149"/>
        <v>0.98913799628566701</v>
      </c>
      <c r="BD177">
        <f t="shared" si="133"/>
        <v>-123.32656739204555</v>
      </c>
      <c r="BF177">
        <f t="shared" si="134"/>
        <v>5.2119891877416213</v>
      </c>
      <c r="BG177">
        <f t="shared" si="135"/>
        <v>-112.87534665396228</v>
      </c>
      <c r="BH177">
        <f t="shared" si="150"/>
        <v>67.124653346037718</v>
      </c>
      <c r="BI177">
        <f t="shared" si="151"/>
        <v>67.124653346037718</v>
      </c>
      <c r="BJ177">
        <f t="shared" si="136"/>
        <v>0</v>
      </c>
      <c r="BK177">
        <f t="shared" si="152"/>
        <v>0</v>
      </c>
      <c r="BM177">
        <f t="shared" si="153"/>
        <v>-1.3181040481817159</v>
      </c>
      <c r="BN177">
        <f t="shared" si="137"/>
        <v>-169.54877926191676</v>
      </c>
      <c r="BQ177" s="75">
        <f t="shared" si="154"/>
        <v>23.43205403620847</v>
      </c>
      <c r="BR177" s="80"/>
      <c r="BS177" s="80"/>
      <c r="BT177" s="80">
        <v>4677.3509999999997</v>
      </c>
      <c r="BU177" s="80">
        <v>2.54392</v>
      </c>
      <c r="BV177" s="80">
        <v>-240.63800000000001</v>
      </c>
      <c r="BW177" s="84"/>
      <c r="BY177" s="80"/>
      <c r="BZ177" s="80"/>
      <c r="CA177" s="80"/>
      <c r="CC177" s="80"/>
    </row>
    <row r="178" spans="1:81">
      <c r="A178">
        <f t="shared" si="158"/>
        <v>72000</v>
      </c>
      <c r="B178">
        <f t="shared" si="138"/>
        <v>72</v>
      </c>
      <c r="C178">
        <f t="shared" si="107"/>
        <v>1.0035338972863557</v>
      </c>
      <c r="D178">
        <f t="shared" si="108"/>
        <v>8.3946668170085115E-2</v>
      </c>
      <c r="F178">
        <f t="shared" si="109"/>
        <v>9.3701875945324947E-2</v>
      </c>
      <c r="G178">
        <f t="shared" si="110"/>
        <v>9.8229126892404664E-2</v>
      </c>
      <c r="H178">
        <f t="shared" si="111"/>
        <v>-3.0433635231075957</v>
      </c>
      <c r="J178">
        <f t="shared" si="112"/>
        <v>9</v>
      </c>
      <c r="M178">
        <f t="shared" si="113"/>
        <v>5.8621123455145238E-2</v>
      </c>
      <c r="N178">
        <f t="shared" si="114"/>
        <v>-1.5707963250000001</v>
      </c>
      <c r="O178">
        <f t="shared" si="115"/>
        <v>9.3133470705988302</v>
      </c>
      <c r="P178">
        <f t="shared" si="116"/>
        <v>1.463216150106075</v>
      </c>
      <c r="Q178">
        <f t="shared" si="117"/>
        <v>3.9107448870720281</v>
      </c>
      <c r="R178">
        <f t="shared" si="118"/>
        <v>1.3122186621735885</v>
      </c>
      <c r="S178">
        <f t="shared" si="119"/>
        <v>0.99882503916345644</v>
      </c>
      <c r="T178">
        <f t="shared" si="120"/>
        <v>-4.8480738391465758E-2</v>
      </c>
      <c r="U178">
        <f t="shared" si="121"/>
        <v>0.9971521201051835</v>
      </c>
      <c r="V178">
        <f t="shared" si="122"/>
        <v>-7.5488179988155588E-2</v>
      </c>
      <c r="X178">
        <f t="shared" si="139"/>
        <v>5.1038618170255852</v>
      </c>
      <c r="Y178">
        <f t="shared" si="123"/>
        <v>-107.64429038460614</v>
      </c>
      <c r="Z178">
        <f t="shared" si="140"/>
        <v>72.355709615393863</v>
      </c>
      <c r="AC178">
        <v>1</v>
      </c>
      <c r="AD178">
        <f t="shared" si="124"/>
        <v>9.2595050438688009</v>
      </c>
      <c r="AE178">
        <f t="shared" si="125"/>
        <v>-2.3457847785891046E-5</v>
      </c>
      <c r="AF178">
        <f t="shared" si="126"/>
        <v>3.1015813260096005E-4</v>
      </c>
      <c r="AG178">
        <f t="shared" si="141"/>
        <v>29441.879922559587</v>
      </c>
      <c r="AH178">
        <f t="shared" si="142"/>
        <v>-5450.90700532755</v>
      </c>
      <c r="AJ178">
        <f t="shared" si="127"/>
        <v>55000</v>
      </c>
      <c r="AK178">
        <f t="shared" si="128"/>
        <v>2668.5316287630003</v>
      </c>
      <c r="AL178">
        <v>1</v>
      </c>
      <c r="AM178">
        <f t="shared" si="129"/>
        <v>3.7807308250866001</v>
      </c>
      <c r="AN178">
        <f t="shared" si="143"/>
        <v>4255.8726653390186</v>
      </c>
      <c r="AO178">
        <f t="shared" si="144"/>
        <v>-13421.777344727696</v>
      </c>
      <c r="AQ178">
        <f t="shared" si="130"/>
        <v>2.19469462821823</v>
      </c>
      <c r="AR178">
        <f t="shared" si="131"/>
        <v>-83.27549297311252</v>
      </c>
      <c r="AT178">
        <f t="shared" si="156"/>
        <v>-389311.03230855649</v>
      </c>
      <c r="AU178">
        <f t="shared" si="157"/>
        <v>-2463750.1409298433</v>
      </c>
      <c r="AV178">
        <f t="shared" si="145"/>
        <v>-1.727516154737426</v>
      </c>
      <c r="AW178">
        <f t="shared" si="146"/>
        <v>-1064950.0255613895</v>
      </c>
      <c r="AX178">
        <f t="shared" si="147"/>
        <v>-480706.50688702299</v>
      </c>
      <c r="AY178">
        <f t="shared" si="155"/>
        <v>-2.717584406283617</v>
      </c>
      <c r="BA178">
        <f t="shared" si="132"/>
        <v>2.1347857922644344</v>
      </c>
      <c r="BB178">
        <f t="shared" si="148"/>
        <v>6.5870860752327465</v>
      </c>
      <c r="BC178">
        <f t="shared" si="149"/>
        <v>0.99006825154619094</v>
      </c>
      <c r="BD178">
        <f t="shared" si="133"/>
        <v>-123.27326769168678</v>
      </c>
      <c r="BF178">
        <f t="shared" si="134"/>
        <v>5.1375429108553083</v>
      </c>
      <c r="BG178">
        <f t="shared" si="135"/>
        <v>-112.83536349323884</v>
      </c>
      <c r="BH178">
        <f t="shared" si="150"/>
        <v>67.164636506761155</v>
      </c>
      <c r="BI178">
        <f t="shared" si="151"/>
        <v>67.164636506761155</v>
      </c>
      <c r="BJ178">
        <f t="shared" si="136"/>
        <v>0</v>
      </c>
      <c r="BK178">
        <f t="shared" si="152"/>
        <v>0</v>
      </c>
      <c r="BM178">
        <f t="shared" si="153"/>
        <v>-1.449543164377439</v>
      </c>
      <c r="BN178">
        <f t="shared" si="137"/>
        <v>-169.56209580155209</v>
      </c>
      <c r="BQ178" s="75">
        <f t="shared" si="154"/>
        <v>23.489046875517886</v>
      </c>
      <c r="BR178" s="80"/>
      <c r="BS178" s="80"/>
      <c r="BT178" s="80">
        <v>4786.3010000000004</v>
      </c>
      <c r="BU178" s="80">
        <v>2.5307499999999998</v>
      </c>
      <c r="BV178" s="80">
        <v>-240.03100000000001</v>
      </c>
      <c r="BW178" s="84"/>
      <c r="BY178" s="80"/>
      <c r="BZ178" s="80"/>
      <c r="CA178" s="80"/>
      <c r="CC178" s="80"/>
    </row>
    <row r="179" spans="1:81">
      <c r="A179">
        <f t="shared" si="158"/>
        <v>72500</v>
      </c>
      <c r="B179">
        <f t="shared" si="138"/>
        <v>72.5</v>
      </c>
      <c r="C179">
        <f t="shared" si="107"/>
        <v>1.0035830616922059</v>
      </c>
      <c r="D179">
        <f t="shared" si="108"/>
        <v>8.45268678319884E-2</v>
      </c>
      <c r="F179">
        <f t="shared" si="109"/>
        <v>9.2301507981145017E-2</v>
      </c>
      <c r="G179">
        <f t="shared" si="110"/>
        <v>9.7430512546507003E-2</v>
      </c>
      <c r="H179">
        <f t="shared" si="111"/>
        <v>-3.0441621374534931</v>
      </c>
      <c r="J179">
        <f t="shared" si="112"/>
        <v>9</v>
      </c>
      <c r="M179">
        <f t="shared" si="113"/>
        <v>5.8216839845109745E-2</v>
      </c>
      <c r="N179">
        <f t="shared" si="114"/>
        <v>-1.5707963250000001</v>
      </c>
      <c r="O179">
        <f t="shared" si="115"/>
        <v>9.3772799893376781</v>
      </c>
      <c r="P179">
        <f t="shared" si="116"/>
        <v>1.4639524295041642</v>
      </c>
      <c r="Q179">
        <f t="shared" si="117"/>
        <v>3.9361328286510644</v>
      </c>
      <c r="R179">
        <f t="shared" si="118"/>
        <v>1.3139242898904939</v>
      </c>
      <c r="S179">
        <f t="shared" si="119"/>
        <v>0.99880869285104779</v>
      </c>
      <c r="T179">
        <f t="shared" si="120"/>
        <v>-4.8816877400706143E-2</v>
      </c>
      <c r="U179">
        <f t="shared" si="121"/>
        <v>0.99711260062018414</v>
      </c>
      <c r="V179">
        <f t="shared" si="122"/>
        <v>-7.6010393542291499E-2</v>
      </c>
      <c r="X179">
        <f t="shared" si="139"/>
        <v>5.0285280580054934</v>
      </c>
      <c r="Y179">
        <f t="shared" si="123"/>
        <v>-107.56607363165685</v>
      </c>
      <c r="Z179">
        <f t="shared" si="140"/>
        <v>72.433926368343151</v>
      </c>
      <c r="AC179">
        <v>1</v>
      </c>
      <c r="AD179">
        <f t="shared" si="124"/>
        <v>9.3238071622290022</v>
      </c>
      <c r="AE179">
        <f t="shared" si="125"/>
        <v>-2.3784782489311303E-5</v>
      </c>
      <c r="AF179">
        <f t="shared" si="126"/>
        <v>3.1231200852180005E-4</v>
      </c>
      <c r="AG179">
        <f t="shared" si="141"/>
        <v>29439.546266837828</v>
      </c>
      <c r="AH179">
        <f t="shared" si="142"/>
        <v>-5443.9571907209447</v>
      </c>
      <c r="AJ179">
        <f t="shared" si="127"/>
        <v>55000</v>
      </c>
      <c r="AK179">
        <f t="shared" si="128"/>
        <v>2687.0630984071877</v>
      </c>
      <c r="AL179">
        <v>1</v>
      </c>
      <c r="AM179">
        <f t="shared" si="129"/>
        <v>3.8069859002608126</v>
      </c>
      <c r="AN179">
        <f t="shared" si="143"/>
        <v>4210.2249385104651</v>
      </c>
      <c r="AO179">
        <f t="shared" si="144"/>
        <v>-13341.2038794286</v>
      </c>
      <c r="AQ179">
        <f t="shared" si="130"/>
        <v>2.1645480141840014</v>
      </c>
      <c r="AR179">
        <f t="shared" si="131"/>
        <v>-82.701968251935241</v>
      </c>
      <c r="AT179">
        <f t="shared" si="156"/>
        <v>-386502.6633415363</v>
      </c>
      <c r="AU179">
        <f t="shared" si="157"/>
        <v>-2446492.1274378789</v>
      </c>
      <c r="AV179">
        <f t="shared" si="145"/>
        <v>-1.7274837196611699</v>
      </c>
      <c r="AW179">
        <f t="shared" si="146"/>
        <v>-1051016.9738427843</v>
      </c>
      <c r="AX179">
        <f t="shared" si="147"/>
        <v>-473324.22754550166</v>
      </c>
      <c r="AY179">
        <f t="shared" si="155"/>
        <v>-2.7184487072261554</v>
      </c>
      <c r="BA179">
        <f t="shared" si="132"/>
        <v>2.1487603203004091</v>
      </c>
      <c r="BB179">
        <f t="shared" si="148"/>
        <v>6.6437595115403925</v>
      </c>
      <c r="BC179">
        <f t="shared" si="149"/>
        <v>0.99096498756498552</v>
      </c>
      <c r="BD179">
        <f t="shared" si="133"/>
        <v>-123.22188850241378</v>
      </c>
      <c r="BF179">
        <f t="shared" si="134"/>
        <v>5.0638520833108203</v>
      </c>
      <c r="BG179">
        <f t="shared" si="135"/>
        <v>-112.79649854355669</v>
      </c>
      <c r="BH179">
        <f t="shared" si="150"/>
        <v>67.203501456443306</v>
      </c>
      <c r="BI179">
        <f t="shared" si="151"/>
        <v>67.203501456443306</v>
      </c>
      <c r="BJ179">
        <f t="shared" si="136"/>
        <v>0</v>
      </c>
      <c r="BK179">
        <f t="shared" si="152"/>
        <v>0</v>
      </c>
      <c r="BM179">
        <f t="shared" si="153"/>
        <v>-1.5799074282295718</v>
      </c>
      <c r="BN179">
        <f t="shared" si="137"/>
        <v>-169.57461004114293</v>
      </c>
      <c r="BQ179" s="75">
        <f t="shared" si="154"/>
        <v>23.545720311825526</v>
      </c>
      <c r="BR179" s="80"/>
      <c r="BS179" s="80"/>
      <c r="BT179" s="80">
        <v>4897.7879999999996</v>
      </c>
      <c r="BU179" s="80">
        <v>2.1795599999999999</v>
      </c>
      <c r="BV179" s="80">
        <v>-239.48099999999999</v>
      </c>
      <c r="BW179" s="84"/>
      <c r="BY179" s="80"/>
      <c r="BZ179" s="80"/>
      <c r="CA179" s="80"/>
      <c r="CC179" s="80"/>
    </row>
    <row r="180" spans="1:81">
      <c r="A180">
        <f t="shared" si="158"/>
        <v>73000</v>
      </c>
      <c r="B180">
        <f t="shared" si="138"/>
        <v>73</v>
      </c>
      <c r="C180">
        <f t="shared" si="107"/>
        <v>1.0036325639027104</v>
      </c>
      <c r="D180">
        <f t="shared" si="108"/>
        <v>8.5107010454746168E-2</v>
      </c>
      <c r="F180">
        <f t="shared" si="109"/>
        <v>9.0933098309235974E-2</v>
      </c>
      <c r="G180">
        <f t="shared" si="110"/>
        <v>9.6645580670778358E-2</v>
      </c>
      <c r="H180">
        <f t="shared" si="111"/>
        <v>-3.044947069329222</v>
      </c>
      <c r="J180">
        <f t="shared" si="112"/>
        <v>9</v>
      </c>
      <c r="M180">
        <f t="shared" si="113"/>
        <v>5.7818094366718593E-2</v>
      </c>
      <c r="N180">
        <f t="shared" si="114"/>
        <v>-1.5707963250000001</v>
      </c>
      <c r="O180">
        <f t="shared" si="115"/>
        <v>9.4412179227197743</v>
      </c>
      <c r="P180">
        <f t="shared" si="116"/>
        <v>1.4646787368105727</v>
      </c>
      <c r="Q180">
        <f t="shared" si="117"/>
        <v>3.9615320743058566</v>
      </c>
      <c r="R180">
        <f t="shared" si="118"/>
        <v>1.3156080512902832</v>
      </c>
      <c r="S180">
        <f t="shared" si="119"/>
        <v>0.99879223422624253</v>
      </c>
      <c r="T180">
        <f t="shared" si="120"/>
        <v>-4.9153005369955462E-2</v>
      </c>
      <c r="U180">
        <f t="shared" si="121"/>
        <v>0.9970728123911996</v>
      </c>
      <c r="V180">
        <f t="shared" si="122"/>
        <v>-7.6532565562577037E-2</v>
      </c>
      <c r="X180">
        <f t="shared" si="139"/>
        <v>4.9539249166334702</v>
      </c>
      <c r="Y180">
        <f t="shared" si="123"/>
        <v>-107.48889739320829</v>
      </c>
      <c r="Z180">
        <f t="shared" si="140"/>
        <v>72.511102606791709</v>
      </c>
      <c r="AC180">
        <v>1</v>
      </c>
      <c r="AD180">
        <f t="shared" si="124"/>
        <v>9.3881092805892017</v>
      </c>
      <c r="AE180">
        <f t="shared" si="125"/>
        <v>-2.4113979716630669E-5</v>
      </c>
      <c r="AF180">
        <f t="shared" si="126"/>
        <v>3.1446588444264005E-4</v>
      </c>
      <c r="AG180">
        <f t="shared" si="141"/>
        <v>29437.196835014507</v>
      </c>
      <c r="AH180">
        <f t="shared" si="142"/>
        <v>-5437.3083122340668</v>
      </c>
      <c r="AJ180">
        <f t="shared" si="127"/>
        <v>55000</v>
      </c>
      <c r="AK180">
        <f t="shared" si="128"/>
        <v>2705.5945680513755</v>
      </c>
      <c r="AL180">
        <v>1</v>
      </c>
      <c r="AM180">
        <f t="shared" si="129"/>
        <v>3.8332409754350256</v>
      </c>
      <c r="AN180">
        <f t="shared" si="143"/>
        <v>4165.4322715757962</v>
      </c>
      <c r="AO180">
        <f t="shared" si="144"/>
        <v>-13261.511095752363</v>
      </c>
      <c r="AQ180">
        <f t="shared" si="130"/>
        <v>2.1350181695751771</v>
      </c>
      <c r="AR180">
        <f t="shared" si="131"/>
        <v>-82.136284001726636</v>
      </c>
      <c r="AT180">
        <f t="shared" si="156"/>
        <v>-383751.34963448939</v>
      </c>
      <c r="AU180">
        <f t="shared" si="157"/>
        <v>-2429470.7114956817</v>
      </c>
      <c r="AV180">
        <f t="shared" si="145"/>
        <v>-1.7274587287416558</v>
      </c>
      <c r="AW180">
        <f t="shared" si="146"/>
        <v>-1037341.7901809949</v>
      </c>
      <c r="AX180">
        <f t="shared" si="147"/>
        <v>-466119.37155953294</v>
      </c>
      <c r="AY180">
        <f t="shared" si="155"/>
        <v>-2.7192875498599038</v>
      </c>
      <c r="BA180">
        <f t="shared" si="132"/>
        <v>2.1627476185161454</v>
      </c>
      <c r="BB180">
        <f t="shared" si="148"/>
        <v>6.7001168494303629</v>
      </c>
      <c r="BC180">
        <f t="shared" si="149"/>
        <v>0.99182882111824799</v>
      </c>
      <c r="BD180">
        <f t="shared" si="133"/>
        <v>-123.17239448555348</v>
      </c>
      <c r="BF180">
        <f t="shared" si="134"/>
        <v>4.9909016942924653</v>
      </c>
      <c r="BG180">
        <f t="shared" si="135"/>
        <v>-112.75873808659469</v>
      </c>
      <c r="BH180">
        <f t="shared" si="150"/>
        <v>67.24126191340531</v>
      </c>
      <c r="BI180">
        <f t="shared" si="151"/>
        <v>67.24126191340531</v>
      </c>
      <c r="BJ180">
        <f t="shared" si="136"/>
        <v>0</v>
      </c>
      <c r="BK180">
        <f t="shared" si="152"/>
        <v>0</v>
      </c>
      <c r="BM180">
        <f t="shared" si="153"/>
        <v>-1.7092151551378978</v>
      </c>
      <c r="BN180">
        <f t="shared" si="137"/>
        <v>-169.58634360104122</v>
      </c>
      <c r="BQ180" s="75">
        <f t="shared" si="154"/>
        <v>23.6020776497155</v>
      </c>
      <c r="BR180" s="80"/>
      <c r="BS180" s="80"/>
      <c r="BT180" s="80">
        <v>5011.8720000000003</v>
      </c>
      <c r="BU180" s="80">
        <v>2.08934</v>
      </c>
      <c r="BV180" s="80">
        <v>-238.50700000000001</v>
      </c>
      <c r="BW180" s="84"/>
      <c r="BY180" s="80"/>
      <c r="BZ180" s="80"/>
      <c r="CA180" s="80"/>
      <c r="CC180" s="80"/>
    </row>
    <row r="181" spans="1:81">
      <c r="A181">
        <f t="shared" si="158"/>
        <v>73500</v>
      </c>
      <c r="B181">
        <f t="shared" si="138"/>
        <v>73.5</v>
      </c>
      <c r="C181">
        <f t="shared" si="107"/>
        <v>1.0036824038678873</v>
      </c>
      <c r="D181">
        <f t="shared" si="108"/>
        <v>8.5687095656315118E-2</v>
      </c>
      <c r="F181">
        <f t="shared" si="109"/>
        <v>8.9595659658823212E-2</v>
      </c>
      <c r="G181">
        <f t="shared" si="110"/>
        <v>9.5873968003124699E-2</v>
      </c>
      <c r="H181">
        <f t="shared" si="111"/>
        <v>-3.0457186819968753</v>
      </c>
      <c r="J181">
        <f t="shared" si="112"/>
        <v>9</v>
      </c>
      <c r="M181">
        <f t="shared" si="113"/>
        <v>5.7424773996876961E-2</v>
      </c>
      <c r="N181">
        <f t="shared" si="114"/>
        <v>-1.5707963250000001</v>
      </c>
      <c r="O181">
        <f t="shared" si="115"/>
        <v>9.5051607695498035</v>
      </c>
      <c r="P181">
        <f t="shared" si="116"/>
        <v>1.4653952725030894</v>
      </c>
      <c r="Q181">
        <f t="shared" si="117"/>
        <v>3.9869424079949165</v>
      </c>
      <c r="R181">
        <f t="shared" si="118"/>
        <v>1.3172703548211111</v>
      </c>
      <c r="S181">
        <f t="shared" si="119"/>
        <v>0.99877566330574874</v>
      </c>
      <c r="T181">
        <f t="shared" si="120"/>
        <v>-4.9489122223808524E-2</v>
      </c>
      <c r="U181">
        <f t="shared" si="121"/>
        <v>0.99703275551548931</v>
      </c>
      <c r="V181">
        <f t="shared" si="122"/>
        <v>-7.7054695769246548E-2</v>
      </c>
      <c r="X181">
        <f t="shared" si="139"/>
        <v>4.8800378583861477</v>
      </c>
      <c r="Y181">
        <f t="shared" si="123"/>
        <v>-107.41274759529843</v>
      </c>
      <c r="Z181">
        <f t="shared" si="140"/>
        <v>72.587252404701573</v>
      </c>
      <c r="AC181">
        <v>1</v>
      </c>
      <c r="AD181">
        <f t="shared" si="124"/>
        <v>9.4524113989494012</v>
      </c>
      <c r="AE181">
        <f t="shared" si="125"/>
        <v>-2.4445439467849126E-5</v>
      </c>
      <c r="AF181">
        <f t="shared" si="126"/>
        <v>3.1661976036348005E-4</v>
      </c>
      <c r="AG181">
        <f t="shared" si="141"/>
        <v>29434.831634731992</v>
      </c>
      <c r="AH181">
        <f t="shared" si="142"/>
        <v>-5430.9541293289085</v>
      </c>
      <c r="AJ181">
        <f t="shared" si="127"/>
        <v>55000</v>
      </c>
      <c r="AK181">
        <f t="shared" si="128"/>
        <v>2724.1260376955629</v>
      </c>
      <c r="AL181">
        <v>1</v>
      </c>
      <c r="AM181">
        <f t="shared" si="129"/>
        <v>3.8594960506092382</v>
      </c>
      <c r="AN181">
        <f t="shared" si="143"/>
        <v>4121.4739482389432</v>
      </c>
      <c r="AO181">
        <f t="shared" si="144"/>
        <v>-13182.686388221502</v>
      </c>
      <c r="AQ181">
        <f t="shared" si="130"/>
        <v>2.1060883874632208</v>
      </c>
      <c r="AR181">
        <f t="shared" si="131"/>
        <v>-81.578280644194123</v>
      </c>
      <c r="AT181">
        <f t="shared" si="156"/>
        <v>-381055.54303529457</v>
      </c>
      <c r="AU181">
        <f t="shared" si="157"/>
        <v>-2412681.025237395</v>
      </c>
      <c r="AV181">
        <f t="shared" si="145"/>
        <v>-1.7274410319186781</v>
      </c>
      <c r="AW181">
        <f t="shared" si="146"/>
        <v>-1023918.3349373192</v>
      </c>
      <c r="AX181">
        <f t="shared" si="147"/>
        <v>-459086.48938817997</v>
      </c>
      <c r="AY181">
        <f t="shared" si="155"/>
        <v>-2.7201013852459517</v>
      </c>
      <c r="BA181">
        <f t="shared" si="132"/>
        <v>2.1767475666735039</v>
      </c>
      <c r="BB181">
        <f t="shared" si="148"/>
        <v>6.7561613529182036</v>
      </c>
      <c r="BC181">
        <f t="shared" si="149"/>
        <v>0.99266035332727354</v>
      </c>
      <c r="BD181">
        <f t="shared" si="133"/>
        <v>-123.1247511993927</v>
      </c>
      <c r="BF181">
        <f t="shared" si="134"/>
        <v>4.9186771759183809</v>
      </c>
      <c r="BG181">
        <f t="shared" si="135"/>
        <v>-112.72206851591392</v>
      </c>
      <c r="BH181">
        <f t="shared" si="150"/>
        <v>67.277931484086082</v>
      </c>
      <c r="BI181">
        <f t="shared" si="151"/>
        <v>67.277931484086082</v>
      </c>
      <c r="BJ181">
        <f t="shared" si="136"/>
        <v>0</v>
      </c>
      <c r="BK181">
        <f t="shared" si="152"/>
        <v>0</v>
      </c>
      <c r="BM181">
        <f t="shared" si="153"/>
        <v>-1.8374841769998236</v>
      </c>
      <c r="BN181">
        <f t="shared" si="137"/>
        <v>-169.59731731652121</v>
      </c>
      <c r="BQ181" s="75">
        <f t="shared" si="154"/>
        <v>23.65812215320334</v>
      </c>
      <c r="BR181" s="80"/>
      <c r="BS181" s="80"/>
      <c r="BT181" s="80">
        <v>5128.6139999999996</v>
      </c>
      <c r="BU181" s="80">
        <v>1.7954699999999999</v>
      </c>
      <c r="BV181" s="80">
        <v>-237.881</v>
      </c>
      <c r="BW181" s="84"/>
      <c r="BY181" s="80"/>
      <c r="BZ181" s="80"/>
      <c r="CA181" s="80"/>
      <c r="CC181" s="80"/>
    </row>
    <row r="182" spans="1:81">
      <c r="A182">
        <f t="shared" si="158"/>
        <v>74000</v>
      </c>
      <c r="B182">
        <f t="shared" si="138"/>
        <v>74</v>
      </c>
      <c r="C182">
        <f t="shared" si="107"/>
        <v>1.0037325815374227</v>
      </c>
      <c r="D182">
        <f t="shared" si="108"/>
        <v>8.6267123054882197E-2</v>
      </c>
      <c r="F182">
        <f t="shared" si="109"/>
        <v>8.828824334883055E-2</v>
      </c>
      <c r="G182">
        <f t="shared" si="110"/>
        <v>9.5115324357310183E-2</v>
      </c>
      <c r="H182">
        <f t="shared" si="111"/>
        <v>-3.04647732564269</v>
      </c>
      <c r="J182">
        <f t="shared" si="112"/>
        <v>9</v>
      </c>
      <c r="M182">
        <f t="shared" si="113"/>
        <v>5.7036768767168337E-2</v>
      </c>
      <c r="N182">
        <f t="shared" si="114"/>
        <v>-1.5707963250000001</v>
      </c>
      <c r="O182">
        <f t="shared" si="115"/>
        <v>9.5691084313296031</v>
      </c>
      <c r="P182">
        <f t="shared" si="116"/>
        <v>1.4661022317413124</v>
      </c>
      <c r="Q182">
        <f t="shared" si="117"/>
        <v>4.0123636190563969</v>
      </c>
      <c r="R182">
        <f t="shared" si="118"/>
        <v>1.3189115990610334</v>
      </c>
      <c r="S182">
        <f t="shared" si="119"/>
        <v>0.99875898010638853</v>
      </c>
      <c r="T182">
        <f t="shared" si="120"/>
        <v>-4.982522788687517E-2</v>
      </c>
      <c r="U182">
        <f t="shared" si="121"/>
        <v>0.99699243009094718</v>
      </c>
      <c r="V182">
        <f t="shared" si="122"/>
        <v>-7.7576783882670378E-2</v>
      </c>
      <c r="X182">
        <f t="shared" si="139"/>
        <v>4.8068527749462433</v>
      </c>
      <c r="Y182">
        <f t="shared" si="123"/>
        <v>-107.33761028499391</v>
      </c>
      <c r="Z182">
        <f t="shared" si="140"/>
        <v>72.662389715006086</v>
      </c>
      <c r="AC182">
        <v>1</v>
      </c>
      <c r="AD182">
        <f t="shared" si="124"/>
        <v>9.5167135173096025</v>
      </c>
      <c r="AE182">
        <f t="shared" si="125"/>
        <v>-2.4779161742966694E-5</v>
      </c>
      <c r="AF182">
        <f t="shared" si="126"/>
        <v>3.1877363628432E-4</v>
      </c>
      <c r="AG182">
        <f t="shared" si="141"/>
        <v>29432.450673682084</v>
      </c>
      <c r="AH182">
        <f t="shared" si="142"/>
        <v>-5424.8885694946648</v>
      </c>
      <c r="AJ182">
        <f t="shared" si="127"/>
        <v>55000</v>
      </c>
      <c r="AK182">
        <f t="shared" si="128"/>
        <v>2742.6575073397503</v>
      </c>
      <c r="AL182">
        <v>1</v>
      </c>
      <c r="AM182">
        <f t="shared" si="129"/>
        <v>3.8857511257834507</v>
      </c>
      <c r="AN182">
        <f t="shared" si="143"/>
        <v>4078.3298595556362</v>
      </c>
      <c r="AO182">
        <f t="shared" si="144"/>
        <v>-13104.717335744825</v>
      </c>
      <c r="AQ182">
        <f t="shared" si="130"/>
        <v>2.0777425226823709</v>
      </c>
      <c r="AR182">
        <f t="shared" si="131"/>
        <v>-81.027802899567106</v>
      </c>
      <c r="AT182">
        <f t="shared" si="156"/>
        <v>-378413.7474496676</v>
      </c>
      <c r="AU182">
        <f t="shared" si="157"/>
        <v>-2396118.3336999957</v>
      </c>
      <c r="AV182">
        <f t="shared" si="145"/>
        <v>-1.72743048308168</v>
      </c>
      <c r="AW182">
        <f t="shared" si="146"/>
        <v>-1010740.6440822618</v>
      </c>
      <c r="AX182">
        <f t="shared" si="147"/>
        <v>-452220.33190911589</v>
      </c>
      <c r="AY182">
        <f t="shared" si="155"/>
        <v>-2.720890653220335</v>
      </c>
      <c r="BA182">
        <f t="shared" si="132"/>
        <v>2.1907600480412985</v>
      </c>
      <c r="BB182">
        <f t="shared" si="148"/>
        <v>6.8118962457062961</v>
      </c>
      <c r="BC182">
        <f t="shared" si="149"/>
        <v>0.99346017013865495</v>
      </c>
      <c r="BD182">
        <f t="shared" si="133"/>
        <v>-123.07892507166457</v>
      </c>
      <c r="BF182">
        <f t="shared" si="134"/>
        <v>4.8471643862391707</v>
      </c>
      <c r="BG182">
        <f t="shared" si="135"/>
        <v>-112.68647634531723</v>
      </c>
      <c r="BH182">
        <f t="shared" si="150"/>
        <v>67.313523654682768</v>
      </c>
      <c r="BI182">
        <f t="shared" si="151"/>
        <v>67.313523654682768</v>
      </c>
      <c r="BJ182">
        <f t="shared" si="136"/>
        <v>0</v>
      </c>
      <c r="BK182">
        <f t="shared" si="152"/>
        <v>0</v>
      </c>
      <c r="BM182">
        <f t="shared" si="153"/>
        <v>-1.9647318594671259</v>
      </c>
      <c r="BN182">
        <f t="shared" si="137"/>
        <v>-169.60755127365266</v>
      </c>
      <c r="BQ182" s="75">
        <f t="shared" si="154"/>
        <v>23.713857045991432</v>
      </c>
      <c r="BR182" s="80"/>
      <c r="BS182" s="80"/>
      <c r="BT182" s="80">
        <v>5248.0749999999998</v>
      </c>
      <c r="BU182" s="80">
        <v>1.6024099999999999</v>
      </c>
      <c r="BV182" s="80">
        <v>-238.28</v>
      </c>
      <c r="BW182" s="84"/>
      <c r="BY182" s="80"/>
      <c r="BZ182" s="80"/>
      <c r="CA182" s="80"/>
      <c r="CC182" s="80"/>
    </row>
    <row r="183" spans="1:81">
      <c r="A183">
        <f t="shared" si="158"/>
        <v>74500</v>
      </c>
      <c r="B183">
        <f t="shared" si="138"/>
        <v>74.5</v>
      </c>
      <c r="C183">
        <f t="shared" si="107"/>
        <v>1.0037830968606734</v>
      </c>
      <c r="D183">
        <f t="shared" si="108"/>
        <v>8.6847092268865986E-2</v>
      </c>
      <c r="F183">
        <f t="shared" si="109"/>
        <v>8.7009937461206582E-2</v>
      </c>
      <c r="G183">
        <f t="shared" si="110"/>
        <v>9.4369312031150301E-2</v>
      </c>
      <c r="H183">
        <f t="shared" si="111"/>
        <v>-3.04722333796885</v>
      </c>
      <c r="J183">
        <f t="shared" si="112"/>
        <v>9</v>
      </c>
      <c r="M183">
        <f t="shared" si="113"/>
        <v>5.6653971661348411E-2</v>
      </c>
      <c r="N183">
        <f t="shared" si="114"/>
        <v>-1.5707963250000001</v>
      </c>
      <c r="O183">
        <f t="shared" si="115"/>
        <v>9.6330608121691625</v>
      </c>
      <c r="P183">
        <f t="shared" si="116"/>
        <v>1.4667998045411823</v>
      </c>
      <c r="Q183">
        <f t="shared" si="117"/>
        <v>4.0377955020445508</v>
      </c>
      <c r="R183">
        <f t="shared" si="118"/>
        <v>1.3205321730066877</v>
      </c>
      <c r="S183">
        <f t="shared" si="119"/>
        <v>0.99874218464509568</v>
      </c>
      <c r="T183">
        <f t="shared" si="120"/>
        <v>-5.0161322283780382E-2</v>
      </c>
      <c r="U183">
        <f t="shared" si="121"/>
        <v>0.99695183621610384</v>
      </c>
      <c r="V183">
        <f t="shared" si="122"/>
        <v>-7.8098829623355737E-2</v>
      </c>
      <c r="X183">
        <f t="shared" si="139"/>
        <v>4.7343559679947882</v>
      </c>
      <c r="Y183">
        <f t="shared" si="123"/>
        <v>-107.26347163775833</v>
      </c>
      <c r="Z183">
        <f t="shared" si="140"/>
        <v>72.736528362241671</v>
      </c>
      <c r="AC183">
        <v>1</v>
      </c>
      <c r="AD183">
        <f t="shared" si="124"/>
        <v>9.5810156356698002</v>
      </c>
      <c r="AE183">
        <f t="shared" si="125"/>
        <v>-2.5115146541983364E-5</v>
      </c>
      <c r="AF183">
        <f t="shared" si="126"/>
        <v>3.2092751220516E-4</v>
      </c>
      <c r="AG183">
        <f t="shared" si="141"/>
        <v>29430.053959605932</v>
      </c>
      <c r="AH183">
        <f t="shared" si="142"/>
        <v>-5419.1057226100229</v>
      </c>
      <c r="AJ183">
        <f t="shared" si="127"/>
        <v>55000</v>
      </c>
      <c r="AK183">
        <f t="shared" si="128"/>
        <v>2761.1889769839377</v>
      </c>
      <c r="AL183">
        <v>1</v>
      </c>
      <c r="AM183">
        <f t="shared" si="129"/>
        <v>3.9120062009576633</v>
      </c>
      <c r="AN183">
        <f t="shared" si="143"/>
        <v>4035.980483317896</v>
      </c>
      <c r="AO183">
        <f t="shared" si="144"/>
        <v>-13027.591700699775</v>
      </c>
      <c r="AQ183">
        <f t="shared" si="130"/>
        <v>2.0499649693191682</v>
      </c>
      <c r="AR183">
        <f t="shared" si="131"/>
        <v>-80.484699642924511</v>
      </c>
      <c r="AT183">
        <f t="shared" si="156"/>
        <v>-375824.51675515604</v>
      </c>
      <c r="AU183">
        <f t="shared" si="157"/>
        <v>-2379778.0303103323</v>
      </c>
      <c r="AV183">
        <f t="shared" si="145"/>
        <v>-1.7274269399410902</v>
      </c>
      <c r="AW183">
        <f t="shared" si="146"/>
        <v>-997802.92344479717</v>
      </c>
      <c r="AX183">
        <f t="shared" si="147"/>
        <v>-445515.84190706891</v>
      </c>
      <c r="AY183">
        <f t="shared" si="155"/>
        <v>-2.7216557827282934</v>
      </c>
      <c r="BA183">
        <f t="shared" si="132"/>
        <v>2.2047849492721951</v>
      </c>
      <c r="BB183">
        <f t="shared" si="148"/>
        <v>6.8673247114597036</v>
      </c>
      <c r="BC183">
        <f t="shared" si="149"/>
        <v>0.99422884278720325</v>
      </c>
      <c r="BD183">
        <f t="shared" si="133"/>
        <v>-123.03488337302528</v>
      </c>
      <c r="BF183">
        <f t="shared" si="134"/>
        <v>4.7763495930292423</v>
      </c>
      <c r="BG183">
        <f t="shared" si="135"/>
        <v>-112.65194821623373</v>
      </c>
      <c r="BH183">
        <f t="shared" si="150"/>
        <v>67.348051783766266</v>
      </c>
      <c r="BI183">
        <f t="shared" si="151"/>
        <v>67.348051783766266</v>
      </c>
      <c r="BJ183">
        <f t="shared" si="136"/>
        <v>0</v>
      </c>
      <c r="BK183">
        <f t="shared" si="152"/>
        <v>0</v>
      </c>
      <c r="BM183">
        <f t="shared" si="153"/>
        <v>-2.0909751184304608</v>
      </c>
      <c r="BN183">
        <f t="shared" si="137"/>
        <v>-169.61706484320845</v>
      </c>
      <c r="BQ183" s="75">
        <f t="shared" si="154"/>
        <v>23.76928551174484</v>
      </c>
      <c r="BR183" s="80"/>
      <c r="BS183" s="80"/>
      <c r="BT183" s="80">
        <v>5370.3180000000002</v>
      </c>
      <c r="BU183" s="80">
        <v>1.48515</v>
      </c>
      <c r="BV183" s="80">
        <v>-237.34699999999998</v>
      </c>
      <c r="BW183" s="84"/>
      <c r="BY183" s="80"/>
      <c r="BZ183" s="80"/>
      <c r="CA183" s="80"/>
      <c r="CC183" s="80"/>
    </row>
    <row r="184" spans="1:81">
      <c r="A184">
        <f t="shared" si="158"/>
        <v>75000</v>
      </c>
      <c r="B184">
        <f t="shared" si="138"/>
        <v>75</v>
      </c>
      <c r="C184">
        <f t="shared" si="107"/>
        <v>1.003833949786664</v>
      </c>
      <c r="D184">
        <f t="shared" si="108"/>
        <v>8.742700291691817E-2</v>
      </c>
      <c r="F184">
        <f t="shared" si="109"/>
        <v>8.5759865115772146E-2</v>
      </c>
      <c r="G184">
        <f t="shared" si="110"/>
        <v>9.3635605246818895E-2</v>
      </c>
      <c r="H184">
        <f t="shared" si="111"/>
        <v>-3.0479570447531814</v>
      </c>
      <c r="J184">
        <f t="shared" si="112"/>
        <v>9</v>
      </c>
      <c r="M184">
        <f t="shared" si="113"/>
        <v>5.6276278516939428E-2</v>
      </c>
      <c r="N184">
        <f t="shared" si="114"/>
        <v>-1.5707963250000001</v>
      </c>
      <c r="O184">
        <f t="shared" si="115"/>
        <v>9.6970178187010845</v>
      </c>
      <c r="P184">
        <f t="shared" si="116"/>
        <v>1.4674881759427119</v>
      </c>
      <c r="Q184">
        <f t="shared" si="117"/>
        <v>4.0632378565720062</v>
      </c>
      <c r="R184">
        <f t="shared" si="118"/>
        <v>1.3221324563521955</v>
      </c>
      <c r="S184">
        <f t="shared" si="119"/>
        <v>0.99872527693891633</v>
      </c>
      <c r="T184">
        <f t="shared" si="120"/>
        <v>-5.0497405339164365E-2</v>
      </c>
      <c r="U184">
        <f t="shared" si="121"/>
        <v>0.99691097399012329</v>
      </c>
      <c r="V184">
        <f t="shared" si="122"/>
        <v>-7.8620832711947586E-2</v>
      </c>
      <c r="X184">
        <f t="shared" si="139"/>
        <v>4.6625341337527111</v>
      </c>
      <c r="Y184">
        <f t="shared" si="123"/>
        <v>-107.19031796392962</v>
      </c>
      <c r="Z184">
        <f t="shared" si="140"/>
        <v>72.809682036070384</v>
      </c>
      <c r="AC184">
        <v>1</v>
      </c>
      <c r="AD184">
        <f t="shared" si="124"/>
        <v>9.6453177540300015</v>
      </c>
      <c r="AE184">
        <f t="shared" si="125"/>
        <v>-2.5453393864899136E-5</v>
      </c>
      <c r="AF184">
        <f t="shared" si="126"/>
        <v>3.23081388126E-4</v>
      </c>
      <c r="AG184">
        <f t="shared" si="141"/>
        <v>29427.641500294019</v>
      </c>
      <c r="AH184">
        <f t="shared" si="142"/>
        <v>-5413.5998355309821</v>
      </c>
      <c r="AJ184">
        <f t="shared" si="127"/>
        <v>55000</v>
      </c>
      <c r="AK184">
        <f t="shared" si="128"/>
        <v>2779.720446628125</v>
      </c>
      <c r="AL184">
        <v>1</v>
      </c>
      <c r="AM184">
        <f t="shared" si="129"/>
        <v>3.9382612761318754</v>
      </c>
      <c r="AN184">
        <f t="shared" si="143"/>
        <v>3994.4068642219527</v>
      </c>
      <c r="AO184">
        <f t="shared" si="144"/>
        <v>-12951.297427852545</v>
      </c>
      <c r="AQ184">
        <f t="shared" si="130"/>
        <v>2.0227406392471341</v>
      </c>
      <c r="AR184">
        <f t="shared" si="131"/>
        <v>-79.948823766242967</v>
      </c>
      <c r="AT184">
        <f t="shared" si="156"/>
        <v>-373286.45281198819</v>
      </c>
      <c r="AU184">
        <f t="shared" si="157"/>
        <v>-2363655.6325551346</v>
      </c>
      <c r="AV184">
        <f t="shared" si="145"/>
        <v>-1.7274302639046308</v>
      </c>
      <c r="AW184">
        <f t="shared" si="146"/>
        <v>-985099.5431685982</v>
      </c>
      <c r="AX184">
        <f t="shared" si="147"/>
        <v>-438968.14596985962</v>
      </c>
      <c r="AY184">
        <f t="shared" si="155"/>
        <v>-2.7223971921469365</v>
      </c>
      <c r="BA184">
        <f t="shared" si="132"/>
        <v>2.2188221602841853</v>
      </c>
      <c r="BB184">
        <f t="shared" si="148"/>
        <v>6.9224498941006152</v>
      </c>
      <c r="BC184">
        <f t="shared" si="149"/>
        <v>0.9949669282423057</v>
      </c>
      <c r="BD184">
        <f t="shared" si="133"/>
        <v>-122.99259419147958</v>
      </c>
      <c r="BF184">
        <f t="shared" si="134"/>
        <v>4.7062194583276042</v>
      </c>
      <c r="BG184">
        <f t="shared" si="135"/>
        <v>-112.61847090421233</v>
      </c>
      <c r="BH184">
        <f t="shared" si="150"/>
        <v>67.38152909578767</v>
      </c>
      <c r="BI184">
        <f t="shared" si="151"/>
        <v>67.38152909578767</v>
      </c>
      <c r="BJ184">
        <f t="shared" si="136"/>
        <v>0</v>
      </c>
      <c r="BK184">
        <f t="shared" si="152"/>
        <v>0</v>
      </c>
      <c r="BM184">
        <f t="shared" si="153"/>
        <v>-2.21623043577301</v>
      </c>
      <c r="BN184">
        <f t="shared" si="137"/>
        <v>-169.62587671273272</v>
      </c>
      <c r="BQ184" s="75">
        <f t="shared" si="154"/>
        <v>23.824410694385755</v>
      </c>
      <c r="BR184" s="80"/>
      <c r="BS184" s="80"/>
      <c r="BT184" s="80">
        <v>5495.4089999999997</v>
      </c>
      <c r="BU184" s="80">
        <v>1.35836</v>
      </c>
      <c r="BV184" s="80">
        <v>-235.61199999999999</v>
      </c>
      <c r="BW184" s="84"/>
      <c r="BY184" s="80"/>
      <c r="BZ184" s="80"/>
      <c r="CA184" s="80"/>
      <c r="CC184" s="80"/>
    </row>
    <row r="185" spans="1:81">
      <c r="A185">
        <f t="shared" si="158"/>
        <v>75500</v>
      </c>
      <c r="B185">
        <f t="shared" si="138"/>
        <v>75.5</v>
      </c>
      <c r="C185">
        <f t="shared" si="107"/>
        <v>1.00388514026409</v>
      </c>
      <c r="D185">
        <f t="shared" si="108"/>
        <v>8.8006854617925082E-2</v>
      </c>
      <c r="F185">
        <f t="shared" si="109"/>
        <v>8.4537182840115549E-2</v>
      </c>
      <c r="G185">
        <f t="shared" si="110"/>
        <v>9.2913889621245763E-2</v>
      </c>
      <c r="H185">
        <f t="shared" si="111"/>
        <v>-3.0486787603787544</v>
      </c>
      <c r="J185">
        <f t="shared" si="112"/>
        <v>9</v>
      </c>
      <c r="M185">
        <f t="shared" si="113"/>
        <v>5.5903587930734529E-2</v>
      </c>
      <c r="N185">
        <f t="shared" si="114"/>
        <v>-1.5707963250000001</v>
      </c>
      <c r="O185">
        <f t="shared" si="115"/>
        <v>9.7609793599983981</v>
      </c>
      <c r="P185">
        <f t="shared" si="116"/>
        <v>1.4681675261712175</v>
      </c>
      <c r="Q185">
        <f t="shared" si="117"/>
        <v>4.0886904871576348</v>
      </c>
      <c r="R185">
        <f t="shared" si="118"/>
        <v>1.3237128197586578</v>
      </c>
      <c r="S185">
        <f t="shared" si="119"/>
        <v>0.99870825700500931</v>
      </c>
      <c r="T185">
        <f t="shared" si="120"/>
        <v>-5.0833476977682673E-2</v>
      </c>
      <c r="U185">
        <f t="shared" si="121"/>
        <v>0.99686984351280317</v>
      </c>
      <c r="V185">
        <f t="shared" si="122"/>
        <v>-7.9142792869229539E-2</v>
      </c>
      <c r="X185">
        <f t="shared" si="139"/>
        <v>4.5913743482313416</v>
      </c>
      <c r="Y185">
        <f t="shared" si="123"/>
        <v>-107.11813571438546</v>
      </c>
      <c r="Z185">
        <f t="shared" si="140"/>
        <v>72.88186428561454</v>
      </c>
      <c r="AC185">
        <v>1</v>
      </c>
      <c r="AD185">
        <f t="shared" si="124"/>
        <v>9.709619872390201</v>
      </c>
      <c r="AE185">
        <f t="shared" si="125"/>
        <v>-2.5793903711714008E-5</v>
      </c>
      <c r="AF185">
        <f t="shared" si="126"/>
        <v>3.2523526404684E-4</v>
      </c>
      <c r="AG185">
        <f t="shared" si="141"/>
        <v>29425.213303586086</v>
      </c>
      <c r="AH185">
        <f t="shared" si="142"/>
        <v>-5408.3653068937128</v>
      </c>
      <c r="AJ185">
        <f t="shared" si="127"/>
        <v>55000</v>
      </c>
      <c r="AK185">
        <f t="shared" si="128"/>
        <v>2798.2519162723129</v>
      </c>
      <c r="AL185">
        <v>1</v>
      </c>
      <c r="AM185">
        <f t="shared" si="129"/>
        <v>3.9645163513060879</v>
      </c>
      <c r="AN185">
        <f t="shared" si="143"/>
        <v>3953.5905947872466</v>
      </c>
      <c r="AO185">
        <f t="shared" si="144"/>
        <v>-12875.822643131689</v>
      </c>
      <c r="AQ185">
        <f t="shared" si="130"/>
        <v>1.9960549416515181</v>
      </c>
      <c r="AR185">
        <f t="shared" si="131"/>
        <v>-79.420032045901422</v>
      </c>
      <c r="AT185">
        <f t="shared" si="156"/>
        <v>-370798.20356566715</v>
      </c>
      <c r="AU185">
        <f t="shared" si="157"/>
        <v>-2347746.7778253737</v>
      </c>
      <c r="AV185">
        <f t="shared" si="145"/>
        <v>-1.7274403199583743</v>
      </c>
      <c r="AW185">
        <f t="shared" si="146"/>
        <v>-972625.03236740874</v>
      </c>
      <c r="AX185">
        <f t="shared" si="147"/>
        <v>-432572.54677039944</v>
      </c>
      <c r="AY185">
        <f t="shared" si="155"/>
        <v>-2.7231152895967696</v>
      </c>
      <c r="BA185">
        <f t="shared" si="132"/>
        <v>2.2328715741463956</v>
      </c>
      <c r="BB185">
        <f t="shared" si="148"/>
        <v>6.9772748981193944</v>
      </c>
      <c r="BC185">
        <f t="shared" si="149"/>
        <v>0.9956749696383953</v>
      </c>
      <c r="BD185">
        <f t="shared" si="133"/>
        <v>-122.95202640771674</v>
      </c>
      <c r="BF185">
        <f t="shared" si="134"/>
        <v>4.6367610236874421</v>
      </c>
      <c r="BG185">
        <f t="shared" si="135"/>
        <v>-112.58603132460159</v>
      </c>
      <c r="BH185">
        <f t="shared" si="150"/>
        <v>67.413968675398408</v>
      </c>
      <c r="BI185">
        <f t="shared" si="151"/>
        <v>67.413968675398408</v>
      </c>
      <c r="BJ185">
        <f t="shared" si="136"/>
        <v>0</v>
      </c>
      <c r="BK185">
        <f t="shared" si="152"/>
        <v>0</v>
      </c>
      <c r="BM185">
        <f t="shared" si="153"/>
        <v>-2.3405138744319514</v>
      </c>
      <c r="BN185">
        <f t="shared" si="137"/>
        <v>-169.63400491688483</v>
      </c>
      <c r="BQ185" s="75">
        <f t="shared" si="154"/>
        <v>23.879235698404532</v>
      </c>
      <c r="BR185" s="80"/>
      <c r="BS185" s="80"/>
      <c r="BT185" s="80">
        <v>5623.4129999999996</v>
      </c>
      <c r="BU185" s="80">
        <v>1.07298</v>
      </c>
      <c r="BV185" s="80">
        <v>-235.13800000000001</v>
      </c>
      <c r="BW185" s="84"/>
      <c r="BY185" s="80"/>
      <c r="BZ185" s="80"/>
      <c r="CA185" s="80"/>
      <c r="CC185" s="80"/>
    </row>
    <row r="186" spans="1:81">
      <c r="A186">
        <f t="shared" si="158"/>
        <v>76000</v>
      </c>
      <c r="B186">
        <f t="shared" si="138"/>
        <v>76</v>
      </c>
      <c r="C186">
        <f t="shared" si="107"/>
        <v>1.0039366682413164</v>
      </c>
      <c r="D186">
        <f t="shared" si="108"/>
        <v>8.8586646991009002E-2</v>
      </c>
      <c r="F186">
        <f t="shared" si="109"/>
        <v>8.3341079028527443E-2</v>
      </c>
      <c r="G186">
        <f t="shared" si="110"/>
        <v>9.2203861664726161E-2</v>
      </c>
      <c r="H186">
        <f t="shared" si="111"/>
        <v>-3.0493887883352739</v>
      </c>
      <c r="J186">
        <f t="shared" si="112"/>
        <v>9</v>
      </c>
      <c r="M186">
        <f t="shared" si="113"/>
        <v>5.5535801168032334E-2</v>
      </c>
      <c r="N186">
        <f t="shared" si="114"/>
        <v>-1.5707963250000001</v>
      </c>
      <c r="O186">
        <f t="shared" si="115"/>
        <v>9.824945347495543</v>
      </c>
      <c r="P186">
        <f t="shared" si="116"/>
        <v>1.4688380307923479</v>
      </c>
      <c r="Q186">
        <f t="shared" si="117"/>
        <v>4.1141532030797796</v>
      </c>
      <c r="R186">
        <f t="shared" si="118"/>
        <v>1.3252736251145991</v>
      </c>
      <c r="S186">
        <f t="shared" si="119"/>
        <v>0.99869112486064593</v>
      </c>
      <c r="T186">
        <f t="shared" si="120"/>
        <v>-5.1169537124006279E-2</v>
      </c>
      <c r="U186">
        <f t="shared" si="121"/>
        <v>0.99682844488457467</v>
      </c>
      <c r="V186">
        <f t="shared" si="122"/>
        <v>-7.9664709816124654E-2</v>
      </c>
      <c r="X186">
        <f t="shared" si="139"/>
        <v>4.5208640531536641</v>
      </c>
      <c r="Y186">
        <f t="shared" si="123"/>
        <v>-107.04691148546607</v>
      </c>
      <c r="Z186">
        <f t="shared" si="140"/>
        <v>72.953088514533931</v>
      </c>
      <c r="AC186">
        <v>1</v>
      </c>
      <c r="AD186">
        <f t="shared" si="124"/>
        <v>9.7739219907504005</v>
      </c>
      <c r="AE186">
        <f t="shared" si="125"/>
        <v>-2.6136676082427982E-5</v>
      </c>
      <c r="AF186">
        <f t="shared" si="126"/>
        <v>3.2738913996768E-4</v>
      </c>
      <c r="AG186">
        <f t="shared" si="141"/>
        <v>29422.769377371038</v>
      </c>
      <c r="AH186">
        <f t="shared" si="142"/>
        <v>-5403.3966821225822</v>
      </c>
      <c r="AJ186">
        <f t="shared" si="127"/>
        <v>55000</v>
      </c>
      <c r="AK186">
        <f t="shared" si="128"/>
        <v>2816.7833859165003</v>
      </c>
      <c r="AL186">
        <v>1</v>
      </c>
      <c r="AM186">
        <f t="shared" si="129"/>
        <v>3.9907714264803005</v>
      </c>
      <c r="AN186">
        <f t="shared" si="143"/>
        <v>3913.513796995519</v>
      </c>
      <c r="AO186">
        <f t="shared" si="144"/>
        <v>-12801.155652269645</v>
      </c>
      <c r="AQ186">
        <f t="shared" si="130"/>
        <v>1.9698937634922771</v>
      </c>
      <c r="AR186">
        <f t="shared" si="131"/>
        <v>-78.898185015392684</v>
      </c>
      <c r="AT186">
        <f t="shared" si="156"/>
        <v>-368358.46123651171</v>
      </c>
      <c r="AU186">
        <f t="shared" si="157"/>
        <v>-2332047.2194268387</v>
      </c>
      <c r="AV186">
        <f t="shared" si="145"/>
        <v>-1.7274569765523398</v>
      </c>
      <c r="AW186">
        <f t="shared" si="146"/>
        <v>-960374.07397202228</v>
      </c>
      <c r="AX186">
        <f t="shared" si="147"/>
        <v>-426324.51571427344</v>
      </c>
      <c r="AY186">
        <f t="shared" si="155"/>
        <v>-2.7238104732425135</v>
      </c>
      <c r="BA186">
        <f t="shared" si="132"/>
        <v>2.2469330869690847</v>
      </c>
      <c r="BB186">
        <f t="shared" si="148"/>
        <v>7.0318027889007064</v>
      </c>
      <c r="BC186">
        <f t="shared" si="149"/>
        <v>0.9963534966901737</v>
      </c>
      <c r="BD186">
        <f t="shared" si="133"/>
        <v>-122.91314967131997</v>
      </c>
      <c r="BF186">
        <f t="shared" si="134"/>
        <v>4.5679616960965097</v>
      </c>
      <c r="BG186">
        <f t="shared" si="135"/>
        <v>-112.55461653748661</v>
      </c>
      <c r="BH186">
        <f t="shared" si="150"/>
        <v>67.445383462513391</v>
      </c>
      <c r="BI186">
        <f t="shared" si="151"/>
        <v>67.445383462513391</v>
      </c>
      <c r="BJ186">
        <f t="shared" si="136"/>
        <v>0</v>
      </c>
      <c r="BK186">
        <f t="shared" si="152"/>
        <v>0</v>
      </c>
      <c r="BM186">
        <f t="shared" si="153"/>
        <v>-2.4638410928041972</v>
      </c>
      <c r="BN186">
        <f t="shared" si="137"/>
        <v>-169.64146686616664</v>
      </c>
      <c r="BQ186" s="75">
        <f t="shared" si="154"/>
        <v>23.93376358918584</v>
      </c>
      <c r="BR186" s="80"/>
      <c r="BS186" s="80"/>
      <c r="BT186" s="80">
        <v>5754.3990000000003</v>
      </c>
      <c r="BU186" s="80">
        <v>0.86915299999999995</v>
      </c>
      <c r="BV186" s="80">
        <v>-234.68899999999999</v>
      </c>
      <c r="BW186" s="84"/>
      <c r="BY186" s="80"/>
      <c r="BZ186" s="80"/>
      <c r="CA186" s="80"/>
      <c r="CC186" s="80"/>
    </row>
    <row r="187" spans="1:81">
      <c r="A187">
        <f t="shared" si="158"/>
        <v>76500</v>
      </c>
      <c r="B187">
        <f t="shared" si="138"/>
        <v>76.5</v>
      </c>
      <c r="C187">
        <f t="shared" si="107"/>
        <v>1.0039885336663781</v>
      </c>
      <c r="D187">
        <f t="shared" si="108"/>
        <v>8.9166379655529732E-2</v>
      </c>
      <c r="F187">
        <f t="shared" si="109"/>
        <v>8.2170772484395527E-2</v>
      </c>
      <c r="G187">
        <f t="shared" si="110"/>
        <v>9.1505228305996833E-2</v>
      </c>
      <c r="H187">
        <f t="shared" si="111"/>
        <v>-3.0500874216940033</v>
      </c>
      <c r="J187">
        <f t="shared" si="112"/>
        <v>9</v>
      </c>
      <c r="M187">
        <f t="shared" si="113"/>
        <v>5.5172822075430804E-2</v>
      </c>
      <c r="N187">
        <f t="shared" si="114"/>
        <v>-1.5707963250000001</v>
      </c>
      <c r="O187">
        <f t="shared" si="115"/>
        <v>9.8889156949124146</v>
      </c>
      <c r="P187">
        <f t="shared" si="116"/>
        <v>1.4694998608611791</v>
      </c>
      <c r="Q187">
        <f t="shared" si="117"/>
        <v>4.1396258182346255</v>
      </c>
      <c r="R187">
        <f t="shared" si="118"/>
        <v>1.3268152257876988</v>
      </c>
      <c r="S187">
        <f t="shared" si="119"/>
        <v>0.99867388052320905</v>
      </c>
      <c r="T187">
        <f t="shared" si="120"/>
        <v>-5.1505585702821696E-2</v>
      </c>
      <c r="U187">
        <f t="shared" si="121"/>
        <v>0.9967867782065013</v>
      </c>
      <c r="V187">
        <f t="shared" si="122"/>
        <v>-8.0186583273696377E-2</v>
      </c>
      <c r="X187">
        <f t="shared" si="139"/>
        <v>4.4509910425105872</v>
      </c>
      <c r="Y187">
        <f t="shared" si="123"/>
        <v>-106.97663202321932</v>
      </c>
      <c r="Z187">
        <f t="shared" si="140"/>
        <v>73.023367976780676</v>
      </c>
      <c r="AC187">
        <v>1</v>
      </c>
      <c r="AD187">
        <f t="shared" si="124"/>
        <v>9.8382241091106017</v>
      </c>
      <c r="AE187">
        <f t="shared" si="125"/>
        <v>-2.6481710977041061E-5</v>
      </c>
      <c r="AF187">
        <f t="shared" si="126"/>
        <v>3.2954301588852E-4</v>
      </c>
      <c r="AG187">
        <f t="shared" si="141"/>
        <v>29420.309729586927</v>
      </c>
      <c r="AH187">
        <f t="shared" si="142"/>
        <v>-5398.6886486339481</v>
      </c>
      <c r="AJ187">
        <f t="shared" si="127"/>
        <v>55000</v>
      </c>
      <c r="AK187">
        <f t="shared" si="128"/>
        <v>2835.3148555606881</v>
      </c>
      <c r="AL187">
        <v>1</v>
      </c>
      <c r="AM187">
        <f t="shared" si="129"/>
        <v>4.017026501654513</v>
      </c>
      <c r="AN187">
        <f t="shared" si="143"/>
        <v>3874.159104620423</v>
      </c>
      <c r="AO187">
        <f t="shared" si="144"/>
        <v>-12727.284939325671</v>
      </c>
      <c r="AQ187">
        <f t="shared" si="130"/>
        <v>1.9442434508564792</v>
      </c>
      <c r="AR187">
        <f t="shared" si="131"/>
        <v>-78.383146843004397</v>
      </c>
      <c r="AT187">
        <f t="shared" si="156"/>
        <v>-365965.96059161721</v>
      </c>
      <c r="AU187">
        <f t="shared" si="157"/>
        <v>-2316552.8227492026</v>
      </c>
      <c r="AV187">
        <f t="shared" si="145"/>
        <v>-1.7274801054904287</v>
      </c>
      <c r="AW187">
        <f t="shared" si="146"/>
        <v>-948341.49976161553</v>
      </c>
      <c r="AX187">
        <f t="shared" si="147"/>
        <v>-420219.68593370821</v>
      </c>
      <c r="AY187">
        <f t="shared" si="155"/>
        <v>-2.7244831315836384</v>
      </c>
      <c r="BA187">
        <f t="shared" si="132"/>
        <v>2.2610065977976146</v>
      </c>
      <c r="BB187">
        <f t="shared" si="148"/>
        <v>7.08603659306302</v>
      </c>
      <c r="BC187">
        <f t="shared" si="149"/>
        <v>0.99700302609320968</v>
      </c>
      <c r="BD187">
        <f t="shared" si="133"/>
        <v>-122.87593437781385</v>
      </c>
      <c r="BF187">
        <f t="shared" si="134"/>
        <v>4.4998092345325338</v>
      </c>
      <c r="BG187">
        <f t="shared" si="135"/>
        <v>-112.52421375194758</v>
      </c>
      <c r="BH187">
        <f t="shared" si="150"/>
        <v>67.475786248052415</v>
      </c>
      <c r="BI187">
        <f t="shared" si="151"/>
        <v>67.475786248052415</v>
      </c>
      <c r="BJ187">
        <f t="shared" si="136"/>
        <v>0</v>
      </c>
      <c r="BK187">
        <f t="shared" si="152"/>
        <v>0</v>
      </c>
      <c r="BM187">
        <f t="shared" si="153"/>
        <v>-2.5862273585304845</v>
      </c>
      <c r="BN187">
        <f t="shared" si="137"/>
        <v>-169.64827937413375</v>
      </c>
      <c r="BQ187" s="75">
        <f t="shared" si="154"/>
        <v>23.987997393348156</v>
      </c>
      <c r="BR187" s="80"/>
      <c r="BS187" s="80"/>
      <c r="BT187" s="80">
        <v>5888.4369999999999</v>
      </c>
      <c r="BU187" s="80">
        <v>0.80323599999999995</v>
      </c>
      <c r="BV187" s="80">
        <v>-233.95400000000001</v>
      </c>
      <c r="BW187" s="84"/>
      <c r="BY187" s="80"/>
      <c r="BZ187" s="80"/>
      <c r="CA187" s="80"/>
      <c r="CC187" s="80"/>
    </row>
    <row r="188" spans="1:81">
      <c r="A188">
        <f t="shared" si="158"/>
        <v>77000</v>
      </c>
      <c r="B188">
        <f t="shared" si="138"/>
        <v>77</v>
      </c>
      <c r="C188">
        <f t="shared" si="107"/>
        <v>1.0040407364869812</v>
      </c>
      <c r="D188">
        <f t="shared" si="108"/>
        <v>8.9746052231086046E-2</v>
      </c>
      <c r="F188">
        <f t="shared" si="109"/>
        <v>8.102551104087298E-2</v>
      </c>
      <c r="G188">
        <f t="shared" si="110"/>
        <v>9.0817706442155657E-2</v>
      </c>
      <c r="H188">
        <f t="shared" si="111"/>
        <v>-3.0507749435578444</v>
      </c>
      <c r="J188">
        <f t="shared" si="112"/>
        <v>9</v>
      </c>
      <c r="M188">
        <f t="shared" si="113"/>
        <v>5.4814556997018926E-2</v>
      </c>
      <c r="N188">
        <f t="shared" si="114"/>
        <v>-1.5707963250000001</v>
      </c>
      <c r="O188">
        <f t="shared" si="115"/>
        <v>9.9528903181813035</v>
      </c>
      <c r="P188">
        <f t="shared" si="116"/>
        <v>1.470153183065644</v>
      </c>
      <c r="Q188">
        <f t="shared" si="117"/>
        <v>4.1651081509995134</v>
      </c>
      <c r="R188">
        <f t="shared" si="118"/>
        <v>1.3283379668681412</v>
      </c>
      <c r="S188">
        <f t="shared" si="119"/>
        <v>0.99865652401019467</v>
      </c>
      <c r="T188">
        <f t="shared" si="120"/>
        <v>-5.1841622638831075E-2</v>
      </c>
      <c r="U188">
        <f t="shared" si="121"/>
        <v>0.99674484358027815</v>
      </c>
      <c r="V188">
        <f t="shared" si="122"/>
        <v>-8.0708412963149415E-2</v>
      </c>
      <c r="X188">
        <f t="shared" si="139"/>
        <v>4.3817434497187531</v>
      </c>
      <c r="Y188">
        <f t="shared" si="123"/>
        <v>-106.90728422702784</v>
      </c>
      <c r="Z188">
        <f t="shared" si="140"/>
        <v>73.092715772972156</v>
      </c>
      <c r="AC188">
        <v>1</v>
      </c>
      <c r="AD188">
        <f t="shared" si="124"/>
        <v>9.9025262274708012</v>
      </c>
      <c r="AE188">
        <f t="shared" si="125"/>
        <v>-2.6829008395553241E-5</v>
      </c>
      <c r="AF188">
        <f t="shared" si="126"/>
        <v>3.3169689180936001E-4</v>
      </c>
      <c r="AG188">
        <f t="shared" si="141"/>
        <v>29417.834368220843</v>
      </c>
      <c r="AH188">
        <f t="shared" si="142"/>
        <v>-5394.2360312268129</v>
      </c>
      <c r="AJ188">
        <f t="shared" si="127"/>
        <v>55000</v>
      </c>
      <c r="AK188">
        <f t="shared" si="128"/>
        <v>2853.8463252048755</v>
      </c>
      <c r="AL188">
        <v>1</v>
      </c>
      <c r="AM188">
        <f t="shared" si="129"/>
        <v>4.0432815768287256</v>
      </c>
      <c r="AN188">
        <f t="shared" si="143"/>
        <v>3835.5096462193223</v>
      </c>
      <c r="AO188">
        <f t="shared" si="144"/>
        <v>-12654.199165102573</v>
      </c>
      <c r="AQ188">
        <f t="shared" si="130"/>
        <v>1.919090791154167</v>
      </c>
      <c r="AR188">
        <f t="shared" si="131"/>
        <v>-77.874785214244937</v>
      </c>
      <c r="AT188">
        <f t="shared" si="156"/>
        <v>-363619.47729497793</v>
      </c>
      <c r="AU188">
        <f t="shared" si="157"/>
        <v>-2301259.5615862701</v>
      </c>
      <c r="AV188">
        <f t="shared" si="145"/>
        <v>-1.727509581824511</v>
      </c>
      <c r="AW188">
        <f t="shared" si="146"/>
        <v>-936522.28557245538</v>
      </c>
      <c r="AX188">
        <f t="shared" si="147"/>
        <v>-414253.84560983017</v>
      </c>
      <c r="AY188">
        <f t="shared" si="155"/>
        <v>-2.7251336437350107</v>
      </c>
      <c r="BA188">
        <f t="shared" si="132"/>
        <v>2.2750920085102431</v>
      </c>
      <c r="BB188">
        <f t="shared" si="148"/>
        <v>7.1399792988101041</v>
      </c>
      <c r="BC188">
        <f t="shared" si="149"/>
        <v>0.99762406191049968</v>
      </c>
      <c r="BD188">
        <f t="shared" si="133"/>
        <v>-122.840351646516</v>
      </c>
      <c r="BF188">
        <f t="shared" si="134"/>
        <v>4.4322917371201349</v>
      </c>
      <c r="BG188">
        <f t="shared" si="135"/>
        <v>-112.49481032969902</v>
      </c>
      <c r="BH188">
        <f t="shared" si="150"/>
        <v>67.505189670300979</v>
      </c>
      <c r="BI188">
        <f t="shared" si="151"/>
        <v>67.505189670300979</v>
      </c>
      <c r="BJ188">
        <f t="shared" si="136"/>
        <v>0</v>
      </c>
      <c r="BK188">
        <f t="shared" si="152"/>
        <v>0</v>
      </c>
      <c r="BM188">
        <f t="shared" si="153"/>
        <v>-2.7076875616899692</v>
      </c>
      <c r="BN188">
        <f t="shared" si="137"/>
        <v>-169.65445868318301</v>
      </c>
      <c r="BQ188" s="75">
        <f t="shared" si="154"/>
        <v>24.041940099095243</v>
      </c>
      <c r="BR188" s="80"/>
      <c r="BS188" s="80"/>
      <c r="BT188" s="80">
        <v>6025.5959999999995</v>
      </c>
      <c r="BU188" s="80">
        <v>0.76992799999999995</v>
      </c>
      <c r="BV188" s="80">
        <v>-234.14699999999999</v>
      </c>
      <c r="BW188" s="84"/>
      <c r="BY188" s="80"/>
      <c r="BZ188" s="80"/>
      <c r="CA188" s="80"/>
      <c r="CC188" s="80"/>
    </row>
    <row r="189" spans="1:81">
      <c r="A189">
        <f t="shared" si="158"/>
        <v>77500</v>
      </c>
      <c r="B189">
        <f t="shared" si="138"/>
        <v>77.5</v>
      </c>
      <c r="C189">
        <f t="shared" si="107"/>
        <v>1.0040932766505017</v>
      </c>
      <c r="D189">
        <f t="shared" si="108"/>
        <v>9.0325664337517028E-2</v>
      </c>
      <c r="F189">
        <f t="shared" si="109"/>
        <v>7.9904570254997781E-2</v>
      </c>
      <c r="G189">
        <f t="shared" si="110"/>
        <v>9.0141022511914901E-2</v>
      </c>
      <c r="H189">
        <f t="shared" si="111"/>
        <v>-3.0514516274880852</v>
      </c>
      <c r="J189">
        <f t="shared" si="112"/>
        <v>9</v>
      </c>
      <c r="M189">
        <f t="shared" si="113"/>
        <v>5.4460914693812347E-2</v>
      </c>
      <c r="N189">
        <f t="shared" si="114"/>
        <v>-1.5707963250000001</v>
      </c>
      <c r="O189">
        <f t="shared" si="115"/>
        <v>10.0168691353766</v>
      </c>
      <c r="P189">
        <f t="shared" si="116"/>
        <v>1.4707981598645403</v>
      </c>
      <c r="Q189">
        <f t="shared" si="117"/>
        <v>4.1906000241009975</v>
      </c>
      <c r="R189">
        <f t="shared" si="118"/>
        <v>1.3298421854038949</v>
      </c>
      <c r="S189">
        <f t="shared" si="119"/>
        <v>0.99863905533921027</v>
      </c>
      <c r="T189">
        <f t="shared" si="120"/>
        <v>-5.2177647856752316E-2</v>
      </c>
      <c r="U189">
        <f t="shared" si="121"/>
        <v>0.99670264110823104</v>
      </c>
      <c r="V189">
        <f t="shared" si="122"/>
        <v>-8.1230198605830542E-2</v>
      </c>
      <c r="X189">
        <f t="shared" si="139"/>
        <v>4.3131097353482053</v>
      </c>
      <c r="Y189">
        <f t="shared" si="123"/>
        <v>-106.83885515267194</v>
      </c>
      <c r="Z189">
        <f t="shared" si="140"/>
        <v>73.16114484732806</v>
      </c>
      <c r="AC189">
        <v>1</v>
      </c>
      <c r="AD189">
        <f t="shared" si="124"/>
        <v>9.9668283458310007</v>
      </c>
      <c r="AE189">
        <f t="shared" si="125"/>
        <v>-2.7178568337964523E-5</v>
      </c>
      <c r="AF189">
        <f t="shared" si="126"/>
        <v>3.3385076773020001E-4</v>
      </c>
      <c r="AG189">
        <f t="shared" si="141"/>
        <v>29415.343301308876</v>
      </c>
      <c r="AH189">
        <f t="shared" si="142"/>
        <v>-5390.033787651917</v>
      </c>
      <c r="AJ189">
        <f t="shared" si="127"/>
        <v>55000</v>
      </c>
      <c r="AK189">
        <f t="shared" si="128"/>
        <v>2872.3777948490629</v>
      </c>
      <c r="AL189">
        <v>1</v>
      </c>
      <c r="AM189">
        <f t="shared" si="129"/>
        <v>4.0695366520029381</v>
      </c>
      <c r="AN189">
        <f t="shared" si="143"/>
        <v>3797.5490287601683</v>
      </c>
      <c r="AO189">
        <f t="shared" si="144"/>
        <v>-12581.887165468603</v>
      </c>
      <c r="AQ189">
        <f t="shared" si="130"/>
        <v>1.8944229961143697</v>
      </c>
      <c r="AR189">
        <f t="shared" si="131"/>
        <v>-77.37297121880114</v>
      </c>
      <c r="AT189">
        <f t="shared" si="156"/>
        <v>-361317.82633175916</v>
      </c>
      <c r="AU189">
        <f t="shared" si="157"/>
        <v>-2286163.5146004879</v>
      </c>
      <c r="AV189">
        <f t="shared" si="145"/>
        <v>-1.7275452837524792</v>
      </c>
      <c r="AW189">
        <f t="shared" si="146"/>
        <v>-924911.54667725647</v>
      </c>
      <c r="AX189">
        <f t="shared" si="147"/>
        <v>-408422.93160615081</v>
      </c>
      <c r="AY189">
        <f t="shared" si="155"/>
        <v>-2.7257623796980246</v>
      </c>
      <c r="BA189">
        <f t="shared" si="132"/>
        <v>2.2891892237195641</v>
      </c>
      <c r="BB189">
        <f t="shared" si="148"/>
        <v>7.1936338562931272</v>
      </c>
      <c r="BC189">
        <f t="shared" si="149"/>
        <v>0.99821709594554542</v>
      </c>
      <c r="BD189">
        <f t="shared" si="133"/>
        <v>-122.80637329916144</v>
      </c>
      <c r="BF189">
        <f t="shared" si="134"/>
        <v>4.3653976288576288</v>
      </c>
      <c r="BG189">
        <f t="shared" si="135"/>
        <v>-112.46639378816475</v>
      </c>
      <c r="BH189">
        <f t="shared" si="150"/>
        <v>67.533606211835249</v>
      </c>
      <c r="BI189">
        <f t="shared" si="151"/>
        <v>67.533606211835249</v>
      </c>
      <c r="BJ189">
        <f t="shared" si="136"/>
        <v>0</v>
      </c>
      <c r="BK189">
        <f t="shared" si="152"/>
        <v>0</v>
      </c>
      <c r="BM189">
        <f t="shared" si="153"/>
        <v>-2.8282362274354971</v>
      </c>
      <c r="BN189">
        <f t="shared" si="137"/>
        <v>-169.66002048900333</v>
      </c>
      <c r="BQ189" s="75">
        <f t="shared" si="154"/>
        <v>24.095594656578264</v>
      </c>
      <c r="BR189" s="80"/>
      <c r="BS189" s="80"/>
      <c r="BT189" s="80">
        <v>6165.95</v>
      </c>
      <c r="BU189" s="80">
        <v>0.46947800000000001</v>
      </c>
      <c r="BV189" s="80">
        <v>-232.05599999999998</v>
      </c>
      <c r="BW189" s="84"/>
      <c r="BY189" s="80"/>
      <c r="BZ189" s="80"/>
      <c r="CA189" s="80"/>
      <c r="CC189" s="80"/>
    </row>
    <row r="190" spans="1:81">
      <c r="A190">
        <f t="shared" si="158"/>
        <v>78000</v>
      </c>
      <c r="B190">
        <f t="shared" si="138"/>
        <v>78</v>
      </c>
      <c r="C190">
        <f t="shared" si="107"/>
        <v>1.0041461541039876</v>
      </c>
      <c r="D190">
        <f t="shared" si="108"/>
        <v>9.0905215594903638E-2</v>
      </c>
      <c r="F190">
        <f t="shared" si="109"/>
        <v>7.8807252170775416E-2</v>
      </c>
      <c r="G190">
        <f t="shared" si="110"/>
        <v>8.9474912090782524E-2</v>
      </c>
      <c r="H190">
        <f t="shared" si="111"/>
        <v>-3.0521177379092177</v>
      </c>
      <c r="J190">
        <f t="shared" si="112"/>
        <v>9</v>
      </c>
      <c r="M190">
        <f t="shared" si="113"/>
        <v>5.4111806266287914E-2</v>
      </c>
      <c r="N190">
        <f t="shared" si="114"/>
        <v>-1.5707963250000001</v>
      </c>
      <c r="O190">
        <f t="shared" si="115"/>
        <v>10.080852066647184</v>
      </c>
      <c r="P190">
        <f t="shared" si="116"/>
        <v>1.4714349496203587</v>
      </c>
      <c r="Q190">
        <f t="shared" si="117"/>
        <v>4.2161012644874631</v>
      </c>
      <c r="R190">
        <f t="shared" si="118"/>
        <v>1.3313282106282216</v>
      </c>
      <c r="S190">
        <f t="shared" si="119"/>
        <v>0.99862147452797567</v>
      </c>
      <c r="T190">
        <f t="shared" si="120"/>
        <v>-5.251366128131911E-2</v>
      </c>
      <c r="U190">
        <f t="shared" si="121"/>
        <v>0.99666017089331693</v>
      </c>
      <c r="V190">
        <f t="shared" si="122"/>
        <v>-8.1751939923229572E-2</v>
      </c>
      <c r="X190">
        <f t="shared" si="139"/>
        <v>4.2450786753904923</v>
      </c>
      <c r="Y190">
        <f t="shared" si="123"/>
        <v>-106.77133201487813</v>
      </c>
      <c r="Z190">
        <f t="shared" si="140"/>
        <v>73.228667985121874</v>
      </c>
      <c r="AC190">
        <v>1</v>
      </c>
      <c r="AD190">
        <f t="shared" si="124"/>
        <v>10.031130464191202</v>
      </c>
      <c r="AE190">
        <f t="shared" si="125"/>
        <v>-2.7530390804274906E-5</v>
      </c>
      <c r="AF190">
        <f t="shared" si="126"/>
        <v>3.3600464365104001E-4</v>
      </c>
      <c r="AG190">
        <f t="shared" si="141"/>
        <v>29412.836536936069</v>
      </c>
      <c r="AH190">
        <f t="shared" si="142"/>
        <v>-5386.0770043512584</v>
      </c>
      <c r="AJ190">
        <f t="shared" si="127"/>
        <v>55000</v>
      </c>
      <c r="AK190">
        <f t="shared" si="128"/>
        <v>2890.9092644932502</v>
      </c>
      <c r="AL190">
        <v>1</v>
      </c>
      <c r="AM190">
        <f t="shared" si="129"/>
        <v>4.0957917271771498</v>
      </c>
      <c r="AN190">
        <f t="shared" si="143"/>
        <v>3760.2613218575734</v>
      </c>
      <c r="AO190">
        <f t="shared" si="144"/>
        <v>-12510.337949595216</v>
      </c>
      <c r="AQ190">
        <f t="shared" si="130"/>
        <v>1.8702276855404327</v>
      </c>
      <c r="AR190">
        <f t="shared" si="131"/>
        <v>-76.877579241825032</v>
      </c>
      <c r="AT190">
        <f t="shared" si="156"/>
        <v>-359059.86050293245</v>
      </c>
      <c r="AU190">
        <f t="shared" si="157"/>
        <v>-2271260.8619251396</v>
      </c>
      <c r="AV190">
        <f t="shared" si="145"/>
        <v>-1.7275870925201007</v>
      </c>
      <c r="AW190">
        <f t="shared" si="146"/>
        <v>-913504.53332872642</v>
      </c>
      <c r="AX190">
        <f t="shared" si="147"/>
        <v>-402723.02339718782</v>
      </c>
      <c r="AY190">
        <f t="shared" si="155"/>
        <v>-2.7263697006226018</v>
      </c>
      <c r="BA190">
        <f t="shared" si="132"/>
        <v>2.3032981506774441</v>
      </c>
      <c r="BB190">
        <f t="shared" si="148"/>
        <v>7.2470031779821102</v>
      </c>
      <c r="BC190">
        <f t="shared" si="149"/>
        <v>0.99878260810250108</v>
      </c>
      <c r="BD190">
        <f t="shared" si="133"/>
        <v>-122.77397183926752</v>
      </c>
      <c r="BF190">
        <f t="shared" si="134"/>
        <v>4.2991156498842189</v>
      </c>
      <c r="BG190">
        <f t="shared" si="135"/>
        <v>-112.43895180303733</v>
      </c>
      <c r="BH190">
        <f t="shared" si="150"/>
        <v>67.561048196962673</v>
      </c>
      <c r="BI190">
        <f t="shared" si="151"/>
        <v>67.561048196962673</v>
      </c>
      <c r="BJ190">
        <f t="shared" si="136"/>
        <v>0</v>
      </c>
      <c r="BK190">
        <f t="shared" si="152"/>
        <v>0</v>
      </c>
      <c r="BM190">
        <f t="shared" si="153"/>
        <v>-2.9478875280978905</v>
      </c>
      <c r="BN190">
        <f t="shared" si="137"/>
        <v>-169.66497996376981</v>
      </c>
      <c r="BQ190" s="75">
        <f t="shared" si="154"/>
        <v>24.148963978267247</v>
      </c>
      <c r="BR190" s="80"/>
      <c r="BS190" s="80"/>
      <c r="BT190" s="80">
        <v>6309.5730000000003</v>
      </c>
      <c r="BU190" s="80">
        <v>0.36985299999999999</v>
      </c>
      <c r="BV190" s="80">
        <v>-231.369</v>
      </c>
      <c r="BW190" s="84"/>
      <c r="BY190" s="80"/>
      <c r="BZ190" s="80"/>
      <c r="CA190" s="80"/>
      <c r="CC190" s="80"/>
    </row>
    <row r="191" spans="1:81">
      <c r="A191">
        <f t="shared" si="158"/>
        <v>78500</v>
      </c>
      <c r="B191">
        <f t="shared" si="138"/>
        <v>78.5</v>
      </c>
      <c r="C191">
        <f t="shared" si="107"/>
        <v>1.0041993687941568</v>
      </c>
      <c r="D191">
        <f t="shared" si="108"/>
        <v>9.1484705623570098E-2</v>
      </c>
      <c r="F191">
        <f t="shared" si="109"/>
        <v>7.7732884147045794E-2</v>
      </c>
      <c r="G191">
        <f t="shared" si="110"/>
        <v>8.8819119506861832E-2</v>
      </c>
      <c r="H191">
        <f t="shared" si="111"/>
        <v>-3.0527735304931385</v>
      </c>
      <c r="J191">
        <f t="shared" si="112"/>
        <v>9</v>
      </c>
      <c r="M191">
        <f t="shared" si="113"/>
        <v>5.3767145079878433E-2</v>
      </c>
      <c r="N191">
        <f t="shared" si="114"/>
        <v>-1.5707963250000001</v>
      </c>
      <c r="O191">
        <f t="shared" si="115"/>
        <v>10.144839034151328</v>
      </c>
      <c r="P191">
        <f t="shared" si="116"/>
        <v>1.4720637067271496</v>
      </c>
      <c r="Q191">
        <f t="shared" si="117"/>
        <v>4.2416117032061171</v>
      </c>
      <c r="R191">
        <f t="shared" si="118"/>
        <v>1.3327963641797065</v>
      </c>
      <c r="S191">
        <f t="shared" si="119"/>
        <v>0.99860378159432306</v>
      </c>
      <c r="T191">
        <f t="shared" si="120"/>
        <v>-5.2849662837281132E-2</v>
      </c>
      <c r="U191">
        <f t="shared" si="121"/>
        <v>0.99661743303912143</v>
      </c>
      <c r="V191">
        <f t="shared" si="122"/>
        <v>-8.2273636636980091E-2</v>
      </c>
      <c r="X191">
        <f t="shared" si="139"/>
        <v>4.1776393500390672</v>
      </c>
      <c r="Y191">
        <f t="shared" si="123"/>
        <v>-106.70470218939914</v>
      </c>
      <c r="Z191">
        <f t="shared" si="140"/>
        <v>73.295297810600857</v>
      </c>
      <c r="AC191">
        <v>1</v>
      </c>
      <c r="AD191">
        <f t="shared" si="124"/>
        <v>10.095432582551402</v>
      </c>
      <c r="AE191">
        <f t="shared" si="125"/>
        <v>-2.7884475794484391E-5</v>
      </c>
      <c r="AF191">
        <f t="shared" si="126"/>
        <v>3.3815851957188001E-4</v>
      </c>
      <c r="AG191">
        <f t="shared" si="141"/>
        <v>29410.314083236291</v>
      </c>
      <c r="AH191">
        <f t="shared" si="142"/>
        <v>-5382.3608923604297</v>
      </c>
      <c r="AJ191">
        <f t="shared" si="127"/>
        <v>55000</v>
      </c>
      <c r="AK191">
        <f t="shared" si="128"/>
        <v>2909.4407341374381</v>
      </c>
      <c r="AL191">
        <v>1</v>
      </c>
      <c r="AM191">
        <f t="shared" si="129"/>
        <v>4.1220468023513623</v>
      </c>
      <c r="AN191">
        <f t="shared" si="143"/>
        <v>3723.6310425932606</v>
      </c>
      <c r="AO191">
        <f t="shared" si="144"/>
        <v>-12439.54069812038</v>
      </c>
      <c r="AQ191">
        <f t="shared" si="130"/>
        <v>1.8464928717861724</v>
      </c>
      <c r="AR191">
        <f t="shared" si="131"/>
        <v>-76.388486859358053</v>
      </c>
      <c r="AT191">
        <f t="shared" si="156"/>
        <v>-356844.46898670908</v>
      </c>
      <c r="AU191">
        <f t="shared" si="157"/>
        <v>-2256547.8818980129</v>
      </c>
      <c r="AV191">
        <f t="shared" si="145"/>
        <v>-1.7276348923265048</v>
      </c>
      <c r="AW191">
        <f t="shared" si="146"/>
        <v>-902296.6264610833</v>
      </c>
      <c r="AX191">
        <f t="shared" si="147"/>
        <v>-397150.33727704309</v>
      </c>
      <c r="AY191">
        <f t="shared" si="155"/>
        <v>-2.7269559590603918</v>
      </c>
      <c r="BA191">
        <f t="shared" si="132"/>
        <v>2.3174186991833015</v>
      </c>
      <c r="BB191">
        <f t="shared" si="148"/>
        <v>7.3000901390455661</v>
      </c>
      <c r="BC191">
        <f t="shared" si="149"/>
        <v>0.99932106673388699</v>
      </c>
      <c r="BD191">
        <f t="shared" si="133"/>
        <v>-122.74312043221147</v>
      </c>
      <c r="BF191">
        <f t="shared" si="134"/>
        <v>4.2334348442595129</v>
      </c>
      <c r="BG191">
        <f t="shared" si="135"/>
        <v>-112.41247221036839</v>
      </c>
      <c r="BH191">
        <f t="shared" si="150"/>
        <v>67.587527789631608</v>
      </c>
      <c r="BI191">
        <f t="shared" si="151"/>
        <v>67.587527789631608</v>
      </c>
      <c r="BJ191">
        <f t="shared" si="136"/>
        <v>0</v>
      </c>
      <c r="BK191">
        <f t="shared" si="152"/>
        <v>0</v>
      </c>
      <c r="BM191">
        <f t="shared" si="153"/>
        <v>-3.0666552947860537</v>
      </c>
      <c r="BN191">
        <f t="shared" si="137"/>
        <v>-169.66935177815694</v>
      </c>
      <c r="BQ191" s="75">
        <f t="shared" si="154"/>
        <v>24.202050939330704</v>
      </c>
      <c r="BR191" s="80"/>
      <c r="BS191" s="80"/>
      <c r="BT191" s="80">
        <v>6456.5420000000004</v>
      </c>
      <c r="BU191" s="80">
        <v>0.12767600000000001</v>
      </c>
      <c r="BV191" s="80">
        <v>-230.779</v>
      </c>
      <c r="BW191" s="84"/>
      <c r="BY191" s="80"/>
      <c r="BZ191" s="80"/>
      <c r="CA191" s="80"/>
      <c r="CC191" s="80"/>
    </row>
    <row r="192" spans="1:81">
      <c r="A192">
        <f t="shared" si="158"/>
        <v>79000</v>
      </c>
      <c r="B192">
        <f t="shared" si="138"/>
        <v>79</v>
      </c>
      <c r="C192">
        <f t="shared" si="107"/>
        <v>1.0042529206674</v>
      </c>
      <c r="D192">
        <f t="shared" si="108"/>
        <v>9.2064134044085311E-2</v>
      </c>
      <c r="F192">
        <f t="shared" si="109"/>
        <v>7.6680817746241484E-2</v>
      </c>
      <c r="G192">
        <f t="shared" si="110"/>
        <v>8.8173397476048868E-2</v>
      </c>
      <c r="H192">
        <f t="shared" si="111"/>
        <v>-3.0534192525239514</v>
      </c>
      <c r="J192">
        <f t="shared" si="112"/>
        <v>9</v>
      </c>
      <c r="M192">
        <f t="shared" si="113"/>
        <v>5.3426846693296927E-2</v>
      </c>
      <c r="N192">
        <f t="shared" si="114"/>
        <v>-1.5707963250000001</v>
      </c>
      <c r="O192">
        <f t="shared" si="115"/>
        <v>10.208829961994047</v>
      </c>
      <c r="P192">
        <f t="shared" si="116"/>
        <v>1.4726845817336494</v>
      </c>
      <c r="Q192">
        <f t="shared" si="117"/>
        <v>4.2671311752841881</v>
      </c>
      <c r="R192">
        <f t="shared" si="118"/>
        <v>1.3342469603150826</v>
      </c>
      <c r="S192">
        <f t="shared" si="119"/>
        <v>0.99858597655619652</v>
      </c>
      <c r="T192">
        <f t="shared" si="120"/>
        <v>-5.3185652449404063E-2</v>
      </c>
      <c r="U192">
        <f t="shared" si="121"/>
        <v>0.99657442764985993</v>
      </c>
      <c r="V192">
        <f t="shared" si="122"/>
        <v>-8.2795288468860445E-2</v>
      </c>
      <c r="X192">
        <f t="shared" si="139"/>
        <v>4.1107811329559771</v>
      </c>
      <c r="Y192">
        <f t="shared" si="123"/>
        <v>-106.638953214667</v>
      </c>
      <c r="Z192">
        <f t="shared" si="140"/>
        <v>73.361046785333002</v>
      </c>
      <c r="AC192">
        <v>1</v>
      </c>
      <c r="AD192">
        <f t="shared" si="124"/>
        <v>10.159734700911601</v>
      </c>
      <c r="AE192">
        <f t="shared" si="125"/>
        <v>-2.8240823308592977E-5</v>
      </c>
      <c r="AF192">
        <f t="shared" si="126"/>
        <v>3.4031239549272001E-4</v>
      </c>
      <c r="AG192">
        <f t="shared" si="141"/>
        <v>29407.775948392242</v>
      </c>
      <c r="AH192">
        <f t="shared" si="142"/>
        <v>-5378.8807833665687</v>
      </c>
      <c r="AJ192">
        <f t="shared" si="127"/>
        <v>55000</v>
      </c>
      <c r="AK192">
        <f t="shared" si="128"/>
        <v>2927.9722037816255</v>
      </c>
      <c r="AL192">
        <v>1</v>
      </c>
      <c r="AM192">
        <f t="shared" si="129"/>
        <v>4.1483018775255758</v>
      </c>
      <c r="AN192">
        <f t="shared" si="143"/>
        <v>3687.6431408971875</v>
      </c>
      <c r="AO192">
        <f t="shared" si="144"/>
        <v>-12369.484761246487</v>
      </c>
      <c r="AQ192">
        <f t="shared" si="130"/>
        <v>1.823206944916534</v>
      </c>
      <c r="AR192">
        <f t="shared" si="131"/>
        <v>-75.905574737710069</v>
      </c>
      <c r="AT192">
        <f t="shared" si="156"/>
        <v>-354670.57596340543</v>
      </c>
      <c r="AU192">
        <f t="shared" si="157"/>
        <v>-2242020.9479206321</v>
      </c>
      <c r="AV192">
        <f t="shared" si="145"/>
        <v>-1.7276885702331488</v>
      </c>
      <c r="AW192">
        <f t="shared" si="146"/>
        <v>-891283.33354356256</v>
      </c>
      <c r="AX192">
        <f t="shared" si="147"/>
        <v>-391701.22083361069</v>
      </c>
      <c r="AY192">
        <f t="shared" si="155"/>
        <v>-2.7275214992095163</v>
      </c>
      <c r="BA192">
        <f t="shared" si="132"/>
        <v>2.331550781495598</v>
      </c>
      <c r="BB192">
        <f t="shared" si="148"/>
        <v>7.3528975777372887</v>
      </c>
      <c r="BC192">
        <f t="shared" si="149"/>
        <v>0.99983292897636744</v>
      </c>
      <c r="BD192">
        <f t="shared" si="133"/>
        <v>-122.71379288599172</v>
      </c>
      <c r="BF192">
        <f t="shared" si="134"/>
        <v>4.1683445492293369</v>
      </c>
      <c r="BG192">
        <f t="shared" si="135"/>
        <v>-112.38694300823174</v>
      </c>
      <c r="BH192">
        <f t="shared" si="150"/>
        <v>67.613056991768261</v>
      </c>
      <c r="BI192">
        <f t="shared" si="151"/>
        <v>67.613056991768261</v>
      </c>
      <c r="BJ192">
        <f t="shared" si="136"/>
        <v>0</v>
      </c>
      <c r="BK192">
        <f t="shared" si="152"/>
        <v>0</v>
      </c>
      <c r="BM192">
        <f t="shared" si="153"/>
        <v>-3.1845530285079522</v>
      </c>
      <c r="BN192">
        <f t="shared" si="137"/>
        <v>-169.67315012224003</v>
      </c>
      <c r="BQ192" s="75">
        <f t="shared" si="154"/>
        <v>24.254858378022426</v>
      </c>
      <c r="BR192" s="80"/>
      <c r="BS192" s="80"/>
      <c r="BT192" s="80">
        <v>6606.9340000000002</v>
      </c>
      <c r="BU192" s="80">
        <v>3.6938100000000001E-2</v>
      </c>
      <c r="BV192" s="80">
        <v>-229.60900000000001</v>
      </c>
      <c r="BW192" s="84"/>
      <c r="BY192" s="80"/>
      <c r="BZ192" s="80"/>
      <c r="CA192" s="80"/>
      <c r="CC192" s="80"/>
    </row>
    <row r="193" spans="1:81">
      <c r="A193">
        <f t="shared" si="158"/>
        <v>79500</v>
      </c>
      <c r="B193">
        <f t="shared" si="138"/>
        <v>79.5</v>
      </c>
      <c r="C193">
        <f t="shared" si="107"/>
        <v>1.0043068096697789</v>
      </c>
      <c r="D193">
        <f t="shared" si="108"/>
        <v>9.2643500477264357E-2</v>
      </c>
      <c r="F193">
        <f t="shared" si="109"/>
        <v>7.5650427680407431E-2</v>
      </c>
      <c r="G193">
        <f t="shared" si="110"/>
        <v>8.7537506755488978E-2</v>
      </c>
      <c r="H193">
        <f t="shared" si="111"/>
        <v>-3.0540551432445113</v>
      </c>
      <c r="J193">
        <f t="shared" si="112"/>
        <v>9</v>
      </c>
      <c r="M193">
        <f t="shared" si="113"/>
        <v>5.3090828789565496E-2</v>
      </c>
      <c r="N193">
        <f t="shared" si="114"/>
        <v>-1.5707963250000001</v>
      </c>
      <c r="O193">
        <f t="shared" si="115"/>
        <v>10.272824776166752</v>
      </c>
      <c r="P193">
        <f t="shared" si="116"/>
        <v>1.473297721461863</v>
      </c>
      <c r="Q193">
        <f t="shared" si="117"/>
        <v>4.2926595196141673</v>
      </c>
      <c r="R193">
        <f t="shared" si="118"/>
        <v>1.3356803061151177</v>
      </c>
      <c r="S193">
        <f t="shared" si="119"/>
        <v>0.99856805943165172</v>
      </c>
      <c r="T193">
        <f t="shared" si="120"/>
        <v>-5.3521630042469737E-2</v>
      </c>
      <c r="U193">
        <f t="shared" si="121"/>
        <v>0.99653115483037591</v>
      </c>
      <c r="V193">
        <f t="shared" si="122"/>
        <v>-8.3316895140794517E-2</v>
      </c>
      <c r="X193">
        <f t="shared" si="139"/>
        <v>4.0444936810000041</v>
      </c>
      <c r="Y193">
        <f t="shared" si="123"/>
        <v>-106.57407279305784</v>
      </c>
      <c r="Z193">
        <f t="shared" si="140"/>
        <v>73.425927206942163</v>
      </c>
      <c r="AC193">
        <v>1</v>
      </c>
      <c r="AD193">
        <f t="shared" si="124"/>
        <v>10.224036819271802</v>
      </c>
      <c r="AE193">
        <f t="shared" si="125"/>
        <v>-2.8599433346600664E-5</v>
      </c>
      <c r="AF193">
        <f t="shared" si="126"/>
        <v>3.4246627141356001E-4</v>
      </c>
      <c r="AG193">
        <f t="shared" si="141"/>
        <v>29405.222140635349</v>
      </c>
      <c r="AH193">
        <f t="shared" si="142"/>
        <v>-5375.6321259150809</v>
      </c>
      <c r="AJ193">
        <f t="shared" si="127"/>
        <v>55000</v>
      </c>
      <c r="AK193">
        <f t="shared" si="128"/>
        <v>2946.5036734258128</v>
      </c>
      <c r="AL193">
        <v>1</v>
      </c>
      <c r="AM193">
        <f t="shared" si="129"/>
        <v>4.1745569526997883</v>
      </c>
      <c r="AN193">
        <f t="shared" si="143"/>
        <v>3652.2829854666629</v>
      </c>
      <c r="AO193">
        <f t="shared" si="144"/>
        <v>-12300.159656781185</v>
      </c>
      <c r="AQ193">
        <f t="shared" si="130"/>
        <v>1.8003586585184812</v>
      </c>
      <c r="AR193">
        <f t="shared" si="131"/>
        <v>-75.42872653661955</v>
      </c>
      <c r="AT193">
        <f t="shared" si="156"/>
        <v>-352537.13930056326</v>
      </c>
      <c r="AU193">
        <f t="shared" si="157"/>
        <v>-2227676.5254374356</v>
      </c>
      <c r="AV193">
        <f t="shared" si="145"/>
        <v>-1.7277480160761143</v>
      </c>
      <c r="AW193">
        <f t="shared" si="146"/>
        <v>-880460.284580159</v>
      </c>
      <c r="AX193">
        <f t="shared" si="147"/>
        <v>-386372.14767489221</v>
      </c>
      <c r="AY193">
        <f t="shared" si="155"/>
        <v>-2.7280666571511754</v>
      </c>
      <c r="BA193">
        <f t="shared" si="132"/>
        <v>2.3456943122463914</v>
      </c>
      <c r="BB193">
        <f t="shared" si="148"/>
        <v>7.405428295789207</v>
      </c>
      <c r="BC193">
        <f t="shared" si="149"/>
        <v>1.0003186410750611</v>
      </c>
      <c r="BD193">
        <f t="shared" si="133"/>
        <v>-122.68596363264633</v>
      </c>
      <c r="BF193">
        <f t="shared" si="134"/>
        <v>4.1038343849529433</v>
      </c>
      <c r="BG193">
        <f t="shared" si="135"/>
        <v>-112.36235235799695</v>
      </c>
      <c r="BH193">
        <f t="shared" si="150"/>
        <v>67.637647642003046</v>
      </c>
      <c r="BI193">
        <f t="shared" si="151"/>
        <v>67.637647642003046</v>
      </c>
      <c r="BJ193">
        <f t="shared" si="136"/>
        <v>0</v>
      </c>
      <c r="BK193">
        <f t="shared" si="152"/>
        <v>0</v>
      </c>
      <c r="BM193">
        <f t="shared" si="153"/>
        <v>-3.3015939108362651</v>
      </c>
      <c r="BN193">
        <f t="shared" si="137"/>
        <v>-169.67638872535062</v>
      </c>
      <c r="BQ193" s="75">
        <f t="shared" si="154"/>
        <v>24.307389096074346</v>
      </c>
      <c r="BR193" s="80"/>
      <c r="BS193" s="80"/>
      <c r="BT193" s="80">
        <v>6760.83</v>
      </c>
      <c r="BU193" s="80">
        <v>-4.9019100000000003E-2</v>
      </c>
      <c r="BV193" s="80">
        <v>-229.1</v>
      </c>
      <c r="BW193" s="84"/>
      <c r="BY193" s="80"/>
      <c r="BZ193" s="80"/>
      <c r="CA193" s="80"/>
      <c r="CC193" s="80"/>
    </row>
    <row r="194" spans="1:81">
      <c r="A194">
        <f t="shared" si="158"/>
        <v>80000</v>
      </c>
      <c r="B194">
        <f t="shared" si="138"/>
        <v>80</v>
      </c>
      <c r="C194">
        <f t="shared" si="107"/>
        <v>1.0043610357470276</v>
      </c>
      <c r="D194">
        <f t="shared" si="108"/>
        <v>9.3222804544169882E-2</v>
      </c>
      <c r="F194">
        <f t="shared" si="109"/>
        <v>7.4641110811096589E-2</v>
      </c>
      <c r="G194">
        <f t="shared" si="110"/>
        <v>8.6911215814229614E-2</v>
      </c>
      <c r="H194">
        <f t="shared" si="111"/>
        <v>-3.0546814341857704</v>
      </c>
      <c r="J194">
        <f t="shared" si="112"/>
        <v>9</v>
      </c>
      <c r="M194">
        <f t="shared" si="113"/>
        <v>5.2759011109630716E-2</v>
      </c>
      <c r="N194">
        <f t="shared" si="114"/>
        <v>-1.5707963250000001</v>
      </c>
      <c r="O194">
        <f t="shared" si="115"/>
        <v>10.336823404489156</v>
      </c>
      <c r="P194">
        <f t="shared" si="116"/>
        <v>1.4739032691213023</v>
      </c>
      <c r="Q194">
        <f t="shared" si="117"/>
        <v>4.3181965788429393</v>
      </c>
      <c r="R194">
        <f t="shared" si="118"/>
        <v>1.3370967016838187</v>
      </c>
      <c r="S194">
        <f t="shared" si="119"/>
        <v>0.9985500302388568</v>
      </c>
      <c r="T194">
        <f t="shared" si="120"/>
        <v>-5.3857595541276206E-2</v>
      </c>
      <c r="U194">
        <f t="shared" si="121"/>
        <v>0.99648761468614011</v>
      </c>
      <c r="V194">
        <f t="shared" si="122"/>
        <v>-8.3838456374852682E-2</v>
      </c>
      <c r="X194">
        <f t="shared" si="139"/>
        <v>3.9787669243930406</v>
      </c>
      <c r="Y194">
        <f t="shared" si="123"/>
        <v>-106.51004879180293</v>
      </c>
      <c r="Z194">
        <f t="shared" si="140"/>
        <v>73.48995120819707</v>
      </c>
      <c r="AC194">
        <v>1</v>
      </c>
      <c r="AD194">
        <f t="shared" si="124"/>
        <v>10.288338937632</v>
      </c>
      <c r="AE194">
        <f t="shared" si="125"/>
        <v>-2.8960305908507459E-5</v>
      </c>
      <c r="AF194">
        <f t="shared" si="126"/>
        <v>3.4462014733440001E-4</v>
      </c>
      <c r="AG194">
        <f t="shared" si="141"/>
        <v>29402.652668245686</v>
      </c>
      <c r="AH194">
        <f t="shared" si="142"/>
        <v>-5372.6104817585929</v>
      </c>
      <c r="AJ194">
        <f t="shared" si="127"/>
        <v>55000</v>
      </c>
      <c r="AK194">
        <f t="shared" si="128"/>
        <v>2965.0351430700002</v>
      </c>
      <c r="AL194">
        <v>1</v>
      </c>
      <c r="AM194">
        <f t="shared" si="129"/>
        <v>4.2008120278740009</v>
      </c>
      <c r="AN194">
        <f t="shared" si="143"/>
        <v>3617.5363502017003</v>
      </c>
      <c r="AO194">
        <f t="shared" si="144"/>
        <v>-12231.555068128717</v>
      </c>
      <c r="AQ194">
        <f t="shared" si="130"/>
        <v>1.7779371161297697</v>
      </c>
      <c r="AR194">
        <f t="shared" si="131"/>
        <v>-74.957828816031096</v>
      </c>
      <c r="AT194">
        <f t="shared" si="156"/>
        <v>-350443.149295329</v>
      </c>
      <c r="AU194">
        <f t="shared" si="157"/>
        <v>-2213511.1690296065</v>
      </c>
      <c r="AV194">
        <f t="shared" si="145"/>
        <v>-1.7278131223815962</v>
      </c>
      <c r="AW194">
        <f t="shared" si="146"/>
        <v>-869823.22825008293</v>
      </c>
      <c r="AX194">
        <f t="shared" si="147"/>
        <v>-381159.71239465009</v>
      </c>
      <c r="AY194">
        <f t="shared" si="155"/>
        <v>-2.728591761078428</v>
      </c>
      <c r="BA194">
        <f t="shared" si="132"/>
        <v>2.3598492083588392</v>
      </c>
      <c r="BB194">
        <f t="shared" si="148"/>
        <v>7.4576850588094885</v>
      </c>
      <c r="BC194">
        <f t="shared" si="149"/>
        <v>1.0007786386968318</v>
      </c>
      <c r="BD194">
        <f t="shared" si="133"/>
        <v>-122.65960771030269</v>
      </c>
      <c r="BF194">
        <f t="shared" si="134"/>
        <v>4.0398942446685124</v>
      </c>
      <c r="BG194">
        <f t="shared" si="135"/>
        <v>-112.33868858524937</v>
      </c>
      <c r="BH194">
        <f t="shared" si="150"/>
        <v>67.661311414750628</v>
      </c>
      <c r="BI194">
        <f t="shared" si="151"/>
        <v>67.661311414750628</v>
      </c>
      <c r="BJ194">
        <f t="shared" si="136"/>
        <v>0</v>
      </c>
      <c r="BK194">
        <f t="shared" si="152"/>
        <v>0</v>
      </c>
      <c r="BM194">
        <f t="shared" si="153"/>
        <v>-3.4177908141409779</v>
      </c>
      <c r="BN194">
        <f t="shared" si="137"/>
        <v>-169.67908087494669</v>
      </c>
      <c r="BQ194" s="75">
        <f t="shared" si="154"/>
        <v>24.359645859094627</v>
      </c>
      <c r="BR194" s="80"/>
      <c r="BS194" s="80"/>
      <c r="BT194" s="80">
        <v>6918.31</v>
      </c>
      <c r="BU194" s="80">
        <v>-0.21798300000000001</v>
      </c>
      <c r="BV194" s="80">
        <v>-228.376</v>
      </c>
      <c r="BW194" s="84"/>
      <c r="BY194" s="80"/>
      <c r="BZ194" s="80"/>
      <c r="CA194" s="80"/>
      <c r="CC194" s="80"/>
    </row>
    <row r="195" spans="1:81">
      <c r="A195">
        <f t="shared" si="158"/>
        <v>80500</v>
      </c>
      <c r="B195">
        <f t="shared" si="138"/>
        <v>80.5</v>
      </c>
      <c r="C195">
        <f t="shared" si="107"/>
        <v>1.0044155988445522</v>
      </c>
      <c r="D195">
        <f t="shared" si="108"/>
        <v>9.3802045866113584E-2</v>
      </c>
      <c r="F195">
        <f t="shared" si="109"/>
        <v>7.3652285199981418E-2</v>
      </c>
      <c r="G195">
        <f t="shared" si="110"/>
        <v>8.6294300520077361E-2</v>
      </c>
      <c r="H195">
        <f t="shared" si="111"/>
        <v>-3.0552983494799228</v>
      </c>
      <c r="J195">
        <f t="shared" si="112"/>
        <v>9</v>
      </c>
      <c r="M195">
        <f t="shared" si="113"/>
        <v>5.243131538845288E-2</v>
      </c>
      <c r="N195">
        <f t="shared" si="114"/>
        <v>-1.5707963250000001</v>
      </c>
      <c r="O195">
        <f t="shared" si="115"/>
        <v>10.40082577655329</v>
      </c>
      <c r="P195">
        <f t="shared" si="116"/>
        <v>1.4745013644190585</v>
      </c>
      <c r="Q195">
        <f t="shared" si="117"/>
        <v>4.3437421992646392</v>
      </c>
      <c r="R195">
        <f t="shared" si="118"/>
        <v>1.3384964403411954</v>
      </c>
      <c r="S195">
        <f t="shared" si="119"/>
        <v>0.99853188899609113</v>
      </c>
      <c r="T195">
        <f t="shared" si="120"/>
        <v>-5.4193548870637875E-2</v>
      </c>
      <c r="U195">
        <f t="shared" si="121"/>
        <v>0.99644380732324989</v>
      </c>
      <c r="V195">
        <f t="shared" si="122"/>
        <v>-8.4359971893252547E-2</v>
      </c>
      <c r="X195">
        <f t="shared" si="139"/>
        <v>3.9135910573027521</v>
      </c>
      <c r="Y195">
        <f t="shared" si="123"/>
        <v>-106.44686924357941</v>
      </c>
      <c r="Z195">
        <f t="shared" si="140"/>
        <v>73.553130756420586</v>
      </c>
      <c r="AC195">
        <v>1</v>
      </c>
      <c r="AD195">
        <f t="shared" si="124"/>
        <v>10.352641055992201</v>
      </c>
      <c r="AE195">
        <f t="shared" si="125"/>
        <v>-2.9323440994313356E-5</v>
      </c>
      <c r="AF195">
        <f t="shared" si="126"/>
        <v>3.4677402325524002E-4</v>
      </c>
      <c r="AG195">
        <f t="shared" si="141"/>
        <v>29400.067539551968</v>
      </c>
      <c r="AH195">
        <f t="shared" si="142"/>
        <v>-5369.8115223419973</v>
      </c>
      <c r="AJ195">
        <f t="shared" si="127"/>
        <v>55000</v>
      </c>
      <c r="AK195">
        <f t="shared" si="128"/>
        <v>2983.5666127141876</v>
      </c>
      <c r="AL195">
        <v>1</v>
      </c>
      <c r="AM195">
        <f t="shared" si="129"/>
        <v>4.2270671030482134</v>
      </c>
      <c r="AN195">
        <f t="shared" si="143"/>
        <v>3583.3894011358916</v>
      </c>
      <c r="AO195">
        <f t="shared" si="144"/>
        <v>-12163.660842238978</v>
      </c>
      <c r="AQ195">
        <f t="shared" si="130"/>
        <v>1.7559317582550402</v>
      </c>
      <c r="AR195">
        <f t="shared" si="131"/>
        <v>-74.492770946332698</v>
      </c>
      <c r="AT195">
        <f t="shared" si="156"/>
        <v>-348387.62747125811</v>
      </c>
      <c r="AU195">
        <f t="shared" si="157"/>
        <v>-2199521.51961848</v>
      </c>
      <c r="AV195">
        <f t="shared" si="145"/>
        <v>-1.7278837842844459</v>
      </c>
      <c r="AW195">
        <f t="shared" si="146"/>
        <v>-859368.02818360575</v>
      </c>
      <c r="AX195">
        <f t="shared" si="147"/>
        <v>-376060.62576533837</v>
      </c>
      <c r="AY195">
        <f t="shared" si="155"/>
        <v>-2.7290971315174346</v>
      </c>
      <c r="BA195">
        <f t="shared" si="132"/>
        <v>2.3740153889675213</v>
      </c>
      <c r="BB195">
        <f t="shared" si="148"/>
        <v>7.5096705966849706</v>
      </c>
      <c r="BC195">
        <f t="shared" si="149"/>
        <v>1.0012133472329887</v>
      </c>
      <c r="BD195">
        <f t="shared" si="133"/>
        <v>-122.63470074583414</v>
      </c>
      <c r="BF195">
        <f t="shared" si="134"/>
        <v>3.9765142852749276</v>
      </c>
      <c r="BG195">
        <f t="shared" si="135"/>
        <v>-112.31594018038832</v>
      </c>
      <c r="BH195">
        <f t="shared" si="150"/>
        <v>67.684059819611676</v>
      </c>
      <c r="BI195">
        <f t="shared" si="151"/>
        <v>67.684059819611676</v>
      </c>
      <c r="BJ195">
        <f t="shared" si="136"/>
        <v>0</v>
      </c>
      <c r="BK195">
        <f t="shared" si="152"/>
        <v>0</v>
      </c>
      <c r="BM195">
        <f t="shared" si="153"/>
        <v>-3.5331563114100422</v>
      </c>
      <c r="BN195">
        <f t="shared" si="137"/>
        <v>-169.68123943455419</v>
      </c>
      <c r="BQ195" s="75">
        <f t="shared" si="154"/>
        <v>24.411631396970108</v>
      </c>
      <c r="BR195" s="80"/>
      <c r="BS195" s="80"/>
      <c r="BT195" s="80">
        <v>7079.4579999999996</v>
      </c>
      <c r="BU195" s="80">
        <v>-0.38401400000000002</v>
      </c>
      <c r="BV195" s="80">
        <v>-227.04400000000001</v>
      </c>
      <c r="BW195" s="84"/>
      <c r="BY195" s="80"/>
      <c r="BZ195" s="80"/>
      <c r="CA195" s="80"/>
      <c r="CC195" s="80"/>
    </row>
    <row r="196" spans="1:81">
      <c r="A196">
        <f t="shared" si="158"/>
        <v>81000</v>
      </c>
      <c r="B196">
        <f t="shared" si="138"/>
        <v>81</v>
      </c>
      <c r="C196">
        <f t="shared" si="107"/>
        <v>1.004470498907432</v>
      </c>
      <c r="D196">
        <f t="shared" si="108"/>
        <v>9.4381224064657515E-2</v>
      </c>
      <c r="F196">
        <f t="shared" si="109"/>
        <v>7.2683389207230303E-2</v>
      </c>
      <c r="G196">
        <f t="shared" si="110"/>
        <v>8.5686543841731563E-2</v>
      </c>
      <c r="H196">
        <f t="shared" si="111"/>
        <v>-3.0559061061582686</v>
      </c>
      <c r="J196">
        <f t="shared" si="112"/>
        <v>9</v>
      </c>
      <c r="M196">
        <f t="shared" si="113"/>
        <v>5.2107665293462432E-2</v>
      </c>
      <c r="N196">
        <f t="shared" si="114"/>
        <v>-1.5707963250000001</v>
      </c>
      <c r="O196">
        <f t="shared" si="115"/>
        <v>10.464831823669558</v>
      </c>
      <c r="P196">
        <f t="shared" si="116"/>
        <v>1.4750921436658893</v>
      </c>
      <c r="Q196">
        <f t="shared" si="117"/>
        <v>4.3692962307171115</v>
      </c>
      <c r="R196">
        <f t="shared" si="118"/>
        <v>1.3398798088098218</v>
      </c>
      <c r="S196">
        <f t="shared" si="119"/>
        <v>0.99851363572174689</v>
      </c>
      <c r="T196">
        <f t="shared" si="120"/>
        <v>-5.452948995538557E-2</v>
      </c>
      <c r="U196">
        <f t="shared" si="121"/>
        <v>0.99639973284842931</v>
      </c>
      <c r="V196">
        <f t="shared" si="122"/>
        <v>-8.488144141835996E-2</v>
      </c>
      <c r="X196">
        <f t="shared" si="139"/>
        <v>3.8489565288209482</v>
      </c>
      <c r="Y196">
        <f t="shared" si="123"/>
        <v>-106.38452234680911</v>
      </c>
      <c r="Z196">
        <f t="shared" si="140"/>
        <v>73.615477653190894</v>
      </c>
      <c r="AC196">
        <v>1</v>
      </c>
      <c r="AD196">
        <f t="shared" si="124"/>
        <v>10.416943174352403</v>
      </c>
      <c r="AE196">
        <f t="shared" si="125"/>
        <v>-2.9688838604018351E-5</v>
      </c>
      <c r="AF196">
        <f t="shared" si="126"/>
        <v>3.4892789917608002E-4</v>
      </c>
      <c r="AG196">
        <f t="shared" si="141"/>
        <v>29397.466762931417</v>
      </c>
      <c r="AH196">
        <f t="shared" si="142"/>
        <v>-5367.2310254176682</v>
      </c>
      <c r="AJ196">
        <f t="shared" si="127"/>
        <v>55000</v>
      </c>
      <c r="AK196">
        <f t="shared" si="128"/>
        <v>3002.0980823583754</v>
      </c>
      <c r="AL196">
        <v>1</v>
      </c>
      <c r="AM196">
        <f t="shared" si="129"/>
        <v>4.253322178222426</v>
      </c>
      <c r="AN196">
        <f t="shared" si="143"/>
        <v>3549.8286838428821</v>
      </c>
      <c r="AO196">
        <f t="shared" si="144"/>
        <v>-12096.466987520678</v>
      </c>
      <c r="AQ196">
        <f t="shared" si="130"/>
        <v>1.7343323499403807</v>
      </c>
      <c r="AR196">
        <f t="shared" si="131"/>
        <v>-74.033445021905024</v>
      </c>
      <c r="AT196">
        <f t="shared" si="156"/>
        <v>-346369.62542687275</v>
      </c>
      <c r="AU196">
        <f t="shared" si="157"/>
        <v>-2185704.3017737488</v>
      </c>
      <c r="AV196">
        <f t="shared" si="145"/>
        <v>-1.7279598994496461</v>
      </c>
      <c r="AW196">
        <f t="shared" si="146"/>
        <v>-849090.65936819918</v>
      </c>
      <c r="AX196">
        <f t="shared" si="147"/>
        <v>-371071.7101469193</v>
      </c>
      <c r="AY196">
        <f t="shared" si="155"/>
        <v>-2.7295830815414455</v>
      </c>
      <c r="BA196">
        <f t="shared" si="132"/>
        <v>2.3881927753414574</v>
      </c>
      <c r="BB196">
        <f t="shared" si="148"/>
        <v>7.56138760398711</v>
      </c>
      <c r="BC196">
        <f t="shared" si="149"/>
        <v>1.0016231820917993</v>
      </c>
      <c r="BD196">
        <f t="shared" si="133"/>
        <v>-122.61121893810012</v>
      </c>
      <c r="BF196">
        <f t="shared" si="134"/>
        <v>3.91368491830917</v>
      </c>
      <c r="BG196">
        <f t="shared" si="135"/>
        <v>-112.29409579893374</v>
      </c>
      <c r="BH196">
        <f t="shared" si="150"/>
        <v>67.705904201066261</v>
      </c>
      <c r="BI196">
        <f t="shared" si="151"/>
        <v>67.705904201066261</v>
      </c>
      <c r="BJ196">
        <f t="shared" si="136"/>
        <v>0</v>
      </c>
      <c r="BK196">
        <f t="shared" si="152"/>
        <v>0</v>
      </c>
      <c r="BM196">
        <f t="shared" si="153"/>
        <v>-3.6477026856779404</v>
      </c>
      <c r="BN196">
        <f t="shared" si="137"/>
        <v>-169.68287686083363</v>
      </c>
      <c r="BQ196" s="75">
        <f t="shared" si="154"/>
        <v>24.463348404272246</v>
      </c>
      <c r="BR196" s="80"/>
      <c r="BS196" s="80"/>
      <c r="BT196" s="80">
        <v>7244.36</v>
      </c>
      <c r="BU196" s="80">
        <v>-0.57486000000000004</v>
      </c>
      <c r="BV196" s="80">
        <v>-226.239</v>
      </c>
      <c r="BW196" s="84"/>
      <c r="BY196" s="80"/>
      <c r="BZ196" s="80"/>
      <c r="CA196" s="80"/>
      <c r="CC196" s="80"/>
    </row>
    <row r="197" spans="1:81">
      <c r="A197">
        <f t="shared" si="158"/>
        <v>81500</v>
      </c>
      <c r="B197">
        <f t="shared" si="138"/>
        <v>81.5</v>
      </c>
      <c r="C197">
        <f t="shared" si="107"/>
        <v>1.0045257358804185</v>
      </c>
      <c r="D197">
        <f t="shared" si="108"/>
        <v>9.4960338761615706E-2</v>
      </c>
      <c r="F197">
        <f t="shared" si="109"/>
        <v>7.1733880634891306E-2</v>
      </c>
      <c r="G197">
        <f t="shared" si="110"/>
        <v>8.5087735565327616E-2</v>
      </c>
      <c r="H197">
        <f t="shared" si="111"/>
        <v>-3.0565049144346728</v>
      </c>
      <c r="J197">
        <f t="shared" si="112"/>
        <v>9</v>
      </c>
      <c r="M197">
        <f t="shared" si="113"/>
        <v>5.1787986365281674E-2</v>
      </c>
      <c r="N197">
        <f t="shared" si="114"/>
        <v>-1.5707963250000001</v>
      </c>
      <c r="O197">
        <f t="shared" si="115"/>
        <v>10.528841478814755</v>
      </c>
      <c r="P197">
        <f t="shared" si="116"/>
        <v>1.4756757398784843</v>
      </c>
      <c r="Q197">
        <f t="shared" si="117"/>
        <v>4.3948585264818147</v>
      </c>
      <c r="R197">
        <f t="shared" si="118"/>
        <v>1.3412470873954172</v>
      </c>
      <c r="S197">
        <f t="shared" si="119"/>
        <v>0.99849527043432695</v>
      </c>
      <c r="T197">
        <f t="shared" si="120"/>
        <v>-5.4865418720366654E-2</v>
      </c>
      <c r="U197">
        <f t="shared" si="121"/>
        <v>0.99635539136902795</v>
      </c>
      <c r="V197">
        <f t="shared" si="122"/>
        <v>-8.5402864672689732E-2</v>
      </c>
      <c r="X197">
        <f t="shared" si="139"/>
        <v>3.7848540343179469</v>
      </c>
      <c r="Y197">
        <f t="shared" si="123"/>
        <v>-106.32299646569334</v>
      </c>
      <c r="Z197">
        <f t="shared" si="140"/>
        <v>73.677003534306664</v>
      </c>
      <c r="AC197">
        <v>1</v>
      </c>
      <c r="AD197">
        <f t="shared" si="124"/>
        <v>10.4812452927126</v>
      </c>
      <c r="AE197">
        <f t="shared" si="125"/>
        <v>-3.0056498737622451E-5</v>
      </c>
      <c r="AF197">
        <f t="shared" si="126"/>
        <v>3.5108177509692002E-4</v>
      </c>
      <c r="AG197">
        <f t="shared" si="141"/>
        <v>29394.850346809715</v>
      </c>
      <c r="AH197">
        <f t="shared" si="142"/>
        <v>-5364.864871785282</v>
      </c>
      <c r="AJ197">
        <f t="shared" si="127"/>
        <v>55000</v>
      </c>
      <c r="AK197">
        <f t="shared" si="128"/>
        <v>3020.6295520025628</v>
      </c>
      <c r="AL197">
        <v>1</v>
      </c>
      <c r="AM197">
        <f t="shared" si="129"/>
        <v>4.2795772533966376</v>
      </c>
      <c r="AN197">
        <f t="shared" si="143"/>
        <v>3516.8411112994272</v>
      </c>
      <c r="AO197">
        <f t="shared" si="144"/>
        <v>-12029.963671724618</v>
      </c>
      <c r="AQ197">
        <f t="shared" si="130"/>
        <v>1.713128968879061</v>
      </c>
      <c r="AR197">
        <f t="shared" si="131"/>
        <v>-73.579745777840103</v>
      </c>
      <c r="AT197">
        <f t="shared" si="156"/>
        <v>-344388.22373344132</v>
      </c>
      <c r="AU197">
        <f t="shared" si="157"/>
        <v>-2172056.321121891</v>
      </c>
      <c r="AV197">
        <f t="shared" si="145"/>
        <v>-1.7280413679965918</v>
      </c>
      <c r="AW197">
        <f t="shared" si="146"/>
        <v>-838987.20468003955</v>
      </c>
      <c r="AX197">
        <f t="shared" si="147"/>
        <v>-366189.89510079118</v>
      </c>
      <c r="AY197">
        <f t="shared" si="155"/>
        <v>-2.730049916977809</v>
      </c>
      <c r="BA197">
        <f t="shared" si="132"/>
        <v>2.4023812908097275</v>
      </c>
      <c r="BB197">
        <f t="shared" si="148"/>
        <v>7.6128387403808055</v>
      </c>
      <c r="BC197">
        <f t="shared" si="149"/>
        <v>1.0020085489812172</v>
      </c>
      <c r="BD197">
        <f t="shared" si="133"/>
        <v>-122.58913904174716</v>
      </c>
      <c r="BF197">
        <f t="shared" si="134"/>
        <v>3.8513968012998543</v>
      </c>
      <c r="BG197">
        <f t="shared" si="135"/>
        <v>-112.27314426156782</v>
      </c>
      <c r="BH197">
        <f t="shared" si="150"/>
        <v>67.726855738432178</v>
      </c>
      <c r="BI197">
        <f t="shared" si="151"/>
        <v>67.726855738432178</v>
      </c>
      <c r="BJ197">
        <f t="shared" si="136"/>
        <v>0</v>
      </c>
      <c r="BK197">
        <f t="shared" si="152"/>
        <v>0</v>
      </c>
      <c r="BM197">
        <f t="shared" si="153"/>
        <v>-3.7614419390809513</v>
      </c>
      <c r="BN197">
        <f t="shared" si="137"/>
        <v>-169.68400521982065</v>
      </c>
      <c r="BQ197" s="75">
        <f t="shared" si="154"/>
        <v>24.51479954066594</v>
      </c>
      <c r="BR197" s="80"/>
      <c r="BS197" s="80"/>
      <c r="BT197" s="80">
        <v>7413.1019999999999</v>
      </c>
      <c r="BU197" s="80">
        <v>-0.73329999999999995</v>
      </c>
      <c r="BV197" s="80">
        <v>-225.834</v>
      </c>
      <c r="BW197" s="84"/>
      <c r="BY197" s="80"/>
      <c r="BZ197" s="80"/>
      <c r="CA197" s="80"/>
      <c r="CC197" s="80"/>
    </row>
    <row r="198" spans="1:81">
      <c r="A198">
        <f t="shared" si="158"/>
        <v>82000</v>
      </c>
      <c r="B198">
        <f t="shared" si="138"/>
        <v>82</v>
      </c>
      <c r="C198">
        <f t="shared" si="107"/>
        <v>1.0045813097079366</v>
      </c>
      <c r="D198">
        <f t="shared" si="108"/>
        <v>9.5539389579055445E-2</v>
      </c>
      <c r="F198">
        <f t="shared" si="109"/>
        <v>7.0803235912705487E-2</v>
      </c>
      <c r="G198">
        <f t="shared" si="110"/>
        <v>8.4497672024579015E-2</v>
      </c>
      <c r="H198">
        <f t="shared" si="111"/>
        <v>-3.0570949779754213</v>
      </c>
      <c r="J198">
        <f t="shared" si="112"/>
        <v>9</v>
      </c>
      <c r="M198">
        <f t="shared" si="113"/>
        <v>5.147220596061533E-2</v>
      </c>
      <c r="N198">
        <f t="shared" si="114"/>
        <v>-1.5707963250000001</v>
      </c>
      <c r="O198">
        <f t="shared" si="115"/>
        <v>10.592854676581958</v>
      </c>
      <c r="P198">
        <f t="shared" si="116"/>
        <v>1.47625228287807</v>
      </c>
      <c r="Q198">
        <f t="shared" si="117"/>
        <v>4.4204289431870603</v>
      </c>
      <c r="R198">
        <f t="shared" si="118"/>
        <v>1.3425985501616668</v>
      </c>
      <c r="S198">
        <f t="shared" si="119"/>
        <v>0.99847679315244675</v>
      </c>
      <c r="T198">
        <f t="shared" si="120"/>
        <v>-5.5201335090445135E-2</v>
      </c>
      <c r="U198">
        <f t="shared" si="121"/>
        <v>0.99631078299301945</v>
      </c>
      <c r="V198">
        <f t="shared" si="122"/>
        <v>-8.5924241378906571E-2</v>
      </c>
      <c r="X198">
        <f t="shared" si="139"/>
        <v>3.721274507154861</v>
      </c>
      <c r="Y198">
        <f t="shared" si="123"/>
        <v>-106.26228013000875</v>
      </c>
      <c r="Z198">
        <f t="shared" si="140"/>
        <v>73.737719869991253</v>
      </c>
      <c r="AC198">
        <v>1</v>
      </c>
      <c r="AD198">
        <f t="shared" si="124"/>
        <v>10.545547411072802</v>
      </c>
      <c r="AE198">
        <f t="shared" si="125"/>
        <v>-3.0426421395125652E-5</v>
      </c>
      <c r="AF198">
        <f t="shared" si="126"/>
        <v>3.5323565101776002E-4</v>
      </c>
      <c r="AG198">
        <f t="shared" si="141"/>
        <v>29392.218299660981</v>
      </c>
      <c r="AH198">
        <f t="shared" si="142"/>
        <v>-5362.7090421509201</v>
      </c>
      <c r="AJ198">
        <f t="shared" si="127"/>
        <v>55000</v>
      </c>
      <c r="AK198">
        <f t="shared" si="128"/>
        <v>3039.1610216467507</v>
      </c>
      <c r="AL198">
        <v>1</v>
      </c>
      <c r="AM198">
        <f t="shared" si="129"/>
        <v>4.3058323285708502</v>
      </c>
      <c r="AN198">
        <f t="shared" si="143"/>
        <v>3484.4139521868265</v>
      </c>
      <c r="AO198">
        <f t="shared" si="144"/>
        <v>-11964.141219802612</v>
      </c>
      <c r="AQ198">
        <f t="shared" si="130"/>
        <v>1.6923119940226643</v>
      </c>
      <c r="AR198">
        <f t="shared" si="131"/>
        <v>-73.131570509695422</v>
      </c>
      <c r="AT198">
        <f t="shared" si="156"/>
        <v>-342442.53087959252</v>
      </c>
      <c r="AU198">
        <f t="shared" si="157"/>
        <v>-2158574.461850503</v>
      </c>
      <c r="AV198">
        <f t="shared" si="145"/>
        <v>-1.7281280924260622</v>
      </c>
      <c r="AW198">
        <f t="shared" si="146"/>
        <v>-829053.85153617372</v>
      </c>
      <c r="AX198">
        <f t="shared" si="147"/>
        <v>-361412.21319865284</v>
      </c>
      <c r="AY198">
        <f t="shared" si="155"/>
        <v>-2.7304979366082547</v>
      </c>
      <c r="BA198">
        <f t="shared" si="132"/>
        <v>2.4165808606895789</v>
      </c>
      <c r="BB198">
        <f t="shared" si="148"/>
        <v>7.6640266310353606</v>
      </c>
      <c r="BC198">
        <f t="shared" si="149"/>
        <v>1.0023698441821924</v>
      </c>
      <c r="BD198">
        <f t="shared" si="133"/>
        <v>-122.5684383515493</v>
      </c>
      <c r="BF198">
        <f t="shared" si="134"/>
        <v>3.7896408294785351</v>
      </c>
      <c r="BG198">
        <f t="shared" si="135"/>
        <v>-112.25307455393722</v>
      </c>
      <c r="BH198">
        <f t="shared" si="150"/>
        <v>67.746925446062775</v>
      </c>
      <c r="BI198">
        <f t="shared" si="151"/>
        <v>67.746925446062775</v>
      </c>
      <c r="BJ198">
        <f t="shared" si="136"/>
        <v>0</v>
      </c>
      <c r="BK198">
        <f t="shared" si="152"/>
        <v>0</v>
      </c>
      <c r="BM198">
        <f t="shared" si="153"/>
        <v>-3.8743858015568247</v>
      </c>
      <c r="BN198">
        <f t="shared" si="137"/>
        <v>-169.68463620238794</v>
      </c>
      <c r="BQ198" s="75">
        <f t="shared" si="154"/>
        <v>24.565987431320497</v>
      </c>
      <c r="BR198" s="80"/>
      <c r="BS198" s="80"/>
      <c r="BT198" s="80">
        <v>7585.7759999999998</v>
      </c>
      <c r="BU198" s="80">
        <v>-0.87090199999999995</v>
      </c>
      <c r="BV198" s="80">
        <v>-224.429</v>
      </c>
      <c r="BW198" s="84"/>
      <c r="BY198" s="80"/>
      <c r="BZ198" s="80"/>
      <c r="CA198" s="80"/>
      <c r="CC198" s="80"/>
    </row>
    <row r="199" spans="1:81">
      <c r="A199">
        <f t="shared" si="158"/>
        <v>82500</v>
      </c>
      <c r="B199">
        <f t="shared" si="138"/>
        <v>82.5</v>
      </c>
      <c r="C199">
        <f t="shared" si="107"/>
        <v>1.0046372203340848</v>
      </c>
      <c r="D199">
        <f t="shared" si="108"/>
        <v>9.6118376139298703E-2</v>
      </c>
      <c r="F199">
        <f t="shared" si="109"/>
        <v>6.9890949323938023E-2</v>
      </c>
      <c r="G199">
        <f t="shared" si="110"/>
        <v>8.3916155843758819E-2</v>
      </c>
      <c r="H199">
        <f t="shared" si="111"/>
        <v>-3.0576764941562415</v>
      </c>
      <c r="J199">
        <f t="shared" si="112"/>
        <v>9</v>
      </c>
      <c r="M199">
        <f t="shared" si="113"/>
        <v>5.1160253197217655E-2</v>
      </c>
      <c r="N199">
        <f t="shared" si="114"/>
        <v>-1.5707963250000001</v>
      </c>
      <c r="O199">
        <f t="shared" si="115"/>
        <v>10.6568713531322</v>
      </c>
      <c r="P199">
        <f t="shared" si="116"/>
        <v>1.476821899385502</v>
      </c>
      <c r="Q199">
        <f t="shared" si="117"/>
        <v>4.4460073407144343</v>
      </c>
      <c r="R199">
        <f t="shared" si="118"/>
        <v>1.3439344650994858</v>
      </c>
      <c r="S199">
        <f t="shared" si="119"/>
        <v>0.99845820389483309</v>
      </c>
      <c r="T199">
        <f t="shared" si="120"/>
        <v>-5.5537238990501739E-2</v>
      </c>
      <c r="U199">
        <f t="shared" si="121"/>
        <v>0.99626590782900171</v>
      </c>
      <c r="V199">
        <f t="shared" si="122"/>
        <v>-8.6445571259825937E-2</v>
      </c>
      <c r="X199">
        <f t="shared" si="139"/>
        <v>3.6582091107360908</v>
      </c>
      <c r="Y199">
        <f t="shared" si="123"/>
        <v>-106.20236203468671</v>
      </c>
      <c r="Z199">
        <f t="shared" si="140"/>
        <v>73.797637965313285</v>
      </c>
      <c r="AC199">
        <v>1</v>
      </c>
      <c r="AD199">
        <f t="shared" si="124"/>
        <v>10.609849529433001</v>
      </c>
      <c r="AE199">
        <f t="shared" si="125"/>
        <v>-3.0798606576527958E-5</v>
      </c>
      <c r="AF199">
        <f t="shared" si="126"/>
        <v>3.5538952693860002E-4</v>
      </c>
      <c r="AG199">
        <f t="shared" si="141"/>
        <v>29389.570630007631</v>
      </c>
      <c r="AH199">
        <f t="shared" si="142"/>
        <v>-5360.7596141003796</v>
      </c>
      <c r="AJ199">
        <f t="shared" si="127"/>
        <v>55000</v>
      </c>
      <c r="AK199">
        <f t="shared" si="128"/>
        <v>3057.6924912909381</v>
      </c>
      <c r="AL199">
        <v>1</v>
      </c>
      <c r="AM199">
        <f t="shared" si="129"/>
        <v>4.3320874037450627</v>
      </c>
      <c r="AN199">
        <f t="shared" si="143"/>
        <v>3452.5348196133077</v>
      </c>
      <c r="AO199">
        <f t="shared" si="144"/>
        <v>-11898.990111747105</v>
      </c>
      <c r="AQ199">
        <f t="shared" si="130"/>
        <v>1.6718720946732206</v>
      </c>
      <c r="AR199">
        <f t="shared" si="131"/>
        <v>-72.68881899615495</v>
      </c>
      <c r="AT199">
        <f t="shared" si="156"/>
        <v>-340531.68226050248</v>
      </c>
      <c r="AU199">
        <f t="shared" si="157"/>
        <v>-2145255.6843044017</v>
      </c>
      <c r="AV199">
        <f t="shared" si="145"/>
        <v>-1.7282199775497749</v>
      </c>
      <c r="AW199">
        <f t="shared" si="146"/>
        <v>-819286.88866280264</v>
      </c>
      <c r="AX199">
        <f t="shared" si="147"/>
        <v>-356735.79601667653</v>
      </c>
      <c r="AY199">
        <f t="shared" si="155"/>
        <v>-2.7309274323627042</v>
      </c>
      <c r="BA199">
        <f t="shared" si="132"/>
        <v>2.4307914122169105</v>
      </c>
      <c r="BB199">
        <f t="shared" si="148"/>
        <v>7.7149538670369591</v>
      </c>
      <c r="BC199">
        <f t="shared" si="149"/>
        <v>1.0027074548129293</v>
      </c>
      <c r="BD199">
        <f t="shared" si="133"/>
        <v>-122.54909468726721</v>
      </c>
      <c r="BF199">
        <f t="shared" si="134"/>
        <v>3.7284081278313312</v>
      </c>
      <c r="BG199">
        <f t="shared" si="135"/>
        <v>-112.23387582623815</v>
      </c>
      <c r="BH199">
        <f t="shared" si="150"/>
        <v>67.766124173761852</v>
      </c>
      <c r="BI199">
        <f t="shared" si="151"/>
        <v>67.766124173761852</v>
      </c>
      <c r="BJ199">
        <f t="shared" si="136"/>
        <v>0</v>
      </c>
      <c r="BK199">
        <f t="shared" si="152"/>
        <v>0</v>
      </c>
      <c r="BM199">
        <f t="shared" si="153"/>
        <v>-3.9865457392056287</v>
      </c>
      <c r="BN199">
        <f t="shared" si="137"/>
        <v>-169.68478113897092</v>
      </c>
      <c r="BQ199" s="75">
        <f t="shared" si="154"/>
        <v>24.616914667322092</v>
      </c>
      <c r="BR199" s="80"/>
      <c r="BS199" s="80"/>
      <c r="BT199" s="80">
        <v>7762.4709999999995</v>
      </c>
      <c r="BU199" s="80">
        <v>-1.0348599999999999</v>
      </c>
      <c r="BV199" s="80">
        <v>-223.255</v>
      </c>
      <c r="BW199" s="84"/>
      <c r="BY199" s="80"/>
      <c r="BZ199" s="80"/>
      <c r="CA199" s="80"/>
      <c r="CC199" s="80"/>
    </row>
    <row r="200" spans="1:81">
      <c r="A200">
        <f t="shared" si="158"/>
        <v>83000</v>
      </c>
      <c r="B200">
        <f t="shared" si="138"/>
        <v>83</v>
      </c>
      <c r="C200">
        <f t="shared" si="107"/>
        <v>1.0046934677026351</v>
      </c>
      <c r="D200">
        <f t="shared" si="108"/>
        <v>9.6697298064923637E-2</v>
      </c>
      <c r="F200">
        <f t="shared" si="109"/>
        <v>6.8996532268970498E-2</v>
      </c>
      <c r="G200">
        <f t="shared" si="110"/>
        <v>8.3342995692809632E-2</v>
      </c>
      <c r="H200">
        <f t="shared" si="111"/>
        <v>-3.0582496543071906</v>
      </c>
      <c r="J200">
        <f t="shared" si="112"/>
        <v>9</v>
      </c>
      <c r="M200">
        <f t="shared" si="113"/>
        <v>5.085205890084888E-2</v>
      </c>
      <c r="N200">
        <f t="shared" si="114"/>
        <v>-1.5707963250000001</v>
      </c>
      <c r="O200">
        <f t="shared" si="115"/>
        <v>10.720891446147858</v>
      </c>
      <c r="P200">
        <f t="shared" si="116"/>
        <v>1.477384713112996</v>
      </c>
      <c r="Q200">
        <f t="shared" si="117"/>
        <v>4.4715935821083086</v>
      </c>
      <c r="R200">
        <f t="shared" si="118"/>
        <v>1.3452550942909294</v>
      </c>
      <c r="S200">
        <f t="shared" si="119"/>
        <v>0.99843950268032433</v>
      </c>
      <c r="T200">
        <f t="shared" si="120"/>
        <v>-5.5873130345434029E-2</v>
      </c>
      <c r="U200">
        <f t="shared" si="121"/>
        <v>0.99622076598619591</v>
      </c>
      <c r="V200">
        <f t="shared" si="122"/>
        <v>-8.6966854038414906E-2</v>
      </c>
      <c r="X200">
        <f t="shared" si="139"/>
        <v>3.5956492308858961</v>
      </c>
      <c r="Y200">
        <f t="shared" si="123"/>
        <v>-106.14323103919735</v>
      </c>
      <c r="Z200">
        <f t="shared" si="140"/>
        <v>73.856768960802654</v>
      </c>
      <c r="AC200">
        <v>1</v>
      </c>
      <c r="AD200">
        <f t="shared" si="124"/>
        <v>10.674151647793201</v>
      </c>
      <c r="AE200">
        <f t="shared" si="125"/>
        <v>-3.1173054281829358E-5</v>
      </c>
      <c r="AF200">
        <f t="shared" si="126"/>
        <v>3.5754340285944002E-4</v>
      </c>
      <c r="AG200">
        <f t="shared" si="141"/>
        <v>29386.907346420343</v>
      </c>
      <c r="AH200">
        <f t="shared" si="142"/>
        <v>-5359.0127591818946</v>
      </c>
      <c r="AJ200">
        <f t="shared" si="127"/>
        <v>55000</v>
      </c>
      <c r="AK200">
        <f t="shared" si="128"/>
        <v>3076.2239609351254</v>
      </c>
      <c r="AL200">
        <v>1</v>
      </c>
      <c r="AM200">
        <f t="shared" si="129"/>
        <v>4.3583424789192753</v>
      </c>
      <c r="AN200">
        <f t="shared" si="143"/>
        <v>3421.1916602406613</v>
      </c>
      <c r="AO200">
        <f t="shared" si="144"/>
        <v>-11834.500980416109</v>
      </c>
      <c r="AQ200">
        <f t="shared" si="130"/>
        <v>1.6518002200332671</v>
      </c>
      <c r="AR200">
        <f t="shared" si="131"/>
        <v>-72.251393424475125</v>
      </c>
      <c r="AT200">
        <f t="shared" si="156"/>
        <v>-338654.83920951869</v>
      </c>
      <c r="AU200">
        <f t="shared" si="157"/>
        <v>-2132097.0226695919</v>
      </c>
      <c r="AV200">
        <f t="shared" si="145"/>
        <v>-1.7283169304224155</v>
      </c>
      <c r="AW200">
        <f t="shared" si="146"/>
        <v>-809682.70297532773</v>
      </c>
      <c r="AX200">
        <f t="shared" si="147"/>
        <v>-352157.87030588387</v>
      </c>
      <c r="AY200">
        <f t="shared" si="155"/>
        <v>-2.7313386895068406</v>
      </c>
      <c r="BA200">
        <f t="shared" si="132"/>
        <v>2.4450128744790534</v>
      </c>
      <c r="BB200">
        <f t="shared" si="148"/>
        <v>7.7656230058021016</v>
      </c>
      <c r="BC200">
        <f t="shared" si="149"/>
        <v>1.003021759084425</v>
      </c>
      <c r="BD200">
        <f t="shared" si="133"/>
        <v>-122.53108637900701</v>
      </c>
      <c r="BF200">
        <f t="shared" si="134"/>
        <v>3.6676900434745301</v>
      </c>
      <c r="BG200">
        <f t="shared" si="135"/>
        <v>-112.21553739260611</v>
      </c>
      <c r="BH200">
        <f t="shared" si="150"/>
        <v>67.784462607393891</v>
      </c>
      <c r="BI200">
        <f t="shared" si="151"/>
        <v>67.784462607393891</v>
      </c>
      <c r="BJ200">
        <f t="shared" si="136"/>
        <v>0</v>
      </c>
      <c r="BK200">
        <f t="shared" si="152"/>
        <v>0</v>
      </c>
      <c r="BM200">
        <f t="shared" si="153"/>
        <v>-4.0979329623275706</v>
      </c>
      <c r="BN200">
        <f t="shared" si="137"/>
        <v>-169.68445101359913</v>
      </c>
      <c r="BQ200" s="75">
        <f t="shared" si="154"/>
        <v>24.667583806087237</v>
      </c>
      <c r="BR200" s="80"/>
      <c r="BS200" s="80"/>
      <c r="BT200" s="80">
        <v>7943.2820000000002</v>
      </c>
      <c r="BU200" s="80">
        <v>-1.2307999999999999</v>
      </c>
      <c r="BV200" s="80">
        <v>-223.13499999999999</v>
      </c>
      <c r="BW200" s="84"/>
      <c r="BY200" s="80"/>
      <c r="BZ200" s="80"/>
      <c r="CA200" s="80"/>
      <c r="CC200" s="80"/>
    </row>
    <row r="201" spans="1:81">
      <c r="A201">
        <f>A200+500</f>
        <v>83500</v>
      </c>
      <c r="B201">
        <f t="shared" si="138"/>
        <v>83.5</v>
      </c>
      <c r="C201">
        <f t="shared" ref="C201:C264" si="159">SQRT((A201/Fesr)^2+1)</f>
        <v>1.0047500517570336</v>
      </c>
      <c r="D201">
        <f t="shared" ref="D201:D264" si="160">ATAN(A201/Fesr)</f>
        <v>9.7276154978765988E-2</v>
      </c>
      <c r="F201">
        <f t="shared" ref="F201:F264" si="161">(Ro/(Ro+Rdcr))/SQRT((A201/(Q*Fo))^2+(1-(A201^2/Fo^2))^2)</f>
        <v>6.8119512564540741E-2</v>
      </c>
      <c r="G201">
        <f t="shared" ref="G201:G264" si="162">-ATAN(A201*Fo/(Q*(Fo^2-A201^2)))</f>
        <v>8.2778006053915859E-2</v>
      </c>
      <c r="H201">
        <f t="shared" ref="H201:H264" si="163">IF(G201&gt;0,G201-Pi,G201)</f>
        <v>-3.0588146439460844</v>
      </c>
      <c r="J201">
        <f t="shared" ref="J201:J264" si="164">Vin/Vramp</f>
        <v>9</v>
      </c>
      <c r="M201">
        <f t="shared" ref="M201:M264" si="165">1/(2*Pi*_Rfb1*(Cc1ea_u+Cc2ea_u)*A201)</f>
        <v>5.0547555554137209E-2</v>
      </c>
      <c r="N201">
        <f t="shared" ref="N201:N264" si="166">-Pi/2</f>
        <v>-1.5707963250000001</v>
      </c>
      <c r="O201">
        <f t="shared" ref="O201:O264" si="167">SQRT(1+(A201/Fz1_u)^2)</f>
        <v>10.784914894787727</v>
      </c>
      <c r="P201">
        <f t="shared" ref="P201:P264" si="168">ATAN2(Fz1_u,A201)</f>
        <v>1.4779408448526263</v>
      </c>
      <c r="Q201">
        <f t="shared" ref="Q201:Q264" si="169">SQRT(1+(A201/Fz2_u)^2)</f>
        <v>4.4971875334883018</v>
      </c>
      <c r="R201">
        <f t="shared" ref="R201:R264" si="170">ATAN2(Fz2_u,A201)</f>
        <v>1.3465606940679395</v>
      </c>
      <c r="S201">
        <f t="shared" ref="S201:S264" si="171">1/SQRT(1+(A201/Fp1_u)^2)</f>
        <v>0.99842068952787022</v>
      </c>
      <c r="T201">
        <f t="shared" ref="T201:T264" si="172">-ATAN2(Fp1_u,A201)</f>
        <v>-5.6209009080156504E-2</v>
      </c>
      <c r="U201">
        <f t="shared" ref="U201:U264" si="173">1/SQRT(1+(A201/Fp2_u)^2)</f>
        <v>0.99617535757444597</v>
      </c>
      <c r="V201">
        <f t="shared" ref="V201:V264" si="174">-ATAN2(Fp2_u,A201)</f>
        <v>-8.7488089437792946E-2</v>
      </c>
      <c r="X201">
        <f t="shared" si="139"/>
        <v>3.5335864685333815</v>
      </c>
      <c r="Y201">
        <f t="shared" ref="Y201:Y264" si="175">(180/Pi)*(D201+H201+N201+P201+R201+T201+V201)</f>
        <v>-106.08487616675774</v>
      </c>
      <c r="Z201">
        <f t="shared" si="140"/>
        <v>73.915123833242262</v>
      </c>
      <c r="AC201">
        <v>1</v>
      </c>
      <c r="AD201">
        <f t="shared" ref="AD201:AD264" si="176">Rcea1_u*Cc1ea_u*A201*2*Pi</f>
        <v>10.738453766153402</v>
      </c>
      <c r="AE201">
        <f t="shared" ref="AE201:AE264" si="177">-Rcea1_u*Cc1ea_u*Cc2ea_u*(A201*2*Pi)^2</f>
        <v>-3.1549764511029874E-5</v>
      </c>
      <c r="AF201">
        <f t="shared" ref="AF201:AF264" si="178">(Cc2ea_u+Cc1ea_u)*A201*2*Pi</f>
        <v>3.5969727878028002E-4</v>
      </c>
      <c r="AG201">
        <f t="shared" si="141"/>
        <v>29384.228457518031</v>
      </c>
      <c r="AH201">
        <f t="shared" si="142"/>
        <v>-5357.4647400936792</v>
      </c>
      <c r="AJ201">
        <f t="shared" ref="AJ201:AJ264" si="179">_Rfb1</f>
        <v>55000</v>
      </c>
      <c r="AK201">
        <f t="shared" ref="AK201:AK264" si="180">_Rfb1*Rcea2_u*Cc3ea_u*A201*2*Pi</f>
        <v>3094.7554305793128</v>
      </c>
      <c r="AL201">
        <v>1</v>
      </c>
      <c r="AM201">
        <f t="shared" ref="AM201:AM264" si="181">(_Rfb1+Rcea2_u)*Cc3ea_u*A201*2*Pi</f>
        <v>4.3845975540934878</v>
      </c>
      <c r="AN201">
        <f t="shared" si="143"/>
        <v>3390.3727437991643</v>
      </c>
      <c r="AO201">
        <f t="shared" si="144"/>
        <v>-11770.66460934773</v>
      </c>
      <c r="AQ201">
        <f t="shared" ref="AQ201:AQ264" si="182">Eadcg/(1+(Eadcg*A201/GBP)^2)</f>
        <v>1.6320875891920013</v>
      </c>
      <c r="AR201">
        <f t="shared" ref="AR201:AR264" si="183">-(A201*Eadcg*Eadcg/GBP)/(1+(Eadcg*A201/GBP)^2)</f>
        <v>-71.819198318599419</v>
      </c>
      <c r="AT201">
        <f t="shared" si="156"/>
        <v>-336811.18807019404</v>
      </c>
      <c r="AU201">
        <f t="shared" si="157"/>
        <v>-2119095.5827413611</v>
      </c>
      <c r="AV201">
        <f t="shared" si="145"/>
        <v>-1.7284188602760431</v>
      </c>
      <c r="AW201">
        <f t="shared" si="146"/>
        <v>-800237.77656596946</v>
      </c>
      <c r="AX201">
        <f t="shared" si="147"/>
        <v>-347675.75433011085</v>
      </c>
      <c r="AY201">
        <f t="shared" si="155"/>
        <v>-2.7317319868236756</v>
      </c>
      <c r="BA201">
        <f t="shared" ref="BA201:BA264" si="184">SQRT(AT201^2+AU201^2)/SQRT(AW201^2+AX201^2)</f>
        <v>2.4592451783497529</v>
      </c>
      <c r="BB201">
        <f t="shared" si="148"/>
        <v>7.8160365714915203</v>
      </c>
      <c r="BC201">
        <f t="shared" si="149"/>
        <v>1.0033131265476325</v>
      </c>
      <c r="BD201">
        <f t="shared" ref="BD201:BD264" si="185">BC201*180/Pi-180</f>
        <v>-122.5143922530587</v>
      </c>
      <c r="BF201">
        <f t="shared" ref="BF201:BF264" si="186">20*LOG(BA201*J201*F201*C201)</f>
        <v>3.6074781383387071</v>
      </c>
      <c r="BG201">
        <f t="shared" ref="BG201:BG264" si="187">(180/Pi)*(D201+H201+BC201)</f>
        <v>-112.19804873032899</v>
      </c>
      <c r="BH201">
        <f t="shared" si="150"/>
        <v>67.801951269671008</v>
      </c>
      <c r="BI201">
        <f t="shared" si="151"/>
        <v>67.801951269671008</v>
      </c>
      <c r="BJ201">
        <f t="shared" ref="BJ201:BJ264" si="188">SUM((BF202&lt;0)*(BF201&gt;0))*A201</f>
        <v>0</v>
      </c>
      <c r="BK201">
        <f t="shared" si="152"/>
        <v>0</v>
      </c>
      <c r="BM201">
        <f t="shared" si="153"/>
        <v>-4.2085584331528123</v>
      </c>
      <c r="BN201">
        <f t="shared" ref="BN201:BN264" si="189">(H201+D201)*180/Pi</f>
        <v>-169.68365647727029</v>
      </c>
      <c r="BQ201" s="75">
        <f t="shared" si="154"/>
        <v>24.717997371776654</v>
      </c>
      <c r="BR201" s="80"/>
      <c r="BS201" s="80"/>
      <c r="BT201" s="80">
        <v>8128.3050000000003</v>
      </c>
      <c r="BU201" s="80">
        <v>-1.3526100000000001</v>
      </c>
      <c r="BV201" s="80">
        <v>-221.982</v>
      </c>
      <c r="BW201" s="84"/>
      <c r="BY201" s="80"/>
      <c r="BZ201" s="80"/>
      <c r="CA201" s="80"/>
      <c r="CC201" s="80"/>
    </row>
    <row r="202" spans="1:81">
      <c r="A202">
        <f t="shared" ref="A202:A234" si="190">A201+500</f>
        <v>84000</v>
      </c>
      <c r="B202">
        <f t="shared" ref="B202:B265" si="191">A202/1000</f>
        <v>84</v>
      </c>
      <c r="C202">
        <f t="shared" si="159"/>
        <v>1.0048069724404003</v>
      </c>
      <c r="D202">
        <f t="shared" si="160"/>
        <v>9.785494650392039E-2</v>
      </c>
      <c r="F202">
        <f t="shared" si="161"/>
        <v>6.7259433776650127E-2</v>
      </c>
      <c r="G202">
        <f t="shared" si="162"/>
        <v>8.2221006998914006E-2</v>
      </c>
      <c r="H202">
        <f t="shared" si="163"/>
        <v>-3.0593716430010862</v>
      </c>
      <c r="J202">
        <f t="shared" si="164"/>
        <v>9</v>
      </c>
      <c r="M202">
        <f t="shared" si="165"/>
        <v>5.0246677247267349E-2</v>
      </c>
      <c r="N202">
        <f t="shared" si="166"/>
        <v>-1.5707963250000001</v>
      </c>
      <c r="O202">
        <f t="shared" si="167"/>
        <v>10.848941639643623</v>
      </c>
      <c r="P202">
        <f t="shared" si="168"/>
        <v>1.4784904125617324</v>
      </c>
      <c r="Q202">
        <f t="shared" si="169"/>
        <v>4.5227890639646002</v>
      </c>
      <c r="R202">
        <f t="shared" si="170"/>
        <v>1.3478515151661108</v>
      </c>
      <c r="S202">
        <f t="shared" si="171"/>
        <v>0.9984017644565325</v>
      </c>
      <c r="T202">
        <f t="shared" si="172"/>
        <v>-5.6544875119600699E-2</v>
      </c>
      <c r="U202">
        <f t="shared" si="173"/>
        <v>0.9961296827042172</v>
      </c>
      <c r="V202">
        <f t="shared" si="174"/>
        <v>-8.8009277181232887E-2</v>
      </c>
      <c r="X202">
        <f t="shared" ref="X202:X265" si="192">20*LOG(C202*J202*O202*Q202*F202*M202*S202*U202)</f>
        <v>3.4720126326913285</v>
      </c>
      <c r="Y202">
        <f t="shared" si="175"/>
        <v>-106.02728660338194</v>
      </c>
      <c r="Z202">
        <f t="shared" ref="Z202:Z265" si="193">Y202+180</f>
        <v>73.972713396618062</v>
      </c>
      <c r="AC202">
        <v>1</v>
      </c>
      <c r="AD202">
        <f t="shared" si="176"/>
        <v>10.802755884513601</v>
      </c>
      <c r="AE202">
        <f t="shared" si="177"/>
        <v>-3.1928737264129477E-5</v>
      </c>
      <c r="AF202">
        <f t="shared" si="178"/>
        <v>3.6185115470112003E-4</v>
      </c>
      <c r="AG202">
        <f t="shared" ref="AG202:AG265" si="194">AC202*AE202/(AE202^2+AF202^2)+AD202*AF202/(AE202^2+AF202^2)</f>
        <v>29381.533971967685</v>
      </c>
      <c r="AH202">
        <f t="shared" ref="AH202:AH265" si="195">AD202*AE202/(AE202^2+AF202^2)-AC202*AF202/(AE202^2+AF202^2)</f>
        <v>-5356.1119079718992</v>
      </c>
      <c r="AJ202">
        <f t="shared" si="179"/>
        <v>55000</v>
      </c>
      <c r="AK202">
        <f t="shared" si="180"/>
        <v>3113.2869002235002</v>
      </c>
      <c r="AL202">
        <v>1</v>
      </c>
      <c r="AM202">
        <f t="shared" si="181"/>
        <v>4.4108526292677004</v>
      </c>
      <c r="AN202">
        <f t="shared" ref="AN202:AN265" si="196">AJ202*AL202/(AL202^2+AM202^2)+AK202*AM202/(AL202^2+AM202^2)</f>
        <v>3360.0666529754972</v>
      </c>
      <c r="AO202">
        <f t="shared" ref="AO202:AO265" si="197">AK202*AL202/(AL202^2+AM202^2)-AJ202*AM202/(AL202^2+AM202^2)</f>
        <v>-11707.471930568192</v>
      </c>
      <c r="AQ202">
        <f t="shared" si="182"/>
        <v>1.6127256815268562</v>
      </c>
      <c r="AR202">
        <f t="shared" si="183"/>
        <v>-71.392140469830863</v>
      </c>
      <c r="AT202">
        <f t="shared" si="156"/>
        <v>-334999.9393068176</v>
      </c>
      <c r="AU202">
        <f t="shared" si="157"/>
        <v>-2106248.5397729427</v>
      </c>
      <c r="AV202">
        <f t="shared" ref="AV202:AV265" si="198">ATAN2(AT202,AU202)</f>
        <v>-1.7285256784567737</v>
      </c>
      <c r="AW202">
        <f t="shared" ref="AW202:AW265" si="199">AG202-AH202*AO202/_Rfb2+AG202*AN202/_Rfb2+AN202-AO202*AR202+AQ202*AN202</f>
        <v>-790948.6837949357</v>
      </c>
      <c r="AX202">
        <f t="shared" ref="AX202:AX265" si="200">AH202+AH202*AN202/_Rfb2+AG202*AO202/_Rfb2+AO202+AO202*AQ202+AN202*AR202</f>
        <v>-343286.85436340963</v>
      </c>
      <c r="AY202">
        <f t="shared" si="155"/>
        <v>-2.7321075967893225</v>
      </c>
      <c r="BA202">
        <f t="shared" si="184"/>
        <v>2.4734882564262435</v>
      </c>
      <c r="BB202">
        <f t="shared" ref="BB202:BB265" si="201">20*LOG(BA202)</f>
        <v>7.8661970554239522</v>
      </c>
      <c r="BC202">
        <f t="shared" ref="BC202:BC265" si="202">AV202-AY202</f>
        <v>1.0035819183325487</v>
      </c>
      <c r="BD202">
        <f t="shared" si="185"/>
        <v>-122.49899161819761</v>
      </c>
      <c r="BF202">
        <f t="shared" si="186"/>
        <v>3.5477641821465618</v>
      </c>
      <c r="BG202">
        <f t="shared" si="187"/>
        <v>-112.18139947890158</v>
      </c>
      <c r="BH202">
        <f t="shared" ref="BH202:BH265" si="203">IF(BG202&gt;180,BG202-180,BG202+180)</f>
        <v>67.818600521098418</v>
      </c>
      <c r="BI202">
        <f t="shared" ref="BI202:BI265" si="204">IF(BH202&gt;180,BH202-360,BH202)</f>
        <v>67.818600521098418</v>
      </c>
      <c r="BJ202">
        <f t="shared" si="188"/>
        <v>0</v>
      </c>
      <c r="BK202">
        <f t="shared" ref="BK202:BK265" si="205">IF(BJ202&gt;0,BI202,0)</f>
        <v>0</v>
      </c>
      <c r="BM202">
        <f t="shared" ref="BM202:BM265" si="206">20*LOG(J202*F202*C202)</f>
        <v>-4.3184328732773913</v>
      </c>
      <c r="BN202">
        <f t="shared" si="189"/>
        <v>-169.68240786070396</v>
      </c>
      <c r="BQ202" s="75">
        <f t="shared" ref="BQ202:BQ265" si="207">20*LOG(BA202*7)</f>
        <v>24.768157855709092</v>
      </c>
      <c r="BR202" s="80"/>
      <c r="BS202" s="80"/>
      <c r="BT202" s="80">
        <v>8317.6380000000008</v>
      </c>
      <c r="BU202" s="80">
        <v>-1.29555</v>
      </c>
      <c r="BV202" s="80">
        <v>-220.93199999999999</v>
      </c>
      <c r="BW202" s="84"/>
      <c r="BY202" s="80"/>
      <c r="BZ202" s="80"/>
      <c r="CA202" s="80"/>
      <c r="CC202" s="80"/>
    </row>
    <row r="203" spans="1:81">
      <c r="A203">
        <f t="shared" si="190"/>
        <v>84500</v>
      </c>
      <c r="B203">
        <f t="shared" si="191"/>
        <v>84.5</v>
      </c>
      <c r="C203">
        <f t="shared" si="159"/>
        <v>1.0048642296955301</v>
      </c>
      <c r="D203">
        <f t="shared" si="160"/>
        <v>9.8433672263741945E-2</v>
      </c>
      <c r="F203">
        <f t="shared" si="161"/>
        <v>6.6415854585282513E-2</v>
      </c>
      <c r="G203">
        <f t="shared" si="162"/>
        <v>8.16718239769543E-2</v>
      </c>
      <c r="H203">
        <f t="shared" si="163"/>
        <v>-3.0599208260230459</v>
      </c>
      <c r="J203">
        <f t="shared" si="164"/>
        <v>9</v>
      </c>
      <c r="M203">
        <f t="shared" si="165"/>
        <v>4.9949359630419604E-2</v>
      </c>
      <c r="N203">
        <f t="shared" si="166"/>
        <v>-1.5707963250000001</v>
      </c>
      <c r="O203">
        <f t="shared" si="167"/>
        <v>10.912971622698539</v>
      </c>
      <c r="P203">
        <f t="shared" si="168"/>
        <v>1.47903353144535</v>
      </c>
      <c r="Q203">
        <f t="shared" si="169"/>
        <v>4.5483980455560156</v>
      </c>
      <c r="R203">
        <f t="shared" si="170"/>
        <v>1.3491278028736553</v>
      </c>
      <c r="S203">
        <f t="shared" si="171"/>
        <v>0.99838272748548418</v>
      </c>
      <c r="T203">
        <f t="shared" si="172"/>
        <v>-5.6880728388715267E-2</v>
      </c>
      <c r="U203">
        <f t="shared" si="173"/>
        <v>0.99608374148659606</v>
      </c>
      <c r="V203">
        <f t="shared" si="174"/>
        <v>-8.8530416992161701E-2</v>
      </c>
      <c r="X203">
        <f t="shared" si="192"/>
        <v>3.410919733714961</v>
      </c>
      <c r="Y203">
        <f t="shared" si="175"/>
        <v>-105.97045169678873</v>
      </c>
      <c r="Z203">
        <f t="shared" si="193"/>
        <v>74.029548303211271</v>
      </c>
      <c r="AC203">
        <v>1</v>
      </c>
      <c r="AD203">
        <f t="shared" si="176"/>
        <v>10.867058002873801</v>
      </c>
      <c r="AE203">
        <f t="shared" si="177"/>
        <v>-3.2309972541128195E-5</v>
      </c>
      <c r="AF203">
        <f t="shared" si="178"/>
        <v>3.6400503062195997E-4</v>
      </c>
      <c r="AG203">
        <f t="shared" si="194"/>
        <v>29378.823898484385</v>
      </c>
      <c r="AH203">
        <f t="shared" si="195"/>
        <v>-5354.9506997749631</v>
      </c>
      <c r="AJ203">
        <f t="shared" si="179"/>
        <v>55000</v>
      </c>
      <c r="AK203">
        <f t="shared" si="180"/>
        <v>3131.818369867688</v>
      </c>
      <c r="AL203">
        <v>1</v>
      </c>
      <c r="AM203">
        <f t="shared" si="181"/>
        <v>4.4371077044419129</v>
      </c>
      <c r="AN203">
        <f t="shared" si="196"/>
        <v>3330.2622736590019</v>
      </c>
      <c r="AO203">
        <f t="shared" si="197"/>
        <v>-11644.914022396912</v>
      </c>
      <c r="AQ203">
        <f t="shared" si="182"/>
        <v>1.5937062275009195</v>
      </c>
      <c r="AR203">
        <f t="shared" si="183"/>
        <v>-70.970128869957193</v>
      </c>
      <c r="AT203">
        <f t="shared" si="156"/>
        <v>-333220.32665162918</v>
      </c>
      <c r="AU203">
        <f t="shared" si="157"/>
        <v>-2093553.1364014067</v>
      </c>
      <c r="AV203">
        <f t="shared" si="198"/>
        <v>-1.7286372983636531</v>
      </c>
      <c r="AW203">
        <f t="shared" si="199"/>
        <v>-781812.08848127641</v>
      </c>
      <c r="AX203">
        <f t="shared" si="200"/>
        <v>-338988.6613391689</v>
      </c>
      <c r="AY203">
        <f t="shared" ref="AY203:AY266" si="208">ATAN2(AW203,AX203)</f>
        <v>-2.7324657857431944</v>
      </c>
      <c r="BA203">
        <f t="shared" si="184"/>
        <v>2.487742042968375</v>
      </c>
      <c r="BB203">
        <f t="shared" si="201"/>
        <v>7.9161069164895217</v>
      </c>
      <c r="BC203">
        <f t="shared" si="202"/>
        <v>1.0038284873795413</v>
      </c>
      <c r="BD203">
        <f t="shared" si="185"/>
        <v>-122.48486425243024</v>
      </c>
      <c r="BF203">
        <f t="shared" si="186"/>
        <v>3.4885401456708296</v>
      </c>
      <c r="BG203">
        <f t="shared" si="187"/>
        <v>-112.16557943893751</v>
      </c>
      <c r="BH203">
        <f t="shared" si="203"/>
        <v>67.834420561062487</v>
      </c>
      <c r="BI203">
        <f t="shared" si="204"/>
        <v>67.834420561062487</v>
      </c>
      <c r="BJ203">
        <f t="shared" si="188"/>
        <v>0</v>
      </c>
      <c r="BK203">
        <f t="shared" si="205"/>
        <v>0</v>
      </c>
      <c r="BM203">
        <f t="shared" si="206"/>
        <v>-4.427566770818693</v>
      </c>
      <c r="BN203">
        <f t="shared" si="189"/>
        <v>-169.68071518650729</v>
      </c>
      <c r="BQ203" s="75">
        <f t="shared" si="207"/>
        <v>24.818067716774657</v>
      </c>
      <c r="BR203" s="80"/>
      <c r="BS203" s="80"/>
      <c r="BT203" s="80">
        <v>8511.3799999999992</v>
      </c>
      <c r="BU203" s="80">
        <v>-1.5137499999999999</v>
      </c>
      <c r="BV203" s="80">
        <v>-219.99600000000001</v>
      </c>
      <c r="BW203" s="84"/>
      <c r="BY203" s="80"/>
      <c r="BZ203" s="80"/>
      <c r="CA203" s="80"/>
      <c r="CC203" s="80"/>
    </row>
    <row r="204" spans="1:81">
      <c r="A204">
        <f t="shared" si="190"/>
        <v>85000</v>
      </c>
      <c r="B204">
        <f t="shared" si="191"/>
        <v>85</v>
      </c>
      <c r="C204">
        <f t="shared" si="159"/>
        <v>1.0049218234648929</v>
      </c>
      <c r="D204">
        <f t="shared" si="160"/>
        <v>9.9012331881847521E-2</v>
      </c>
      <c r="F204">
        <f t="shared" si="161"/>
        <v>6.5588348179193942E-2</v>
      </c>
      <c r="G204">
        <f t="shared" si="162"/>
        <v>8.1130287611864915E-2</v>
      </c>
      <c r="H204">
        <f t="shared" si="163"/>
        <v>-3.0604623623881353</v>
      </c>
      <c r="J204">
        <f t="shared" si="164"/>
        <v>9</v>
      </c>
      <c r="M204">
        <f t="shared" si="165"/>
        <v>4.9655539867887732E-2</v>
      </c>
      <c r="N204">
        <f t="shared" si="166"/>
        <v>-1.5707963250000001</v>
      </c>
      <c r="O204">
        <f t="shared" si="167"/>
        <v>10.977004787286241</v>
      </c>
      <c r="P204">
        <f t="shared" si="168"/>
        <v>1.4795703140357939</v>
      </c>
      <c r="Q204">
        <f t="shared" si="169"/>
        <v>4.5740143531106883</v>
      </c>
      <c r="R204">
        <f t="shared" si="170"/>
        <v>1.3503897971757339</v>
      </c>
      <c r="S204">
        <f t="shared" si="171"/>
        <v>0.99836357863400915</v>
      </c>
      <c r="T204">
        <f t="shared" si="172"/>
        <v>-5.7216568812466118E-2</v>
      </c>
      <c r="U204">
        <f t="shared" si="173"/>
        <v>0.9960375340332891</v>
      </c>
      <c r="V204">
        <f t="shared" si="174"/>
        <v>-8.9051508594161374E-2</v>
      </c>
      <c r="X204">
        <f t="shared" si="192"/>
        <v>3.3502999768276043</v>
      </c>
      <c r="Y204">
        <f t="shared" si="175"/>
        <v>-105.91436095518299</v>
      </c>
      <c r="Z204">
        <f t="shared" si="193"/>
        <v>74.085639044817015</v>
      </c>
      <c r="AC204">
        <v>1</v>
      </c>
      <c r="AD204">
        <f t="shared" si="176"/>
        <v>10.931360121234002</v>
      </c>
      <c r="AE204">
        <f t="shared" si="177"/>
        <v>-3.2693470342026008E-5</v>
      </c>
      <c r="AF204">
        <f t="shared" si="178"/>
        <v>3.6615890654280003E-4</v>
      </c>
      <c r="AG204">
        <f t="shared" si="194"/>
        <v>29376.098245831174</v>
      </c>
      <c r="AH204">
        <f t="shared" si="195"/>
        <v>-5353.9776357601004</v>
      </c>
      <c r="AJ204">
        <f t="shared" si="179"/>
        <v>55000</v>
      </c>
      <c r="AK204">
        <f t="shared" si="180"/>
        <v>3150.3498395118754</v>
      </c>
      <c r="AL204">
        <v>1</v>
      </c>
      <c r="AM204">
        <f t="shared" si="181"/>
        <v>4.4633627796161255</v>
      </c>
      <c r="AN204">
        <f t="shared" si="196"/>
        <v>3300.9487855322695</v>
      </c>
      <c r="AO204">
        <f t="shared" si="197"/>
        <v>-11582.98210725191</v>
      </c>
      <c r="AQ204">
        <f t="shared" si="182"/>
        <v>1.5750211998376511</v>
      </c>
      <c r="AR204">
        <f t="shared" si="183"/>
        <v>-70.553074646727595</v>
      </c>
      <c r="AT204">
        <f t="shared" si="156"/>
        <v>-331471.60628699471</v>
      </c>
      <c r="AU204">
        <f t="shared" si="157"/>
        <v>-2081006.6806475092</v>
      </c>
      <c r="AV204">
        <f t="shared" si="198"/>
        <v>-1.7287536353896289</v>
      </c>
      <c r="AW204">
        <f t="shared" si="199"/>
        <v>-772824.74118970218</v>
      </c>
      <c r="AX204">
        <f t="shared" si="200"/>
        <v>-334778.74764364562</v>
      </c>
      <c r="AY204">
        <f t="shared" si="208"/>
        <v>-2.7328068140528257</v>
      </c>
      <c r="BA204">
        <f t="shared" si="184"/>
        <v>2.5020064738396579</v>
      </c>
      <c r="BB204">
        <f t="shared" si="201"/>
        <v>7.9657685815621138</v>
      </c>
      <c r="BC204">
        <f t="shared" si="202"/>
        <v>1.0040531786631968</v>
      </c>
      <c r="BD204">
        <f t="shared" si="185"/>
        <v>-122.47199039016868</v>
      </c>
      <c r="BF204">
        <f t="shared" si="186"/>
        <v>3.4297981942589462</v>
      </c>
      <c r="BG204">
        <f t="shared" si="187"/>
        <v>-112.15057857095393</v>
      </c>
      <c r="BH204">
        <f t="shared" si="203"/>
        <v>67.849421429046075</v>
      </c>
      <c r="BI204">
        <f t="shared" si="204"/>
        <v>67.849421429046075</v>
      </c>
      <c r="BJ204">
        <f t="shared" si="188"/>
        <v>0</v>
      </c>
      <c r="BK204">
        <f t="shared" si="205"/>
        <v>0</v>
      </c>
      <c r="BM204">
        <f t="shared" si="206"/>
        <v>-4.535970387303168</v>
      </c>
      <c r="BN204">
        <f t="shared" si="189"/>
        <v>-169.67858818078525</v>
      </c>
      <c r="BQ204" s="75">
        <f t="shared" si="207"/>
        <v>24.867729381847251</v>
      </c>
      <c r="BR204" s="80"/>
      <c r="BS204" s="80"/>
      <c r="BT204" s="80">
        <v>8709.6360000000004</v>
      </c>
      <c r="BU204" s="80">
        <v>-1.62094</v>
      </c>
      <c r="BV204" s="80">
        <v>-218.72200000000001</v>
      </c>
      <c r="BW204" s="84"/>
      <c r="BY204" s="80"/>
      <c r="BZ204" s="80"/>
      <c r="CA204" s="80"/>
      <c r="CC204" s="80"/>
    </row>
    <row r="205" spans="1:81">
      <c r="A205">
        <f t="shared" si="190"/>
        <v>85500</v>
      </c>
      <c r="B205">
        <f t="shared" si="191"/>
        <v>85.5</v>
      </c>
      <c r="C205">
        <f t="shared" si="159"/>
        <v>1.0049797536906329</v>
      </c>
      <c r="D205">
        <f t="shared" si="160"/>
        <v>9.9590924982117177E-2</v>
      </c>
      <c r="F205">
        <f t="shared" si="161"/>
        <v>6.4776501679139939E-2</v>
      </c>
      <c r="G205">
        <f t="shared" si="162"/>
        <v>8.0596233508701695E-2</v>
      </c>
      <c r="H205">
        <f t="shared" si="163"/>
        <v>-3.0609964164912986</v>
      </c>
      <c r="J205">
        <f t="shared" si="164"/>
        <v>9</v>
      </c>
      <c r="M205">
        <f t="shared" si="165"/>
        <v>4.9365156593806511E-2</v>
      </c>
      <c r="N205">
        <f t="shared" si="166"/>
        <v>-1.5707963250000001</v>
      </c>
      <c r="O205">
        <f t="shared" si="167"/>
        <v>11.041041078052276</v>
      </c>
      <c r="P205">
        <f t="shared" si="168"/>
        <v>1.4801008702695018</v>
      </c>
      <c r="Q205">
        <f t="shared" si="169"/>
        <v>4.5996378642293347</v>
      </c>
      <c r="R205">
        <f t="shared" si="170"/>
        <v>1.351637732894317</v>
      </c>
      <c r="S205">
        <f t="shared" si="171"/>
        <v>0.9983443179215038</v>
      </c>
      <c r="T205">
        <f t="shared" si="172"/>
        <v>-5.7552396315836453E-2</v>
      </c>
      <c r="U205">
        <f t="shared" si="173"/>
        <v>0.99599106045662333</v>
      </c>
      <c r="V205">
        <f t="shared" si="174"/>
        <v>-8.9572551710969742E-2</v>
      </c>
      <c r="X205">
        <f t="shared" si="192"/>
        <v>3.2901457559007712</v>
      </c>
      <c r="Y205">
        <f t="shared" si="175"/>
        <v>-105.85900404592249</v>
      </c>
      <c r="Z205">
        <f t="shared" si="193"/>
        <v>74.140995954077511</v>
      </c>
      <c r="AC205">
        <v>1</v>
      </c>
      <c r="AD205">
        <f t="shared" si="176"/>
        <v>10.995662239594202</v>
      </c>
      <c r="AE205">
        <f t="shared" si="177"/>
        <v>-3.3079230666822922E-5</v>
      </c>
      <c r="AF205">
        <f t="shared" si="178"/>
        <v>3.6831278246364003E-4</v>
      </c>
      <c r="AG205">
        <f t="shared" si="194"/>
        <v>29373.357022819037</v>
      </c>
      <c r="AH205">
        <f t="shared" si="195"/>
        <v>-5353.1893170485218</v>
      </c>
      <c r="AJ205">
        <f t="shared" si="179"/>
        <v>55000</v>
      </c>
      <c r="AK205">
        <f t="shared" si="180"/>
        <v>3168.8813091560628</v>
      </c>
      <c r="AL205">
        <v>1</v>
      </c>
      <c r="AM205">
        <f t="shared" si="181"/>
        <v>4.489617854790338</v>
      </c>
      <c r="AN205">
        <f t="shared" si="196"/>
        <v>3272.115652992612</v>
      </c>
      <c r="AO205">
        <f t="shared" si="197"/>
        <v>-11521.667549458514</v>
      </c>
      <c r="AQ205">
        <f t="shared" si="182"/>
        <v>1.5566628050553302</v>
      </c>
      <c r="AR205">
        <f t="shared" si="183"/>
        <v>-70.140891001585601</v>
      </c>
      <c r="AT205">
        <f t="shared" si="156"/>
        <v>-329753.05606091965</v>
      </c>
      <c r="AU205">
        <f t="shared" si="157"/>
        <v>-2068606.5439864779</v>
      </c>
      <c r="AV205">
        <f t="shared" si="198"/>
        <v>-1.728874606864542</v>
      </c>
      <c r="AW205">
        <f t="shared" si="199"/>
        <v>-763983.47660980467</v>
      </c>
      <c r="AX205">
        <f t="shared" si="200"/>
        <v>-330654.76404698566</v>
      </c>
      <c r="AY205">
        <f t="shared" si="208"/>
        <v>-2.7331309362735063</v>
      </c>
      <c r="BA205">
        <f t="shared" si="184"/>
        <v>2.5162814864501972</v>
      </c>
      <c r="BB205">
        <f t="shared" si="201"/>
        <v>8.0151844459105366</v>
      </c>
      <c r="BC205">
        <f t="shared" si="202"/>
        <v>1.0042563294089644</v>
      </c>
      <c r="BD205">
        <f t="shared" si="185"/>
        <v>-122.46035070981797</v>
      </c>
      <c r="BF205">
        <f t="shared" si="186"/>
        <v>3.3715306816122208</v>
      </c>
      <c r="BG205">
        <f t="shared" si="187"/>
        <v>-112.13638699404234</v>
      </c>
      <c r="BH205">
        <f t="shared" si="203"/>
        <v>67.86361300595766</v>
      </c>
      <c r="BI205">
        <f t="shared" si="204"/>
        <v>67.86361300595766</v>
      </c>
      <c r="BJ205">
        <f t="shared" si="188"/>
        <v>0</v>
      </c>
      <c r="BK205">
        <f t="shared" si="205"/>
        <v>0</v>
      </c>
      <c r="BM205">
        <f t="shared" si="206"/>
        <v>-4.6436537642983158</v>
      </c>
      <c r="BN205">
        <f t="shared" si="189"/>
        <v>-169.67603628422435</v>
      </c>
      <c r="BQ205" s="75">
        <f t="shared" si="207"/>
        <v>24.917145246195673</v>
      </c>
      <c r="BR205" s="80"/>
      <c r="BS205" s="80"/>
      <c r="BT205" s="80">
        <v>8912.509</v>
      </c>
      <c r="BU205" s="80">
        <v>-1.6954</v>
      </c>
      <c r="BV205" s="80">
        <v>-217.619</v>
      </c>
      <c r="BW205" s="84"/>
      <c r="BY205" s="80"/>
      <c r="BZ205" s="80"/>
      <c r="CA205" s="80"/>
      <c r="CC205" s="80"/>
    </row>
    <row r="206" spans="1:81">
      <c r="A206">
        <f t="shared" si="190"/>
        <v>86000</v>
      </c>
      <c r="B206">
        <f t="shared" si="191"/>
        <v>86</v>
      </c>
      <c r="C206">
        <f t="shared" si="159"/>
        <v>1.0050380203145708</v>
      </c>
      <c r="D206">
        <f t="shared" si="160"/>
        <v>0.10016945118869562</v>
      </c>
      <c r="F206">
        <f t="shared" si="161"/>
        <v>6.3979915588007308E-2</v>
      </c>
      <c r="G206">
        <f t="shared" si="162"/>
        <v>8.0069502068998558E-2</v>
      </c>
      <c r="H206">
        <f t="shared" si="163"/>
        <v>-3.0615231479310014</v>
      </c>
      <c r="J206">
        <f t="shared" si="164"/>
        <v>9</v>
      </c>
      <c r="M206">
        <f t="shared" si="165"/>
        <v>4.9078149869423916E-2</v>
      </c>
      <c r="N206">
        <f t="shared" si="166"/>
        <v>-1.5707963250000001</v>
      </c>
      <c r="O206">
        <f t="shared" si="167"/>
        <v>11.1050804409163</v>
      </c>
      <c r="P206">
        <f t="shared" si="168"/>
        <v>1.4806253075612492</v>
      </c>
      <c r="Q206">
        <f t="shared" si="169"/>
        <v>4.6252684591909494</v>
      </c>
      <c r="R206">
        <f t="shared" si="170"/>
        <v>1.3528718398237347</v>
      </c>
      <c r="S206">
        <f t="shared" si="171"/>
        <v>0.99832494536747451</v>
      </c>
      <c r="T206">
        <f t="shared" si="172"/>
        <v>-5.7888210823826947E-2</v>
      </c>
      <c r="U206">
        <f t="shared" si="173"/>
        <v>0.99594432086954321</v>
      </c>
      <c r="V206">
        <f t="shared" si="174"/>
        <v>-9.0093546066481386E-2</v>
      </c>
      <c r="X206">
        <f t="shared" si="192"/>
        <v>3.2304496474769562</v>
      </c>
      <c r="Y206">
        <f t="shared" si="175"/>
        <v>-105.80437079408544</v>
      </c>
      <c r="Z206">
        <f t="shared" si="193"/>
        <v>74.195629205914557</v>
      </c>
      <c r="AC206">
        <v>1</v>
      </c>
      <c r="AD206">
        <f t="shared" si="176"/>
        <v>11.059964357954401</v>
      </c>
      <c r="AE206">
        <f t="shared" si="177"/>
        <v>-3.3467253515518938E-5</v>
      </c>
      <c r="AF206">
        <f t="shared" si="178"/>
        <v>3.7046665838448003E-4</v>
      </c>
      <c r="AG206">
        <f t="shared" si="194"/>
        <v>29370.600238306797</v>
      </c>
      <c r="AH206">
        <f t="shared" si="195"/>
        <v>-5352.5824232754931</v>
      </c>
      <c r="AJ206">
        <f t="shared" si="179"/>
        <v>55000</v>
      </c>
      <c r="AK206">
        <f t="shared" si="180"/>
        <v>3187.4127788002502</v>
      </c>
      <c r="AL206">
        <v>1</v>
      </c>
      <c r="AM206">
        <f t="shared" si="181"/>
        <v>4.5158729299645506</v>
      </c>
      <c r="AN206">
        <f t="shared" si="196"/>
        <v>3243.75261639156</v>
      </c>
      <c r="AO206">
        <f t="shared" si="197"/>
        <v>-11460.961853064082</v>
      </c>
      <c r="AQ206">
        <f t="shared" si="182"/>
        <v>1.5386234753445689</v>
      </c>
      <c r="AR206">
        <f t="shared" si="183"/>
        <v>-69.733493149566542</v>
      </c>
      <c r="AT206">
        <f t="shared" si="156"/>
        <v>-328063.97473435226</v>
      </c>
      <c r="AU206">
        <f t="shared" si="157"/>
        <v>-2056350.1594867927</v>
      </c>
      <c r="AV206">
        <f t="shared" si="198"/>
        <v>-1.7290001320000532</v>
      </c>
      <c r="AW206">
        <f t="shared" si="199"/>
        <v>-755285.2110242456</v>
      </c>
      <c r="AX206">
        <f t="shared" si="200"/>
        <v>-326614.43676517648</v>
      </c>
      <c r="AY206">
        <f t="shared" si="208"/>
        <v>-2.7334384013029256</v>
      </c>
      <c r="BA206">
        <f t="shared" si="184"/>
        <v>2.5305670197014138</v>
      </c>
      <c r="BB206">
        <f t="shared" si="201"/>
        <v>8.0643568736080287</v>
      </c>
      <c r="BC206">
        <f t="shared" si="202"/>
        <v>1.0044382693028724</v>
      </c>
      <c r="BD206">
        <f t="shared" si="185"/>
        <v>-122.44992632176007</v>
      </c>
      <c r="BF206">
        <f t="shared" si="186"/>
        <v>3.3137301438077134</v>
      </c>
      <c r="BG206">
        <f t="shared" si="187"/>
        <v>-112.12299498443822</v>
      </c>
      <c r="BH206">
        <f t="shared" si="203"/>
        <v>67.877005015561778</v>
      </c>
      <c r="BI206">
        <f t="shared" si="204"/>
        <v>67.877005015561778</v>
      </c>
      <c r="BJ206">
        <f t="shared" si="188"/>
        <v>0</v>
      </c>
      <c r="BK206">
        <f t="shared" si="205"/>
        <v>0</v>
      </c>
      <c r="BM206">
        <f t="shared" si="206"/>
        <v>-4.7506267298003149</v>
      </c>
      <c r="BN206">
        <f t="shared" si="189"/>
        <v>-169.67306866267813</v>
      </c>
      <c r="BQ206" s="75">
        <f t="shared" si="207"/>
        <v>24.966317673893165</v>
      </c>
      <c r="BR206" s="80"/>
      <c r="BS206" s="80"/>
      <c r="BT206" s="80">
        <v>9120.1080000000002</v>
      </c>
      <c r="BU206" s="80">
        <v>-1.76502</v>
      </c>
      <c r="BV206" s="80">
        <v>-216.501</v>
      </c>
      <c r="BW206" s="84"/>
      <c r="BY206" s="80"/>
      <c r="BZ206" s="80"/>
      <c r="CA206" s="80"/>
      <c r="CC206" s="80"/>
    </row>
    <row r="207" spans="1:81">
      <c r="A207">
        <f t="shared" si="190"/>
        <v>86500</v>
      </c>
      <c r="B207">
        <f t="shared" si="191"/>
        <v>86.5</v>
      </c>
      <c r="C207">
        <f t="shared" si="159"/>
        <v>1.0050966232782022</v>
      </c>
      <c r="D207">
        <f t="shared" si="160"/>
        <v>0.10074791012599353</v>
      </c>
      <c r="F207">
        <f t="shared" si="161"/>
        <v>6.3198203266410083E-2</v>
      </c>
      <c r="G207">
        <f t="shared" si="162"/>
        <v>7.9549938314263061E-2</v>
      </c>
      <c r="H207">
        <f t="shared" si="163"/>
        <v>-3.0620427116857369</v>
      </c>
      <c r="J207">
        <f t="shared" si="164"/>
        <v>9</v>
      </c>
      <c r="M207">
        <f t="shared" si="165"/>
        <v>4.879446114185499E-2</v>
      </c>
      <c r="N207">
        <f t="shared" si="166"/>
        <v>-1.5707963250000001</v>
      </c>
      <c r="O207">
        <f t="shared" si="167"/>
        <v>11.169122823035698</v>
      </c>
      <c r="P207">
        <f t="shared" si="168"/>
        <v>1.4811437308758402</v>
      </c>
      <c r="Q207">
        <f t="shared" si="169"/>
        <v>4.6509060208808606</v>
      </c>
      <c r="R207">
        <f t="shared" si="170"/>
        <v>1.3540923428620635</v>
      </c>
      <c r="S207">
        <f t="shared" si="171"/>
        <v>0.99830546099154005</v>
      </c>
      <c r="T207">
        <f t="shared" si="172"/>
        <v>-5.8224012261455758E-2</v>
      </c>
      <c r="U207">
        <f t="shared" si="173"/>
        <v>0.99589731538561244</v>
      </c>
      <c r="V207">
        <f t="shared" si="174"/>
        <v>-9.0614491384748391E-2</v>
      </c>
      <c r="X207">
        <f t="shared" si="192"/>
        <v>3.1712044050239947</v>
      </c>
      <c r="Y207">
        <f t="shared" si="175"/>
        <v>-105.75045118094729</v>
      </c>
      <c r="Z207">
        <f t="shared" si="193"/>
        <v>74.249548819052706</v>
      </c>
      <c r="AC207">
        <v>1</v>
      </c>
      <c r="AD207">
        <f t="shared" si="176"/>
        <v>11.124266476314601</v>
      </c>
      <c r="AE207">
        <f t="shared" si="177"/>
        <v>-3.3857538888114048E-5</v>
      </c>
      <c r="AF207">
        <f t="shared" si="178"/>
        <v>3.7262053430532003E-4</v>
      </c>
      <c r="AG207">
        <f t="shared" si="194"/>
        <v>29367.827901201024</v>
      </c>
      <c r="AH207">
        <f t="shared" si="195"/>
        <v>-5352.1537103219198</v>
      </c>
      <c r="AJ207">
        <f t="shared" si="179"/>
        <v>55000</v>
      </c>
      <c r="AK207">
        <f t="shared" si="180"/>
        <v>3205.944248444438</v>
      </c>
      <c r="AL207">
        <v>1</v>
      </c>
      <c r="AM207">
        <f t="shared" si="181"/>
        <v>4.5421280051387631</v>
      </c>
      <c r="AN207">
        <f t="shared" si="196"/>
        <v>3215.8496835800652</v>
      </c>
      <c r="AO207">
        <f t="shared" si="197"/>
        <v>-11400.856659661205</v>
      </c>
      <c r="AQ207">
        <f t="shared" si="182"/>
        <v>1.5208958607731022</v>
      </c>
      <c r="AR207">
        <f t="shared" si="183"/>
        <v>-69.33079826127225</v>
      </c>
      <c r="AT207">
        <f t="shared" si="156"/>
        <v>-326403.68125881528</v>
      </c>
      <c r="AU207">
        <f t="shared" si="157"/>
        <v>-2044235.0200141806</v>
      </c>
      <c r="AV207">
        <f t="shared" si="198"/>
        <v>-1.7291301318364323</v>
      </c>
      <c r="AW207">
        <f t="shared" si="199"/>
        <v>-746726.93986261974</v>
      </c>
      <c r="AX207">
        <f t="shared" si="200"/>
        <v>-322655.56464671821</v>
      </c>
      <c r="AY207">
        <f t="shared" si="208"/>
        <v>-2.7337294525309921</v>
      </c>
      <c r="BA207">
        <f t="shared" si="184"/>
        <v>2.5448630139324888</v>
      </c>
      <c r="BB207">
        <f t="shared" si="201"/>
        <v>8.1132881979398075</v>
      </c>
      <c r="BC207">
        <f t="shared" si="202"/>
        <v>1.0045993206945598</v>
      </c>
      <c r="BD207">
        <f t="shared" si="185"/>
        <v>-122.44069875672113</v>
      </c>
      <c r="BF207">
        <f t="shared" si="186"/>
        <v>3.256389293551623</v>
      </c>
      <c r="BG207">
        <f t="shared" si="187"/>
        <v>-112.11039297400094</v>
      </c>
      <c r="BH207">
        <f t="shared" si="203"/>
        <v>67.889607025999055</v>
      </c>
      <c r="BI207">
        <f t="shared" si="204"/>
        <v>67.889607025999055</v>
      </c>
      <c r="BJ207">
        <f t="shared" si="188"/>
        <v>0</v>
      </c>
      <c r="BK207">
        <f t="shared" si="205"/>
        <v>0</v>
      </c>
      <c r="BM207">
        <f t="shared" si="206"/>
        <v>-4.8568989043881832</v>
      </c>
      <c r="BN207">
        <f t="shared" si="189"/>
        <v>-169.66969421727981</v>
      </c>
      <c r="BQ207" s="75">
        <f t="shared" si="207"/>
        <v>25.015248998224948</v>
      </c>
      <c r="BR207" s="80"/>
      <c r="BS207" s="80"/>
      <c r="BT207" s="80">
        <v>9332.5429999999997</v>
      </c>
      <c r="BU207" s="80">
        <v>-1.99203</v>
      </c>
      <c r="BV207" s="80">
        <v>-215.83600000000001</v>
      </c>
      <c r="BW207" s="84"/>
      <c r="BY207" s="80"/>
      <c r="BZ207" s="80"/>
      <c r="CA207" s="80"/>
      <c r="CC207" s="80"/>
    </row>
    <row r="208" spans="1:81">
      <c r="A208">
        <f t="shared" si="190"/>
        <v>87000</v>
      </c>
      <c r="B208">
        <f t="shared" si="191"/>
        <v>87</v>
      </c>
      <c r="C208">
        <f t="shared" si="159"/>
        <v>1.0051555625226987</v>
      </c>
      <c r="D208">
        <f t="shared" si="160"/>
        <v>0.10132630141868905</v>
      </c>
      <c r="F208">
        <f t="shared" si="161"/>
        <v>6.2430990432396881E-2</v>
      </c>
      <c r="G208">
        <f t="shared" si="162"/>
        <v>7.9037391717287769E-2</v>
      </c>
      <c r="H208">
        <f t="shared" si="163"/>
        <v>-3.0625552582827122</v>
      </c>
      <c r="J208">
        <f t="shared" si="164"/>
        <v>9</v>
      </c>
      <c r="M208">
        <f t="shared" si="165"/>
        <v>4.8514033204258129E-2</v>
      </c>
      <c r="N208">
        <f t="shared" si="166"/>
        <v>-1.5707963250000001</v>
      </c>
      <c r="O208">
        <f t="shared" si="167"/>
        <v>11.233168172770462</v>
      </c>
      <c r="P208">
        <f t="shared" si="168"/>
        <v>1.4816562427973734</v>
      </c>
      <c r="Q208">
        <f t="shared" si="169"/>
        <v>4.6765504347210749</v>
      </c>
      <c r="R208">
        <f t="shared" si="170"/>
        <v>1.3552994621384957</v>
      </c>
      <c r="S208">
        <f t="shared" si="171"/>
        <v>0.99828586481342929</v>
      </c>
      <c r="T208">
        <f t="shared" si="172"/>
        <v>-5.8559800553758715E-2</v>
      </c>
      <c r="U208">
        <f t="shared" si="173"/>
        <v>0.99585004411901112</v>
      </c>
      <c r="V208">
        <f t="shared" si="174"/>
        <v>-9.1135387389981309E-2</v>
      </c>
      <c r="X208">
        <f t="shared" si="192"/>
        <v>3.1124029534104967</v>
      </c>
      <c r="Y208">
        <f t="shared" si="175"/>
        <v>-105.69723534237991</v>
      </c>
      <c r="Z208">
        <f t="shared" si="193"/>
        <v>74.302764657620088</v>
      </c>
      <c r="AC208">
        <v>1</v>
      </c>
      <c r="AD208">
        <f t="shared" si="176"/>
        <v>11.188568594674802</v>
      </c>
      <c r="AE208">
        <f t="shared" si="177"/>
        <v>-3.4250086784608267E-5</v>
      </c>
      <c r="AF208">
        <f t="shared" si="178"/>
        <v>3.7477441022616003E-4</v>
      </c>
      <c r="AG208">
        <f t="shared" si="194"/>
        <v>29365.04002045605</v>
      </c>
      <c r="AH208">
        <f t="shared" si="195"/>
        <v>-5351.9000081241647</v>
      </c>
      <c r="AJ208">
        <f t="shared" si="179"/>
        <v>55000</v>
      </c>
      <c r="AK208">
        <f t="shared" si="180"/>
        <v>3224.4757180886259</v>
      </c>
      <c r="AL208">
        <v>1</v>
      </c>
      <c r="AM208">
        <f t="shared" si="181"/>
        <v>4.5683830803129757</v>
      </c>
      <c r="AN208">
        <f t="shared" si="196"/>
        <v>3188.397121747591</v>
      </c>
      <c r="AO208">
        <f t="shared" si="197"/>
        <v>-11341.343746221661</v>
      </c>
      <c r="AQ208">
        <f t="shared" si="182"/>
        <v>1.5034728218028701</v>
      </c>
      <c r="AR208">
        <f t="shared" si="183"/>
        <v>-68.932725406839793</v>
      </c>
      <c r="AT208">
        <f t="shared" si="156"/>
        <v>-324771.51408297743</v>
      </c>
      <c r="AU208">
        <f t="shared" si="157"/>
        <v>-2032258.6764981796</v>
      </c>
      <c r="AV208">
        <f t="shared" si="198"/>
        <v>-1.7292645291911364</v>
      </c>
      <c r="AW208">
        <f t="shared" si="199"/>
        <v>-738305.73533782561</v>
      </c>
      <c r="AX208">
        <f t="shared" si="200"/>
        <v>-318776.01647812006</v>
      </c>
      <c r="AY208">
        <f t="shared" si="208"/>
        <v>-2.7340043279850095</v>
      </c>
      <c r="BA208">
        <f t="shared" si="184"/>
        <v>2.5591694108684773</v>
      </c>
      <c r="BB208">
        <f t="shared" si="201"/>
        <v>8.1619807218084421</v>
      </c>
      <c r="BC208">
        <f t="shared" si="202"/>
        <v>1.0047397987938731</v>
      </c>
      <c r="BD208">
        <f t="shared" si="185"/>
        <v>-122.43264995450727</v>
      </c>
      <c r="BF208">
        <f t="shared" si="186"/>
        <v>3.199501014653809</v>
      </c>
      <c r="BG208">
        <f t="shared" si="187"/>
        <v>-112.09857154861469</v>
      </c>
      <c r="BH208">
        <f t="shared" si="203"/>
        <v>67.901428451385314</v>
      </c>
      <c r="BI208">
        <f t="shared" si="204"/>
        <v>67.901428451385314</v>
      </c>
      <c r="BJ208">
        <f t="shared" si="188"/>
        <v>0</v>
      </c>
      <c r="BK208">
        <f t="shared" si="205"/>
        <v>0</v>
      </c>
      <c r="BM208">
        <f t="shared" si="206"/>
        <v>-4.9624797071546327</v>
      </c>
      <c r="BN208">
        <f t="shared" si="189"/>
        <v>-169.66592159410743</v>
      </c>
      <c r="BQ208" s="75">
        <f t="shared" si="207"/>
        <v>25.063941522093579</v>
      </c>
      <c r="BR208" s="80"/>
      <c r="BS208" s="80"/>
      <c r="BT208" s="80">
        <v>9549.9259999999995</v>
      </c>
      <c r="BU208" s="80">
        <v>-2.1278299999999999</v>
      </c>
      <c r="BV208" s="80">
        <v>-215.499</v>
      </c>
      <c r="BW208" s="84"/>
      <c r="BY208" s="80"/>
      <c r="BZ208" s="80"/>
      <c r="CA208" s="80"/>
      <c r="CC208" s="80"/>
    </row>
    <row r="209" spans="1:81">
      <c r="A209">
        <f t="shared" si="190"/>
        <v>87500</v>
      </c>
      <c r="B209">
        <f t="shared" si="191"/>
        <v>87.5</v>
      </c>
      <c r="C209">
        <f t="shared" si="159"/>
        <v>1.0052148379889085</v>
      </c>
      <c r="D209">
        <f t="shared" si="160"/>
        <v>0.10190462469172908</v>
      </c>
      <c r="F209">
        <f t="shared" si="161"/>
        <v>6.1677914683997644E-2</v>
      </c>
      <c r="G209">
        <f t="shared" si="162"/>
        <v>7.853171604087493E-2</v>
      </c>
      <c r="H209">
        <f t="shared" si="163"/>
        <v>-3.0630609339591253</v>
      </c>
      <c r="J209">
        <f t="shared" si="164"/>
        <v>9</v>
      </c>
      <c r="M209">
        <f t="shared" si="165"/>
        <v>4.8236810157376644E-2</v>
      </c>
      <c r="N209">
        <f t="shared" si="166"/>
        <v>-1.5707963250000001</v>
      </c>
      <c r="O209">
        <f t="shared" si="167"/>
        <v>11.297216439649233</v>
      </c>
      <c r="P209">
        <f t="shared" si="168"/>
        <v>1.4821629435961767</v>
      </c>
      <c r="Q209">
        <f t="shared" si="169"/>
        <v>4.7022015886028017</v>
      </c>
      <c r="R209">
        <f t="shared" si="170"/>
        <v>1.3564934131368327</v>
      </c>
      <c r="S209">
        <f t="shared" si="171"/>
        <v>0.99826615685298348</v>
      </c>
      <c r="T209">
        <f t="shared" si="172"/>
        <v>-5.8895575625789343E-2</v>
      </c>
      <c r="U209">
        <f t="shared" si="173"/>
        <v>0.99580250718453689</v>
      </c>
      <c r="V209">
        <f t="shared" si="174"/>
        <v>-9.1656233806549914E-2</v>
      </c>
      <c r="X209">
        <f t="shared" si="192"/>
        <v>3.0540383835923346</v>
      </c>
      <c r="Y209">
        <f t="shared" si="175"/>
        <v>-105.64471356718084</v>
      </c>
      <c r="Z209">
        <f t="shared" si="193"/>
        <v>74.355286432819156</v>
      </c>
      <c r="AC209">
        <v>1</v>
      </c>
      <c r="AD209">
        <f t="shared" si="176"/>
        <v>11.252870713035001</v>
      </c>
      <c r="AE209">
        <f t="shared" si="177"/>
        <v>-3.4644897205001593E-5</v>
      </c>
      <c r="AF209">
        <f t="shared" si="178"/>
        <v>3.7692828614700004E-4</v>
      </c>
      <c r="AG209">
        <f t="shared" si="194"/>
        <v>29362.236605073791</v>
      </c>
      <c r="AH209">
        <f t="shared" si="195"/>
        <v>-5351.8182185589512</v>
      </c>
      <c r="AJ209">
        <f t="shared" si="179"/>
        <v>55000</v>
      </c>
      <c r="AK209">
        <f t="shared" si="180"/>
        <v>3243.0071877328128</v>
      </c>
      <c r="AL209">
        <v>1</v>
      </c>
      <c r="AM209">
        <f t="shared" si="181"/>
        <v>4.5946381554871882</v>
      </c>
      <c r="AN209">
        <f t="shared" si="196"/>
        <v>3161.3854495437886</v>
      </c>
      <c r="AO209">
        <f t="shared" si="197"/>
        <v>-11282.415022943094</v>
      </c>
      <c r="AQ209">
        <f t="shared" si="182"/>
        <v>1.4863474221051727</v>
      </c>
      <c r="AR209">
        <f t="shared" si="183"/>
        <v>-68.539195501824778</v>
      </c>
      <c r="AT209">
        <f t="shared" si="156"/>
        <v>-323166.83048684598</v>
      </c>
      <c r="AU209">
        <f t="shared" si="157"/>
        <v>-2020418.7362587191</v>
      </c>
      <c r="AV209">
        <f t="shared" si="198"/>
        <v>-1.7294032486091069</v>
      </c>
      <c r="AW209">
        <f t="shared" si="199"/>
        <v>-730018.74416189978</v>
      </c>
      <c r="AX209">
        <f t="shared" si="200"/>
        <v>-314973.72840263945</v>
      </c>
      <c r="AY209">
        <f t="shared" si="208"/>
        <v>-2.7342632604703669</v>
      </c>
      <c r="BA209">
        <f t="shared" si="184"/>
        <v>2.5734861535700055</v>
      </c>
      <c r="BB209">
        <f t="shared" si="201"/>
        <v>8.210436718136684</v>
      </c>
      <c r="BC209">
        <f t="shared" si="202"/>
        <v>1.0048600118612601</v>
      </c>
      <c r="BD209">
        <f t="shared" si="185"/>
        <v>-122.4257622530958</v>
      </c>
      <c r="BF209">
        <f t="shared" si="186"/>
        <v>3.1430583567132953</v>
      </c>
      <c r="BG209">
        <f t="shared" si="187"/>
        <v>-112.08752144651994</v>
      </c>
      <c r="BH209">
        <f t="shared" si="203"/>
        <v>67.912478553480057</v>
      </c>
      <c r="BI209">
        <f t="shared" si="204"/>
        <v>67.912478553480057</v>
      </c>
      <c r="BJ209">
        <f t="shared" si="188"/>
        <v>0</v>
      </c>
      <c r="BK209">
        <f t="shared" si="205"/>
        <v>0</v>
      </c>
      <c r="BM209">
        <f t="shared" si="206"/>
        <v>-5.0673783614233869</v>
      </c>
      <c r="BN209">
        <f t="shared" si="189"/>
        <v>-169.66175919342416</v>
      </c>
      <c r="BQ209" s="75">
        <f t="shared" si="207"/>
        <v>25.112397518421822</v>
      </c>
      <c r="BR209" s="80"/>
      <c r="BS209" s="80"/>
      <c r="BT209" s="80">
        <v>9772.3719999999994</v>
      </c>
      <c r="BU209" s="80">
        <v>-1.9944299999999999</v>
      </c>
      <c r="BV209" s="80">
        <v>-212.98699999999999</v>
      </c>
      <c r="BW209" s="84"/>
      <c r="BY209" s="80"/>
      <c r="BZ209" s="80"/>
      <c r="CA209" s="80"/>
      <c r="CC209" s="80"/>
    </row>
    <row r="210" spans="1:81">
      <c r="A210">
        <f t="shared" si="190"/>
        <v>88000</v>
      </c>
      <c r="B210">
        <f t="shared" si="191"/>
        <v>88</v>
      </c>
      <c r="C210">
        <f t="shared" si="159"/>
        <v>1.0052744496173562</v>
      </c>
      <c r="D210">
        <f t="shared" si="160"/>
        <v>0.10248287957033075</v>
      </c>
      <c r="F210">
        <f t="shared" si="161"/>
        <v>6.0938625043412992E-2</v>
      </c>
      <c r="G210">
        <f t="shared" si="162"/>
        <v>7.8032769183594031E-2</v>
      </c>
      <c r="H210">
        <f t="shared" si="163"/>
        <v>-3.0635598808164062</v>
      </c>
      <c r="J210">
        <f t="shared" si="164"/>
        <v>9</v>
      </c>
      <c r="M210">
        <f t="shared" si="165"/>
        <v>4.796273737239156E-2</v>
      </c>
      <c r="N210">
        <f t="shared" si="166"/>
        <v>-1.5707963250000001</v>
      </c>
      <c r="O210">
        <f t="shared" si="167"/>
        <v>11.361267574336489</v>
      </c>
      <c r="P210">
        <f t="shared" si="168"/>
        <v>1.4826639312935028</v>
      </c>
      <c r="Q210">
        <f t="shared" si="169"/>
        <v>4.7278593728211034</v>
      </c>
      <c r="R210">
        <f t="shared" si="170"/>
        <v>1.3576744068152342</v>
      </c>
      <c r="S210">
        <f t="shared" si="171"/>
        <v>0.99824633713015387</v>
      </c>
      <c r="T210">
        <f t="shared" si="172"/>
        <v>-5.9231337402619003E-2</v>
      </c>
      <c r="U210">
        <f t="shared" si="173"/>
        <v>0.99575470469760163</v>
      </c>
      <c r="V210">
        <f t="shared" si="174"/>
        <v>-9.2177030358984058E-2</v>
      </c>
      <c r="X210">
        <f t="shared" si="192"/>
        <v>2.9961039475006235</v>
      </c>
      <c r="Y210">
        <f t="shared" si="175"/>
        <v>-105.5928762953432</v>
      </c>
      <c r="Z210">
        <f t="shared" si="193"/>
        <v>74.407123704656797</v>
      </c>
      <c r="AC210">
        <v>1</v>
      </c>
      <c r="AD210">
        <f t="shared" si="176"/>
        <v>11.317172831395201</v>
      </c>
      <c r="AE210">
        <f t="shared" si="177"/>
        <v>-3.5041970149294028E-5</v>
      </c>
      <c r="AF210">
        <f t="shared" si="178"/>
        <v>3.7908216206784004E-4</v>
      </c>
      <c r="AG210">
        <f t="shared" si="194"/>
        <v>29359.417664103734</v>
      </c>
      <c r="AH210">
        <f t="shared" si="195"/>
        <v>-5351.9053134003843</v>
      </c>
      <c r="AJ210">
        <f t="shared" si="179"/>
        <v>55000</v>
      </c>
      <c r="AK210">
        <f t="shared" si="180"/>
        <v>3261.5386573770006</v>
      </c>
      <c r="AL210">
        <v>1</v>
      </c>
      <c r="AM210">
        <f t="shared" si="181"/>
        <v>4.6208932306614008</v>
      </c>
      <c r="AN210">
        <f t="shared" si="196"/>
        <v>3134.8054294719095</v>
      </c>
      <c r="AO210">
        <f t="shared" si="197"/>
        <v>-11224.06253111035</v>
      </c>
      <c r="AQ210">
        <f t="shared" si="182"/>
        <v>1.4695129216604206</v>
      </c>
      <c r="AR210">
        <f t="shared" si="183"/>
        <v>-68.150131254923679</v>
      </c>
      <c r="AT210">
        <f t="shared" si="156"/>
        <v>-321589.00594233401</v>
      </c>
      <c r="AU210">
        <f t="shared" si="157"/>
        <v>-2008712.861390339</v>
      </c>
      <c r="AV210">
        <f t="shared" si="198"/>
        <v>-1.7295462163147197</v>
      </c>
      <c r="AW210">
        <f t="shared" si="199"/>
        <v>-721863.18533839949</v>
      </c>
      <c r="AX210">
        <f t="shared" si="200"/>
        <v>-311246.70144696673</v>
      </c>
      <c r="AY210">
        <f t="shared" si="208"/>
        <v>-2.734506477706911</v>
      </c>
      <c r="BA210">
        <f t="shared" si="184"/>
        <v>2.5878131863845044</v>
      </c>
      <c r="BB210">
        <f t="shared" si="201"/>
        <v>8.2586584302675838</v>
      </c>
      <c r="BC210">
        <f t="shared" si="202"/>
        <v>1.0049602613921913</v>
      </c>
      <c r="BD210">
        <f t="shared" si="185"/>
        <v>-122.4200183780687</v>
      </c>
      <c r="BF210">
        <f t="shared" si="186"/>
        <v>3.0870545300053367</v>
      </c>
      <c r="BG210">
        <f t="shared" si="187"/>
        <v>-112.07723355658447</v>
      </c>
      <c r="BH210">
        <f t="shared" si="203"/>
        <v>67.922766443415526</v>
      </c>
      <c r="BI210">
        <f t="shared" si="204"/>
        <v>67.922766443415526</v>
      </c>
      <c r="BJ210">
        <f t="shared" si="188"/>
        <v>0</v>
      </c>
      <c r="BK210">
        <f t="shared" si="205"/>
        <v>0</v>
      </c>
      <c r="BM210">
        <f t="shared" si="206"/>
        <v>-5.1716039002622471</v>
      </c>
      <c r="BN210">
        <f t="shared" si="189"/>
        <v>-169.65721517851577</v>
      </c>
      <c r="BQ210" s="75">
        <f t="shared" si="207"/>
        <v>25.160619230552719</v>
      </c>
      <c r="BR210" s="80"/>
      <c r="BS210" s="80"/>
      <c r="BT210" s="80">
        <v>10000</v>
      </c>
      <c r="BU210" s="80">
        <v>-2.2209699999999999</v>
      </c>
      <c r="BV210" s="80">
        <v>-213.047</v>
      </c>
      <c r="BW210" s="84"/>
      <c r="BY210" s="80"/>
      <c r="BZ210" s="80"/>
      <c r="CA210" s="80"/>
      <c r="CC210" s="80"/>
    </row>
    <row r="211" spans="1:81">
      <c r="A211">
        <f t="shared" si="190"/>
        <v>88500</v>
      </c>
      <c r="B211">
        <f t="shared" si="191"/>
        <v>88.5</v>
      </c>
      <c r="C211">
        <f t="shared" si="159"/>
        <v>1.0053343973482434</v>
      </c>
      <c r="D211">
        <f t="shared" si="160"/>
        <v>0.10306106567998283</v>
      </c>
      <c r="F211">
        <f t="shared" si="161"/>
        <v>6.0212781521721229E-2</v>
      </c>
      <c r="G211">
        <f t="shared" si="162"/>
        <v>7.7540413032215413E-2</v>
      </c>
      <c r="H211">
        <f t="shared" si="163"/>
        <v>-3.0640522369677847</v>
      </c>
      <c r="J211">
        <f t="shared" si="164"/>
        <v>9</v>
      </c>
      <c r="M211">
        <f t="shared" si="165"/>
        <v>4.7691761455033406E-2</v>
      </c>
      <c r="N211">
        <f t="shared" si="166"/>
        <v>-1.5707963250000001</v>
      </c>
      <c r="O211">
        <f t="shared" si="167"/>
        <v>11.425321528600836</v>
      </c>
      <c r="P211">
        <f t="shared" si="168"/>
        <v>1.4831593017240721</v>
      </c>
      <c r="Q211">
        <f t="shared" si="169"/>
        <v>4.7535236800115781</v>
      </c>
      <c r="R211">
        <f t="shared" si="170"/>
        <v>1.3588426497223507</v>
      </c>
      <c r="S211">
        <f t="shared" si="171"/>
        <v>0.99822640566500309</v>
      </c>
      <c r="T211">
        <f t="shared" si="172"/>
        <v>-5.9567085809336971E-2</v>
      </c>
      <c r="U211">
        <f t="shared" si="173"/>
        <v>0.99570663677423377</v>
      </c>
      <c r="V211">
        <f t="shared" si="174"/>
        <v>-9.2697776771974591E-2</v>
      </c>
      <c r="X211">
        <f t="shared" si="192"/>
        <v>2.9385930531224029</v>
      </c>
      <c r="Y211">
        <f t="shared" si="175"/>
        <v>-105.54171411627296</v>
      </c>
      <c r="Z211">
        <f t="shared" si="193"/>
        <v>74.458285883727044</v>
      </c>
      <c r="AC211">
        <v>1</v>
      </c>
      <c r="AD211">
        <f t="shared" si="176"/>
        <v>11.381474949755402</v>
      </c>
      <c r="AE211">
        <f t="shared" si="177"/>
        <v>-3.5441305617485551E-5</v>
      </c>
      <c r="AF211">
        <f t="shared" si="178"/>
        <v>3.8123603798868004E-4</v>
      </c>
      <c r="AG211">
        <f t="shared" si="194"/>
        <v>29356.58320664287</v>
      </c>
      <c r="AH211">
        <f t="shared" si="195"/>
        <v>-5352.15833234622</v>
      </c>
      <c r="AJ211">
        <f t="shared" si="179"/>
        <v>55000</v>
      </c>
      <c r="AK211">
        <f t="shared" si="180"/>
        <v>3280.070127021188</v>
      </c>
      <c r="AL211">
        <v>1</v>
      </c>
      <c r="AM211">
        <f t="shared" si="181"/>
        <v>4.6471483058356133</v>
      </c>
      <c r="AN211">
        <f t="shared" si="196"/>
        <v>3108.648060543565</v>
      </c>
      <c r="AO211">
        <f t="shared" si="197"/>
        <v>-11166.278440973005</v>
      </c>
      <c r="AQ211">
        <f t="shared" si="182"/>
        <v>1.4529627701296548</v>
      </c>
      <c r="AR211">
        <f t="shared" si="183"/>
        <v>-67.765457117462034</v>
      </c>
      <c r="AT211">
        <f t="shared" si="156"/>
        <v>-320037.43349900935</v>
      </c>
      <c r="AU211">
        <f t="shared" si="157"/>
        <v>-1997138.7672017019</v>
      </c>
      <c r="AV211">
        <f t="shared" si="198"/>
        <v>-1.7296933601653242</v>
      </c>
      <c r="AW211">
        <f t="shared" si="199"/>
        <v>-713836.34802850988</v>
      </c>
      <c r="AX211">
        <f t="shared" si="200"/>
        <v>-307592.99915082817</v>
      </c>
      <c r="AY211">
        <f t="shared" si="208"/>
        <v>-2.7347342024611372</v>
      </c>
      <c r="BA211">
        <f t="shared" si="184"/>
        <v>2.6021504548989318</v>
      </c>
      <c r="BB211">
        <f t="shared" si="201"/>
        <v>8.3066480723617211</v>
      </c>
      <c r="BC211">
        <f t="shared" si="202"/>
        <v>1.005040842295813</v>
      </c>
      <c r="BD211">
        <f t="shared" si="185"/>
        <v>-122.41540143237657</v>
      </c>
      <c r="BF211">
        <f t="shared" si="186"/>
        <v>3.0314829005611541</v>
      </c>
      <c r="BG211">
        <f t="shared" si="187"/>
        <v>-112.06769891652185</v>
      </c>
      <c r="BH211">
        <f t="shared" si="203"/>
        <v>67.932301083478151</v>
      </c>
      <c r="BI211">
        <f t="shared" si="204"/>
        <v>67.932301083478151</v>
      </c>
      <c r="BJ211">
        <f t="shared" si="188"/>
        <v>0</v>
      </c>
      <c r="BK211">
        <f t="shared" si="205"/>
        <v>0</v>
      </c>
      <c r="BM211">
        <f t="shared" si="206"/>
        <v>-5.2751651718005688</v>
      </c>
      <c r="BN211">
        <f t="shared" si="189"/>
        <v>-169.65229748414529</v>
      </c>
      <c r="BQ211" s="75">
        <f t="shared" si="207"/>
        <v>25.20860887264686</v>
      </c>
      <c r="BR211" s="80"/>
      <c r="BS211" s="80"/>
      <c r="BT211" s="80">
        <v>10232.93</v>
      </c>
      <c r="BU211" s="80">
        <v>-2.4867400000000002</v>
      </c>
      <c r="BV211" s="80">
        <v>-211.715</v>
      </c>
      <c r="BW211" s="84"/>
      <c r="BY211" s="80"/>
      <c r="BZ211" s="80"/>
      <c r="CA211" s="80"/>
      <c r="CC211" s="80"/>
    </row>
    <row r="212" spans="1:81">
      <c r="A212">
        <f t="shared" si="190"/>
        <v>89000</v>
      </c>
      <c r="B212">
        <f t="shared" si="191"/>
        <v>89</v>
      </c>
      <c r="C212">
        <f t="shared" si="159"/>
        <v>1.0053946811214487</v>
      </c>
      <c r="D212">
        <f t="shared" si="160"/>
        <v>0.10363918264644698</v>
      </c>
      <c r="F212">
        <f t="shared" si="161"/>
        <v>5.9500054703042642E-2</v>
      </c>
      <c r="G212">
        <f t="shared" si="162"/>
        <v>7.7054513320482701E-2</v>
      </c>
      <c r="H212">
        <f t="shared" si="163"/>
        <v>-3.0645381366795177</v>
      </c>
      <c r="J212">
        <f t="shared" si="164"/>
        <v>9</v>
      </c>
      <c r="M212">
        <f t="shared" si="165"/>
        <v>4.742383021090401E-2</v>
      </c>
      <c r="N212">
        <f t="shared" si="166"/>
        <v>-1.5707963250000001</v>
      </c>
      <c r="O212">
        <f t="shared" si="167"/>
        <v>11.489378255284356</v>
      </c>
      <c r="P212">
        <f t="shared" si="168"/>
        <v>1.4836491485965448</v>
      </c>
      <c r="Q212">
        <f t="shared" si="169"/>
        <v>4.7791944050890063</v>
      </c>
      <c r="R212">
        <f t="shared" si="170"/>
        <v>1.359998344109969</v>
      </c>
      <c r="S212">
        <f t="shared" si="171"/>
        <v>0.99820636247770489</v>
      </c>
      <c r="T212">
        <f t="shared" si="172"/>
        <v>-5.9902820771050559E-2</v>
      </c>
      <c r="U212">
        <f t="shared" si="173"/>
        <v>0.9956583035310751</v>
      </c>
      <c r="V212">
        <f t="shared" si="174"/>
        <v>-9.3218472770374053E-2</v>
      </c>
      <c r="X212">
        <f t="shared" si="192"/>
        <v>2.88149925976529</v>
      </c>
      <c r="Y212">
        <f t="shared" si="175"/>
        <v>-105.4912177669618</v>
      </c>
      <c r="Z212">
        <f t="shared" si="193"/>
        <v>74.508782233038204</v>
      </c>
      <c r="AC212">
        <v>1</v>
      </c>
      <c r="AD212">
        <f t="shared" si="176"/>
        <v>11.445777068115602</v>
      </c>
      <c r="AE212">
        <f t="shared" si="177"/>
        <v>-3.5842903609576182E-5</v>
      </c>
      <c r="AF212">
        <f t="shared" si="178"/>
        <v>3.8338991390952004E-4</v>
      </c>
      <c r="AG212">
        <f t="shared" si="194"/>
        <v>29353.733241835595</v>
      </c>
      <c r="AH212">
        <f t="shared" si="195"/>
        <v>-5352.5743811106786</v>
      </c>
      <c r="AJ212">
        <f t="shared" si="179"/>
        <v>55000</v>
      </c>
      <c r="AK212">
        <f t="shared" si="180"/>
        <v>3298.6015966653749</v>
      </c>
      <c r="AL212">
        <v>1</v>
      </c>
      <c r="AM212">
        <f t="shared" si="181"/>
        <v>4.673403381009825</v>
      </c>
      <c r="AN212">
        <f t="shared" si="196"/>
        <v>3082.9045711848826</v>
      </c>
      <c r="AO212">
        <f t="shared" si="197"/>
        <v>-11109.0550496407</v>
      </c>
      <c r="AQ212">
        <f t="shared" si="182"/>
        <v>1.4366906004856872</v>
      </c>
      <c r="AR212">
        <f t="shared" si="183"/>
        <v>-67.385099234580181</v>
      </c>
      <c r="AT212">
        <f t="shared" si="156"/>
        <v>-318511.52319390519</v>
      </c>
      <c r="AU212">
        <f t="shared" si="157"/>
        <v>-1985694.2207082289</v>
      </c>
      <c r="AV212">
        <f t="shared" si="198"/>
        <v>-1.7298446096063109</v>
      </c>
      <c r="AW212">
        <f t="shared" si="199"/>
        <v>-705935.58948819281</v>
      </c>
      <c r="AX212">
        <f t="shared" si="200"/>
        <v>-304010.74529474275</v>
      </c>
      <c r="AY212">
        <f t="shared" si="208"/>
        <v>-2.7349466526743598</v>
      </c>
      <c r="BA212">
        <f t="shared" si="184"/>
        <v>2.6164979058938904</v>
      </c>
      <c r="BB212">
        <f t="shared" si="201"/>
        <v>8.3544078297912137</v>
      </c>
      <c r="BC212">
        <f t="shared" si="202"/>
        <v>1.0051020430680488</v>
      </c>
      <c r="BD212">
        <f t="shared" si="185"/>
        <v>-122.4118948864205</v>
      </c>
      <c r="BF212">
        <f t="shared" si="186"/>
        <v>2.9763369854316037</v>
      </c>
      <c r="BG212">
        <f t="shared" si="187"/>
        <v>-112.05890871106534</v>
      </c>
      <c r="BH212">
        <f t="shared" si="203"/>
        <v>67.941091288934658</v>
      </c>
      <c r="BI212">
        <f t="shared" si="204"/>
        <v>67.941091288934658</v>
      </c>
      <c r="BJ212">
        <f t="shared" si="188"/>
        <v>0</v>
      </c>
      <c r="BK212">
        <f t="shared" si="205"/>
        <v>0</v>
      </c>
      <c r="BM212">
        <f t="shared" si="206"/>
        <v>-5.3780708443596108</v>
      </c>
      <c r="BN212">
        <f t="shared" si="189"/>
        <v>-169.64701382464483</v>
      </c>
      <c r="BQ212" s="75">
        <f t="shared" si="207"/>
        <v>25.256368630076352</v>
      </c>
      <c r="BR212" s="80"/>
      <c r="BS212" s="80"/>
      <c r="BT212" s="80">
        <v>10471.285</v>
      </c>
      <c r="BU212" s="80">
        <v>-2.3517399999999999</v>
      </c>
      <c r="BV212" s="80">
        <v>-211.89099999999999</v>
      </c>
      <c r="BW212" s="84"/>
      <c r="BY212" s="80"/>
      <c r="BZ212" s="80"/>
      <c r="CA212" s="80"/>
      <c r="CC212" s="80"/>
    </row>
    <row r="213" spans="1:81">
      <c r="A213">
        <f t="shared" si="190"/>
        <v>89500</v>
      </c>
      <c r="B213">
        <f t="shared" si="191"/>
        <v>89.5</v>
      </c>
      <c r="C213">
        <f t="shared" si="159"/>
        <v>1.0054553008765277</v>
      </c>
      <c r="D213">
        <f t="shared" si="160"/>
        <v>0.10421723009575931</v>
      </c>
      <c r="F213">
        <f t="shared" si="161"/>
        <v>5.8800125347163779E-2</v>
      </c>
      <c r="G213">
        <f t="shared" si="162"/>
        <v>7.6574939493906868E-2</v>
      </c>
      <c r="H213">
        <f t="shared" si="163"/>
        <v>-3.0650177105060932</v>
      </c>
      <c r="J213">
        <f t="shared" si="164"/>
        <v>9</v>
      </c>
      <c r="M213">
        <f t="shared" si="165"/>
        <v>4.7158892611960407E-2</v>
      </c>
      <c r="N213">
        <f t="shared" si="166"/>
        <v>-1.5707963250000001</v>
      </c>
      <c r="O213">
        <f t="shared" si="167"/>
        <v>11.553437708272957</v>
      </c>
      <c r="P213">
        <f t="shared" si="168"/>
        <v>1.4841335635520032</v>
      </c>
      <c r="Q213">
        <f t="shared" si="169"/>
        <v>4.8048714451879073</v>
      </c>
      <c r="R213">
        <f t="shared" si="170"/>
        <v>1.3611416880422824</v>
      </c>
      <c r="S213">
        <f t="shared" si="171"/>
        <v>0.99818620758854393</v>
      </c>
      <c r="T213">
        <f t="shared" si="172"/>
        <v>-6.0238542212885202E-2</v>
      </c>
      <c r="U213">
        <f t="shared" si="173"/>
        <v>0.99560970508538094</v>
      </c>
      <c r="V213">
        <f t="shared" si="174"/>
        <v>-9.3739118079197714E-2</v>
      </c>
      <c r="X213">
        <f t="shared" si="192"/>
        <v>2.824816273498123</v>
      </c>
      <c r="Y213">
        <f t="shared" si="175"/>
        <v>-105.44137813012253</v>
      </c>
      <c r="Z213">
        <f t="shared" si="193"/>
        <v>74.55862186987747</v>
      </c>
      <c r="AC213">
        <v>1</v>
      </c>
      <c r="AD213">
        <f t="shared" si="176"/>
        <v>11.510079186475801</v>
      </c>
      <c r="AE213">
        <f t="shared" si="177"/>
        <v>-3.6246764125565921E-5</v>
      </c>
      <c r="AF213">
        <f t="shared" si="178"/>
        <v>3.8554378983035999E-4</v>
      </c>
      <c r="AG213">
        <f t="shared" si="194"/>
        <v>29350.86777887365</v>
      </c>
      <c r="AH213">
        <f t="shared" si="195"/>
        <v>-5353.1506295811814</v>
      </c>
      <c r="AJ213">
        <f t="shared" si="179"/>
        <v>55000</v>
      </c>
      <c r="AK213">
        <f t="shared" si="180"/>
        <v>3317.1330663095628</v>
      </c>
      <c r="AL213">
        <v>1</v>
      </c>
      <c r="AM213">
        <f t="shared" si="181"/>
        <v>4.6996584561840375</v>
      </c>
      <c r="AN213">
        <f t="shared" si="196"/>
        <v>3057.5664123844981</v>
      </c>
      <c r="AO213">
        <f t="shared" si="197"/>
        <v>-11052.384778997533</v>
      </c>
      <c r="AQ213">
        <f t="shared" si="182"/>
        <v>1.4206902228922993</v>
      </c>
      <c r="AR213">
        <f t="shared" si="183"/>
        <v>-67.008985398049631</v>
      </c>
      <c r="AT213">
        <f t="shared" si="156"/>
        <v>-317010.70148431516</v>
      </c>
      <c r="AU213">
        <f t="shared" si="157"/>
        <v>-1974377.0391757456</v>
      </c>
      <c r="AV213">
        <f t="shared" si="198"/>
        <v>-1.729999895627651</v>
      </c>
      <c r="AW213">
        <f t="shared" si="199"/>
        <v>-698158.33307377098</v>
      </c>
      <c r="AX213">
        <f t="shared" si="200"/>
        <v>-300498.12172140414</v>
      </c>
      <c r="AY213">
        <f t="shared" si="208"/>
        <v>-2.7351440415869961</v>
      </c>
      <c r="BA213">
        <f t="shared" si="184"/>
        <v>2.6308554872991281</v>
      </c>
      <c r="BB213">
        <f t="shared" si="201"/>
        <v>8.4019398595304597</v>
      </c>
      <c r="BC213">
        <f t="shared" si="202"/>
        <v>1.0051441459593451</v>
      </c>
      <c r="BD213">
        <f t="shared" si="185"/>
        <v>-122.40948256844116</v>
      </c>
      <c r="BF213">
        <f t="shared" si="186"/>
        <v>2.9216104481268914</v>
      </c>
      <c r="BG213">
        <f t="shared" si="187"/>
        <v>-112.0508542701034</v>
      </c>
      <c r="BH213">
        <f t="shared" si="203"/>
        <v>67.9491457298966</v>
      </c>
      <c r="BI213">
        <f t="shared" si="204"/>
        <v>67.9491457298966</v>
      </c>
      <c r="BJ213">
        <f t="shared" si="188"/>
        <v>0</v>
      </c>
      <c r="BK213">
        <f t="shared" si="205"/>
        <v>0</v>
      </c>
      <c r="BM213">
        <f t="shared" si="206"/>
        <v>-5.4803294114035692</v>
      </c>
      <c r="BN213">
        <f t="shared" si="189"/>
        <v>-169.64137170166225</v>
      </c>
      <c r="BQ213" s="75">
        <f t="shared" si="207"/>
        <v>25.303900659815596</v>
      </c>
      <c r="BR213" s="80"/>
      <c r="BS213" s="80"/>
      <c r="BT213" s="80">
        <v>10715.192999999999</v>
      </c>
      <c r="BU213" s="80">
        <v>-2.5136799999999999</v>
      </c>
      <c r="BV213" s="80">
        <v>-209.68</v>
      </c>
      <c r="BW213" s="84"/>
      <c r="BY213" s="80"/>
      <c r="BZ213" s="80"/>
      <c r="CA213" s="80"/>
      <c r="CC213" s="80"/>
    </row>
    <row r="214" spans="1:81">
      <c r="A214">
        <f t="shared" si="190"/>
        <v>90000</v>
      </c>
      <c r="B214">
        <f t="shared" si="191"/>
        <v>90</v>
      </c>
      <c r="C214">
        <f t="shared" si="159"/>
        <v>1.0055162565527145</v>
      </c>
      <c r="D214">
        <f t="shared" si="160"/>
        <v>0.10479520765423171</v>
      </c>
      <c r="F214">
        <f t="shared" si="161"/>
        <v>5.8112684009681094E-2</v>
      </c>
      <c r="G214">
        <f t="shared" si="162"/>
        <v>7.6101564580282444E-2</v>
      </c>
      <c r="H214">
        <f t="shared" si="163"/>
        <v>-3.0654910854197177</v>
      </c>
      <c r="J214">
        <f t="shared" si="164"/>
        <v>9</v>
      </c>
      <c r="M214">
        <f t="shared" si="165"/>
        <v>4.6896898764116186E-2</v>
      </c>
      <c r="N214">
        <f t="shared" si="166"/>
        <v>-1.5707963250000001</v>
      </c>
      <c r="O214">
        <f t="shared" si="167"/>
        <v>11.617499842467705</v>
      </c>
      <c r="P214">
        <f t="shared" si="168"/>
        <v>1.4846126362205181</v>
      </c>
      <c r="Q214">
        <f t="shared" si="169"/>
        <v>4.8305546996049022</v>
      </c>
      <c r="R214">
        <f t="shared" si="170"/>
        <v>1.3622728755019071</v>
      </c>
      <c r="S214">
        <f t="shared" si="171"/>
        <v>0.99816594101791556</v>
      </c>
      <c r="T214">
        <f t="shared" si="172"/>
        <v>-6.0574250059984541E-2</v>
      </c>
      <c r="U214">
        <f t="shared" si="173"/>
        <v>0.99556084155501956</v>
      </c>
      <c r="V214">
        <f t="shared" si="174"/>
        <v>-9.4259712423624201E-2</v>
      </c>
      <c r="X214">
        <f t="shared" si="192"/>
        <v>2.7685379427598851</v>
      </c>
      <c r="Y214">
        <f t="shared" si="175"/>
        <v>-105.39218623229225</v>
      </c>
      <c r="Z214">
        <f t="shared" si="193"/>
        <v>74.607813767707754</v>
      </c>
      <c r="AC214">
        <v>1</v>
      </c>
      <c r="AD214">
        <f t="shared" si="176"/>
        <v>11.574381304836002</v>
      </c>
      <c r="AE214">
        <f t="shared" si="177"/>
        <v>-3.6652887165454754E-5</v>
      </c>
      <c r="AF214">
        <f t="shared" si="178"/>
        <v>3.8769766575120004E-4</v>
      </c>
      <c r="AG214">
        <f t="shared" si="194"/>
        <v>29347.986826996046</v>
      </c>
      <c r="AH214">
        <f t="shared" si="195"/>
        <v>-5353.8843100365339</v>
      </c>
      <c r="AJ214">
        <f t="shared" si="179"/>
        <v>55000</v>
      </c>
      <c r="AK214">
        <f t="shared" si="180"/>
        <v>3335.6645359537506</v>
      </c>
      <c r="AL214">
        <v>1</v>
      </c>
      <c r="AM214">
        <f t="shared" si="181"/>
        <v>4.7259135313582501</v>
      </c>
      <c r="AN214">
        <f t="shared" si="196"/>
        <v>3032.6252510742493</v>
      </c>
      <c r="AO214">
        <f t="shared" si="197"/>
        <v>-10996.260173636754</v>
      </c>
      <c r="AQ214">
        <f t="shared" si="182"/>
        <v>1.4049556188205226</v>
      </c>
      <c r="AR214">
        <f t="shared" si="183"/>
        <v>-66.63704500065738</v>
      </c>
      <c r="AT214">
        <f t="shared" ref="AT214:AT277" si="209">-AR214*AH214+AG214*AQ214</f>
        <v>-315534.41070255917</v>
      </c>
      <c r="AU214">
        <f t="shared" ref="AU214:AU277" si="210">AQ214*AH214+AG214*AR214</f>
        <v>-1963185.0887131363</v>
      </c>
      <c r="AV214">
        <f t="shared" si="198"/>
        <v>-1.7301591507218477</v>
      </c>
      <c r="AW214">
        <f t="shared" si="199"/>
        <v>-690502.06631346024</v>
      </c>
      <c r="AX214">
        <f t="shared" si="200"/>
        <v>-297053.36624639417</v>
      </c>
      <c r="AY214">
        <f t="shared" si="208"/>
        <v>-2.7353265778590945</v>
      </c>
      <c r="BA214">
        <f t="shared" si="184"/>
        <v>2.6452231481503499</v>
      </c>
      <c r="BB214">
        <f t="shared" si="201"/>
        <v>8.4492462905434333</v>
      </c>
      <c r="BC214">
        <f t="shared" si="202"/>
        <v>1.0051674271372468</v>
      </c>
      <c r="BD214">
        <f t="shared" si="185"/>
        <v>-122.40814865520377</v>
      </c>
      <c r="BF214">
        <f t="shared" si="186"/>
        <v>2.8672970942245439</v>
      </c>
      <c r="BG214">
        <f t="shared" si="187"/>
        <v>-112.04352706678347</v>
      </c>
      <c r="BH214">
        <f t="shared" si="203"/>
        <v>67.956472933216531</v>
      </c>
      <c r="BI214">
        <f t="shared" si="204"/>
        <v>67.956472933216531</v>
      </c>
      <c r="BJ214">
        <f t="shared" si="188"/>
        <v>0</v>
      </c>
      <c r="BK214">
        <f t="shared" si="205"/>
        <v>0</v>
      </c>
      <c r="BM214">
        <f t="shared" si="206"/>
        <v>-5.5819491963188907</v>
      </c>
      <c r="BN214">
        <f t="shared" si="189"/>
        <v>-169.63537841157967</v>
      </c>
      <c r="BQ214" s="75">
        <f t="shared" si="207"/>
        <v>25.35120709082857</v>
      </c>
      <c r="BR214" s="80"/>
      <c r="BS214" s="80"/>
      <c r="BT214" s="80">
        <v>10964.781999999999</v>
      </c>
      <c r="BU214" s="80">
        <v>-2.5043700000000002</v>
      </c>
      <c r="BV214" s="80">
        <v>-209.52500000000001</v>
      </c>
      <c r="BW214" s="84"/>
      <c r="BY214" s="80"/>
      <c r="BZ214" s="80"/>
      <c r="CA214" s="80"/>
      <c r="CC214" s="80"/>
    </row>
    <row r="215" spans="1:81">
      <c r="A215">
        <f t="shared" si="190"/>
        <v>90500</v>
      </c>
      <c r="B215">
        <f t="shared" si="191"/>
        <v>90.5</v>
      </c>
      <c r="C215">
        <f t="shared" si="159"/>
        <v>1.0055775480889209</v>
      </c>
      <c r="D215">
        <f t="shared" si="160"/>
        <v>0.10537311494845311</v>
      </c>
      <c r="F215">
        <f t="shared" si="161"/>
        <v>5.74374306787779E-2</v>
      </c>
      <c r="G215">
        <f t="shared" si="162"/>
        <v>7.5634265065643538E-2</v>
      </c>
      <c r="H215">
        <f t="shared" si="163"/>
        <v>-3.0659583849343566</v>
      </c>
      <c r="J215">
        <f t="shared" si="164"/>
        <v>9</v>
      </c>
      <c r="M215">
        <f t="shared" si="165"/>
        <v>4.6637799875916645E-2</v>
      </c>
      <c r="N215">
        <f t="shared" si="166"/>
        <v>-1.5707963250000001</v>
      </c>
      <c r="O215">
        <f t="shared" si="167"/>
        <v>11.6815646137571</v>
      </c>
      <c r="P215">
        <f t="shared" si="168"/>
        <v>1.4850864542758739</v>
      </c>
      <c r="Q215">
        <f t="shared" si="169"/>
        <v>4.8562440697428597</v>
      </c>
      <c r="R215">
        <f t="shared" si="170"/>
        <v>1.3633920964927495</v>
      </c>
      <c r="S215">
        <f t="shared" si="171"/>
        <v>0.99814556278632605</v>
      </c>
      <c r="T215">
        <f t="shared" si="172"/>
        <v>-6.090994423751056E-2</v>
      </c>
      <c r="U215">
        <f t="shared" si="173"/>
        <v>0.99551171305847097</v>
      </c>
      <c r="V215">
        <f t="shared" si="174"/>
        <v>-9.4780255528996535E-2</v>
      </c>
      <c r="X215">
        <f t="shared" si="192"/>
        <v>2.7126582541295723</v>
      </c>
      <c r="Y215">
        <f t="shared" si="175"/>
        <v>-105.34363324191051</v>
      </c>
      <c r="Z215">
        <f t="shared" si="193"/>
        <v>74.65636675808949</v>
      </c>
      <c r="AC215">
        <v>1</v>
      </c>
      <c r="AD215">
        <f t="shared" si="176"/>
        <v>11.638683423196202</v>
      </c>
      <c r="AE215">
        <f t="shared" si="177"/>
        <v>-3.7061272729242689E-5</v>
      </c>
      <c r="AF215">
        <f t="shared" si="178"/>
        <v>3.8985154167203999E-4</v>
      </c>
      <c r="AG215">
        <f t="shared" si="194"/>
        <v>29345.090395488991</v>
      </c>
      <c r="AH215">
        <f t="shared" si="195"/>
        <v>-5354.7727154241929</v>
      </c>
      <c r="AJ215">
        <f t="shared" si="179"/>
        <v>55000</v>
      </c>
      <c r="AK215">
        <f t="shared" si="180"/>
        <v>3354.196005597938</v>
      </c>
      <c r="AL215">
        <v>1</v>
      </c>
      <c r="AM215">
        <f t="shared" si="181"/>
        <v>4.7521686065324626</v>
      </c>
      <c r="AN215">
        <f t="shared" si="196"/>
        <v>3008.0729637337772</v>
      </c>
      <c r="AO215">
        <f t="shared" si="197"/>
        <v>-10940.673898816778</v>
      </c>
      <c r="AQ215">
        <f t="shared" si="182"/>
        <v>1.3894809353915656</v>
      </c>
      <c r="AR215">
        <f t="shared" si="183"/>
        <v>-66.269208992097631</v>
      </c>
      <c r="AT215">
        <f t="shared" si="209"/>
        <v>-314082.10853175388</v>
      </c>
      <c r="AU215">
        <f t="shared" si="210"/>
        <v>-1952116.2829120937</v>
      </c>
      <c r="AV215">
        <f t="shared" si="198"/>
        <v>-1.730322308843252</v>
      </c>
      <c r="AW215">
        <f t="shared" si="199"/>
        <v>-682964.33904245391</v>
      </c>
      <c r="AX215">
        <f t="shared" si="200"/>
        <v>-293674.7706541472</v>
      </c>
      <c r="AY215">
        <f t="shared" si="208"/>
        <v>-2.7354944656872457</v>
      </c>
      <c r="BA215">
        <f t="shared" si="184"/>
        <v>2.6596008385472896</v>
      </c>
      <c r="BB215">
        <f t="shared" si="201"/>
        <v>8.4963292241673241</v>
      </c>
      <c r="BC215">
        <f t="shared" si="202"/>
        <v>1.0051721568439937</v>
      </c>
      <c r="BD215">
        <f t="shared" si="185"/>
        <v>-122.40787766296853</v>
      </c>
      <c r="BF215">
        <f t="shared" si="186"/>
        <v>2.813390867138315</v>
      </c>
      <c r="BG215">
        <f t="shared" si="187"/>
        <v>-112.03691871558959</v>
      </c>
      <c r="BH215">
        <f t="shared" si="203"/>
        <v>67.963081284410407</v>
      </c>
      <c r="BI215">
        <f t="shared" si="204"/>
        <v>67.963081284410407</v>
      </c>
      <c r="BJ215">
        <f t="shared" si="188"/>
        <v>0</v>
      </c>
      <c r="BK215">
        <f t="shared" si="205"/>
        <v>0</v>
      </c>
      <c r="BM215">
        <f t="shared" si="206"/>
        <v>-5.6829383570290082</v>
      </c>
      <c r="BN215">
        <f t="shared" si="189"/>
        <v>-169.62904105262106</v>
      </c>
      <c r="BQ215" s="75">
        <f t="shared" si="207"/>
        <v>25.398290024452457</v>
      </c>
      <c r="BR215" s="80"/>
      <c r="BS215" s="80"/>
      <c r="BT215" s="80">
        <v>11220.184999999999</v>
      </c>
      <c r="BU215" s="80">
        <v>-2.7486899999999999</v>
      </c>
      <c r="BV215" s="80">
        <v>-207.815</v>
      </c>
      <c r="BW215" s="84"/>
      <c r="BY215" s="80"/>
      <c r="BZ215" s="80"/>
      <c r="CA215" s="80"/>
      <c r="CC215" s="80"/>
    </row>
    <row r="216" spans="1:81">
      <c r="A216">
        <f t="shared" si="190"/>
        <v>91000</v>
      </c>
      <c r="B216">
        <f t="shared" si="191"/>
        <v>91</v>
      </c>
      <c r="C216">
        <f t="shared" si="159"/>
        <v>1.0056391754237373</v>
      </c>
      <c r="D216">
        <f t="shared" si="160"/>
        <v>0.10595095160529104</v>
      </c>
      <c r="F216">
        <f t="shared" si="161"/>
        <v>5.6774074427799089E-2</v>
      </c>
      <c r="G216">
        <f t="shared" si="162"/>
        <v>7.5172920775393337E-2</v>
      </c>
      <c r="H216">
        <f t="shared" si="163"/>
        <v>-3.0664197292246067</v>
      </c>
      <c r="J216">
        <f t="shared" si="164"/>
        <v>9</v>
      </c>
      <c r="M216">
        <f t="shared" si="165"/>
        <v>4.6381548228246777E-2</v>
      </c>
      <c r="N216">
        <f t="shared" si="166"/>
        <v>-1.5707963250000001</v>
      </c>
      <c r="O216">
        <f t="shared" si="167"/>
        <v>11.745631978990241</v>
      </c>
      <c r="P216">
        <f t="shared" si="168"/>
        <v>1.4855551034885202</v>
      </c>
      <c r="Q216">
        <f t="shared" si="169"/>
        <v>4.8819394590567358</v>
      </c>
      <c r="R216">
        <f t="shared" si="170"/>
        <v>1.3644995371398361</v>
      </c>
      <c r="S216">
        <f t="shared" si="171"/>
        <v>0.9981250729143919</v>
      </c>
      <c r="T216">
        <f t="shared" si="172"/>
        <v>-6.1245624670643629E-2</v>
      </c>
      <c r="U216">
        <f t="shared" si="173"/>
        <v>0.99546231971482568</v>
      </c>
      <c r="V216">
        <f t="shared" si="174"/>
        <v>-9.5300747120822787E-2</v>
      </c>
      <c r="X216">
        <f t="shared" si="192"/>
        <v>2.6571713282501195</v>
      </c>
      <c r="Y216">
        <f t="shared" si="175"/>
        <v>-105.29571046737605</v>
      </c>
      <c r="Z216">
        <f t="shared" si="193"/>
        <v>74.704289532623946</v>
      </c>
      <c r="AC216">
        <v>1</v>
      </c>
      <c r="AD216">
        <f t="shared" si="176"/>
        <v>11.702985541556401</v>
      </c>
      <c r="AE216">
        <f t="shared" si="177"/>
        <v>-3.7471920816929726E-5</v>
      </c>
      <c r="AF216">
        <f t="shared" si="178"/>
        <v>3.9200541759288005E-4</v>
      </c>
      <c r="AG216">
        <f t="shared" si="194"/>
        <v>29342.178493685813</v>
      </c>
      <c r="AH216">
        <f t="shared" si="195"/>
        <v>-5355.8131976943023</v>
      </c>
      <c r="AJ216">
        <f t="shared" si="179"/>
        <v>55000</v>
      </c>
      <c r="AK216">
        <f t="shared" si="180"/>
        <v>3372.7274752421254</v>
      </c>
      <c r="AL216">
        <v>1</v>
      </c>
      <c r="AM216">
        <f t="shared" si="181"/>
        <v>4.7784236817066752</v>
      </c>
      <c r="AN216">
        <f t="shared" si="196"/>
        <v>2983.9016302106343</v>
      </c>
      <c r="AO216">
        <f t="shared" si="197"/>
        <v>-10885.618738439523</v>
      </c>
      <c r="AQ216">
        <f t="shared" si="182"/>
        <v>1.3742604799364644</v>
      </c>
      <c r="AR216">
        <f t="shared" si="183"/>
        <v>-65.905409836313027</v>
      </c>
      <c r="AT216">
        <f t="shared" si="209"/>
        <v>-312653.26750166313</v>
      </c>
      <c r="AU216">
        <f t="shared" si="210"/>
        <v>-1941168.581532127</v>
      </c>
      <c r="AV216">
        <f t="shared" si="198"/>
        <v>-1.7304893053686874</v>
      </c>
      <c r="AW216">
        <f t="shared" si="199"/>
        <v>-675542.76159925479</v>
      </c>
      <c r="AX216">
        <f t="shared" si="200"/>
        <v>-290360.67877529014</v>
      </c>
      <c r="AY216">
        <f t="shared" si="208"/>
        <v>-2.735647904917994</v>
      </c>
      <c r="BA216">
        <f t="shared" si="184"/>
        <v>2.6739885096129967</v>
      </c>
      <c r="BB216">
        <f t="shared" si="201"/>
        <v>8.5431907344924447</v>
      </c>
      <c r="BC216">
        <f t="shared" si="202"/>
        <v>1.0051585995493066</v>
      </c>
      <c r="BD216">
        <f t="shared" si="185"/>
        <v>-122.40865443873662</v>
      </c>
      <c r="BF216">
        <f t="shared" si="186"/>
        <v>2.75988584404113</v>
      </c>
      <c r="BG216">
        <f t="shared" si="187"/>
        <v>-112.03102097039907</v>
      </c>
      <c r="BH216">
        <f t="shared" si="203"/>
        <v>67.968979029600931</v>
      </c>
      <c r="BI216">
        <f t="shared" si="204"/>
        <v>67.968979029600931</v>
      </c>
      <c r="BJ216">
        <f t="shared" si="188"/>
        <v>0</v>
      </c>
      <c r="BK216">
        <f t="shared" si="205"/>
        <v>0</v>
      </c>
      <c r="BM216">
        <f t="shared" si="206"/>
        <v>-5.7833048904513138</v>
      </c>
      <c r="BN216">
        <f t="shared" si="189"/>
        <v>-169.62236653166246</v>
      </c>
      <c r="BQ216" s="75">
        <f t="shared" si="207"/>
        <v>25.44515153477758</v>
      </c>
      <c r="BR216" s="80"/>
      <c r="BS216" s="80"/>
      <c r="BT216" s="80">
        <v>11481.536</v>
      </c>
      <c r="BU216" s="80">
        <v>-2.86917</v>
      </c>
      <c r="BV216" s="80">
        <v>-207.916</v>
      </c>
      <c r="BW216" s="84"/>
      <c r="BY216" s="80"/>
      <c r="BZ216" s="80"/>
      <c r="CA216" s="80"/>
      <c r="CC216" s="80"/>
    </row>
    <row r="217" spans="1:81">
      <c r="A217">
        <f t="shared" si="190"/>
        <v>91500</v>
      </c>
      <c r="B217">
        <f t="shared" si="191"/>
        <v>91.5</v>
      </c>
      <c r="C217">
        <f t="shared" si="159"/>
        <v>1.005701138495432</v>
      </c>
      <c r="D217">
        <f t="shared" si="160"/>
        <v>0.1065287172518929</v>
      </c>
      <c r="F217">
        <f t="shared" si="161"/>
        <v>5.6122333082835207E-2</v>
      </c>
      <c r="G217">
        <f t="shared" si="162"/>
        <v>7.4717414760354997E-2</v>
      </c>
      <c r="H217">
        <f t="shared" si="163"/>
        <v>-3.0668752352396451</v>
      </c>
      <c r="J217">
        <f t="shared" si="164"/>
        <v>9</v>
      </c>
      <c r="M217">
        <f t="shared" si="165"/>
        <v>4.6128097145032312E-2</v>
      </c>
      <c r="N217">
        <f t="shared" si="166"/>
        <v>-1.5707963250000001</v>
      </c>
      <c r="O217">
        <f t="shared" si="167"/>
        <v>11.809701895950869</v>
      </c>
      <c r="P217">
        <f t="shared" si="168"/>
        <v>1.4860186677768166</v>
      </c>
      <c r="Q217">
        <f t="shared" si="169"/>
        <v>4.9076407730010629</v>
      </c>
      <c r="R217">
        <f t="shared" si="170"/>
        <v>1.3655953797862024</v>
      </c>
      <c r="S217">
        <f t="shared" si="171"/>
        <v>0.99810447142284142</v>
      </c>
      <c r="T217">
        <f t="shared" si="172"/>
        <v>-6.1581291284582659E-2</v>
      </c>
      <c r="U217">
        <f t="shared" si="173"/>
        <v>0.99541266164378572</v>
      </c>
      <c r="V217">
        <f t="shared" si="174"/>
        <v>-9.5821186924777077E-2</v>
      </c>
      <c r="X217">
        <f t="shared" si="192"/>
        <v>2.6020714158997342</v>
      </c>
      <c r="Y217">
        <f t="shared" si="175"/>
        <v>-105.24840935508833</v>
      </c>
      <c r="Z217">
        <f t="shared" si="193"/>
        <v>74.751590644911673</v>
      </c>
      <c r="AC217">
        <v>1</v>
      </c>
      <c r="AD217">
        <f t="shared" si="176"/>
        <v>11.767287659916603</v>
      </c>
      <c r="AE217">
        <f t="shared" si="177"/>
        <v>-3.7884831428515877E-5</v>
      </c>
      <c r="AF217">
        <f t="shared" si="178"/>
        <v>3.9415929351371999E-4</v>
      </c>
      <c r="AG217">
        <f t="shared" si="194"/>
        <v>29339.251130966917</v>
      </c>
      <c r="AH217">
        <f t="shared" si="195"/>
        <v>-5357.0031661883868</v>
      </c>
      <c r="AJ217">
        <f t="shared" si="179"/>
        <v>55000</v>
      </c>
      <c r="AK217">
        <f t="shared" si="180"/>
        <v>3391.2589448863127</v>
      </c>
      <c r="AL217">
        <v>1</v>
      </c>
      <c r="AM217">
        <f t="shared" si="181"/>
        <v>4.8046787568808877</v>
      </c>
      <c r="AN217">
        <f t="shared" si="196"/>
        <v>2960.1035277478195</v>
      </c>
      <c r="AO217">
        <f t="shared" si="197"/>
        <v>-10831.087593051812</v>
      </c>
      <c r="AQ217">
        <f t="shared" si="182"/>
        <v>1.3592887147630204</v>
      </c>
      <c r="AR217">
        <f t="shared" si="183"/>
        <v>-65.545581470230218</v>
      </c>
      <c r="AT217">
        <f t="shared" si="209"/>
        <v>-311247.3745037606</v>
      </c>
      <c r="AU217">
        <f t="shared" si="210"/>
        <v>-1930339.9892290859</v>
      </c>
      <c r="AV217">
        <f t="shared" si="198"/>
        <v>-1.7306600770593372</v>
      </c>
      <c r="AW217">
        <f t="shared" si="199"/>
        <v>-668235.00308103976</v>
      </c>
      <c r="AX217">
        <f t="shared" si="200"/>
        <v>-287109.48464167747</v>
      </c>
      <c r="AY217">
        <f t="shared" si="208"/>
        <v>-2.7357870911578681</v>
      </c>
      <c r="BA217">
        <f t="shared" si="184"/>
        <v>2.6883861134543148</v>
      </c>
      <c r="BB217">
        <f t="shared" si="201"/>
        <v>8.5898328687383536</v>
      </c>
      <c r="BC217">
        <f t="shared" si="202"/>
        <v>1.0051270140985309</v>
      </c>
      <c r="BD217">
        <f t="shared" si="185"/>
        <v>-122.41046415176214</v>
      </c>
      <c r="BF217">
        <f t="shared" si="186"/>
        <v>2.7067762319355042</v>
      </c>
      <c r="BG217">
        <f t="shared" si="187"/>
        <v>-112.02582572252319</v>
      </c>
      <c r="BH217">
        <f t="shared" si="203"/>
        <v>67.974174277476806</v>
      </c>
      <c r="BI217">
        <f t="shared" si="204"/>
        <v>67.974174277476806</v>
      </c>
      <c r="BJ217">
        <f t="shared" si="188"/>
        <v>0</v>
      </c>
      <c r="BK217">
        <f t="shared" si="205"/>
        <v>0</v>
      </c>
      <c r="BM217">
        <f t="shared" si="206"/>
        <v>-5.8830566368028494</v>
      </c>
      <c r="BN217">
        <f t="shared" si="189"/>
        <v>-169.61536157076105</v>
      </c>
      <c r="BQ217" s="75">
        <f t="shared" si="207"/>
        <v>25.49179366902349</v>
      </c>
      <c r="BR217" s="80"/>
      <c r="BS217" s="80"/>
      <c r="BT217" s="80">
        <v>11748.976000000001</v>
      </c>
      <c r="BU217" s="80">
        <v>-3.0396299999999998</v>
      </c>
      <c r="BV217" s="80">
        <v>-206.25700000000001</v>
      </c>
      <c r="BW217" s="84"/>
      <c r="BY217" s="80"/>
      <c r="BZ217" s="80"/>
      <c r="CA217" s="80"/>
      <c r="CC217" s="80"/>
    </row>
    <row r="218" spans="1:81">
      <c r="A218">
        <f t="shared" si="190"/>
        <v>92000</v>
      </c>
      <c r="B218">
        <f t="shared" si="191"/>
        <v>92</v>
      </c>
      <c r="C218">
        <f t="shared" si="159"/>
        <v>1.0057634372419533</v>
      </c>
      <c r="D218">
        <f t="shared" si="160"/>
        <v>0.10710641151568735</v>
      </c>
      <c r="F218">
        <f t="shared" si="161"/>
        <v>5.5481932904571922E-2</v>
      </c>
      <c r="G218">
        <f t="shared" si="162"/>
        <v>7.4267633187506787E-2</v>
      </c>
      <c r="H218">
        <f t="shared" si="163"/>
        <v>-3.0673250168124935</v>
      </c>
      <c r="J218">
        <f t="shared" si="164"/>
        <v>9</v>
      </c>
      <c r="M218">
        <f t="shared" si="165"/>
        <v>4.5877400964896273E-2</v>
      </c>
      <c r="N218">
        <f t="shared" si="166"/>
        <v>-1.5707963250000001</v>
      </c>
      <c r="O218">
        <f t="shared" si="167"/>
        <v>11.873774323332245</v>
      </c>
      <c r="P218">
        <f t="shared" si="168"/>
        <v>1.4864772292566357</v>
      </c>
      <c r="Q218">
        <f t="shared" si="169"/>
        <v>4.933347918979015</v>
      </c>
      <c r="R218">
        <f t="shared" si="170"/>
        <v>1.3666798030869456</v>
      </c>
      <c r="S218">
        <f t="shared" si="171"/>
        <v>0.99808375833251228</v>
      </c>
      <c r="T218">
        <f t="shared" si="172"/>
        <v>-6.1916944004545178E-2</v>
      </c>
      <c r="U218">
        <f t="shared" si="173"/>
        <v>0.99536273896566152</v>
      </c>
      <c r="V218">
        <f t="shared" si="174"/>
        <v>-9.6341574666700236E-2</v>
      </c>
      <c r="X218">
        <f t="shared" si="192"/>
        <v>2.5473528942043937</v>
      </c>
      <c r="Y218">
        <f t="shared" si="175"/>
        <v>-105.20172148747696</v>
      </c>
      <c r="Z218">
        <f t="shared" si="193"/>
        <v>74.798278512523041</v>
      </c>
      <c r="AC218">
        <v>1</v>
      </c>
      <c r="AD218">
        <f t="shared" si="176"/>
        <v>11.8315897782768</v>
      </c>
      <c r="AE218">
        <f t="shared" si="177"/>
        <v>-3.8300004564001123E-5</v>
      </c>
      <c r="AF218">
        <f t="shared" si="178"/>
        <v>3.9631316943456005E-4</v>
      </c>
      <c r="AG218">
        <f t="shared" si="194"/>
        <v>29336.308316759605</v>
      </c>
      <c r="AH218">
        <f t="shared" si="195"/>
        <v>-5358.3400860805523</v>
      </c>
      <c r="AJ218">
        <f t="shared" si="179"/>
        <v>55000</v>
      </c>
      <c r="AK218">
        <f t="shared" si="180"/>
        <v>3409.7904145305006</v>
      </c>
      <c r="AL218">
        <v>1</v>
      </c>
      <c r="AM218">
        <f t="shared" si="181"/>
        <v>4.8309338320551012</v>
      </c>
      <c r="AN218">
        <f t="shared" si="196"/>
        <v>2936.671125210999</v>
      </c>
      <c r="AO218">
        <f t="shared" si="197"/>
        <v>-10777.073477870639</v>
      </c>
      <c r="AQ218">
        <f t="shared" si="182"/>
        <v>1.3445602521210527</v>
      </c>
      <c r="AR218">
        <f t="shared" si="183"/>
        <v>-65.189659263837115</v>
      </c>
      <c r="AT218">
        <f t="shared" si="209"/>
        <v>-309863.9303246676</v>
      </c>
      <c r="AU218">
        <f t="shared" si="210"/>
        <v>-1919628.5543255205</v>
      </c>
      <c r="AV218">
        <f t="shared" si="198"/>
        <v>-1.7308345620238459</v>
      </c>
      <c r="AW218">
        <f t="shared" si="199"/>
        <v>-661038.78965593653</v>
      </c>
      <c r="AX218">
        <f t="shared" si="200"/>
        <v>-283919.6307156228</v>
      </c>
      <c r="AY218">
        <f t="shared" si="208"/>
        <v>-2.7359122158801568</v>
      </c>
      <c r="BA218">
        <f t="shared" si="184"/>
        <v>2.7027936031234563</v>
      </c>
      <c r="BB218">
        <f t="shared" si="201"/>
        <v>8.636257647625925</v>
      </c>
      <c r="BC218">
        <f t="shared" si="202"/>
        <v>1.0050776538563109</v>
      </c>
      <c r="BD218">
        <f t="shared" si="185"/>
        <v>-122.41329228532032</v>
      </c>
      <c r="BF218">
        <f t="shared" si="186"/>
        <v>2.654056363865029</v>
      </c>
      <c r="BG218">
        <f t="shared" si="187"/>
        <v>-112.02132499873564</v>
      </c>
      <c r="BH218">
        <f t="shared" si="203"/>
        <v>67.978675001264364</v>
      </c>
      <c r="BI218">
        <f t="shared" si="204"/>
        <v>67.978675001264364</v>
      </c>
      <c r="BJ218">
        <f t="shared" si="188"/>
        <v>0</v>
      </c>
      <c r="BK218">
        <f t="shared" si="205"/>
        <v>0</v>
      </c>
      <c r="BM218">
        <f t="shared" si="206"/>
        <v>-5.9822012837608955</v>
      </c>
      <c r="BN218">
        <f t="shared" si="189"/>
        <v>-169.6080327134153</v>
      </c>
      <c r="BQ218" s="75">
        <f t="shared" si="207"/>
        <v>25.53821844791106</v>
      </c>
      <c r="BR218" s="80"/>
      <c r="BS218" s="80"/>
      <c r="BT218" s="80">
        <v>12022.644</v>
      </c>
      <c r="BU218" s="80">
        <v>-3.2097500000000001</v>
      </c>
      <c r="BV218" s="80">
        <v>-205.79599999999999</v>
      </c>
      <c r="BW218" s="84"/>
      <c r="BY218" s="80"/>
      <c r="BZ218" s="80"/>
      <c r="CA218" s="80"/>
      <c r="CC218" s="80"/>
    </row>
    <row r="219" spans="1:81">
      <c r="A219">
        <f t="shared" si="190"/>
        <v>92500</v>
      </c>
      <c r="B219">
        <f t="shared" si="191"/>
        <v>92.5</v>
      </c>
      <c r="C219">
        <f t="shared" si="159"/>
        <v>1.005826071600928</v>
      </c>
      <c r="D219">
        <f t="shared" si="160"/>
        <v>0.1076840340243857</v>
      </c>
      <c r="F219">
        <f t="shared" si="161"/>
        <v>5.4852608283702628E-2</v>
      </c>
      <c r="G219">
        <f t="shared" si="162"/>
        <v>7.382346523517655E-2</v>
      </c>
      <c r="H219">
        <f t="shared" si="163"/>
        <v>-3.0677691847648236</v>
      </c>
      <c r="J219">
        <f t="shared" si="164"/>
        <v>9</v>
      </c>
      <c r="M219">
        <f t="shared" si="165"/>
        <v>4.5629415013734666E-2</v>
      </c>
      <c r="N219">
        <f t="shared" si="166"/>
        <v>-1.5707963250000001</v>
      </c>
      <c r="O219">
        <f t="shared" si="167"/>
        <v>11.937849220712829</v>
      </c>
      <c r="P219">
        <f t="shared" si="168"/>
        <v>1.4869308682893838</v>
      </c>
      <c r="Q219">
        <f t="shared" si="169"/>
        <v>4.959060806293011</v>
      </c>
      <c r="R219">
        <f t="shared" si="170"/>
        <v>1.3677529821005296</v>
      </c>
      <c r="S219">
        <f t="shared" si="171"/>
        <v>0.99806293366435361</v>
      </c>
      <c r="T219">
        <f t="shared" si="172"/>
        <v>-6.2252582755767408E-2</v>
      </c>
      <c r="U219">
        <f t="shared" si="173"/>
        <v>0.99531255180137279</v>
      </c>
      <c r="V219">
        <f t="shared" si="174"/>
        <v>-9.6861910072600838E-2</v>
      </c>
      <c r="X219">
        <f t="shared" si="192"/>
        <v>2.4930102629855333</v>
      </c>
      <c r="Y219">
        <f t="shared" si="175"/>
        <v>-105.15563858102378</v>
      </c>
      <c r="Z219">
        <f t="shared" si="193"/>
        <v>74.84436141897622</v>
      </c>
      <c r="AC219">
        <v>1</v>
      </c>
      <c r="AD219">
        <f t="shared" si="176"/>
        <v>11.895891896637002</v>
      </c>
      <c r="AE219">
        <f t="shared" si="177"/>
        <v>-3.8717440223385464E-5</v>
      </c>
      <c r="AF219">
        <f t="shared" si="178"/>
        <v>3.984670453554E-4</v>
      </c>
      <c r="AG219">
        <f t="shared" si="194"/>
        <v>29333.350060538192</v>
      </c>
      <c r="AH219">
        <f t="shared" si="195"/>
        <v>-5359.8214768693033</v>
      </c>
      <c r="AJ219">
        <f t="shared" si="179"/>
        <v>55000</v>
      </c>
      <c r="AK219">
        <f t="shared" si="180"/>
        <v>3428.3218841746875</v>
      </c>
      <c r="AL219">
        <v>1</v>
      </c>
      <c r="AM219">
        <f t="shared" si="181"/>
        <v>4.8571889072293128</v>
      </c>
      <c r="AN219">
        <f t="shared" si="196"/>
        <v>2913.5970775080004</v>
      </c>
      <c r="AO219">
        <f t="shared" si="197"/>
        <v>-10723.569520832916</v>
      </c>
      <c r="AQ219">
        <f t="shared" si="182"/>
        <v>1.330069849357417</v>
      </c>
      <c r="AR219">
        <f t="shared" si="183"/>
        <v>-64.837579981550689</v>
      </c>
      <c r="AT219">
        <f t="shared" si="209"/>
        <v>-308502.44919717818</v>
      </c>
      <c r="AU219">
        <f t="shared" si="210"/>
        <v>-1909032.3676212919</v>
      </c>
      <c r="AV219">
        <f t="shared" si="198"/>
        <v>-1.7310126996825916</v>
      </c>
      <c r="AW219">
        <f t="shared" si="199"/>
        <v>-653951.90293015738</v>
      </c>
      <c r="AX219">
        <f t="shared" si="200"/>
        <v>-280789.60619000264</v>
      </c>
      <c r="AY219">
        <f t="shared" si="208"/>
        <v>-2.736023466528525</v>
      </c>
      <c r="BA219">
        <f t="shared" si="184"/>
        <v>2.7172109325807008</v>
      </c>
      <c r="BB219">
        <f t="shared" si="201"/>
        <v>8.6824670657454917</v>
      </c>
      <c r="BC219">
        <f t="shared" si="202"/>
        <v>1.0050107668459334</v>
      </c>
      <c r="BD219">
        <f t="shared" si="185"/>
        <v>-122.41712462872358</v>
      </c>
      <c r="BF219">
        <f t="shared" si="186"/>
        <v>2.6017206952611311</v>
      </c>
      <c r="BG219">
        <f t="shared" si="187"/>
        <v>-112.01751095929345</v>
      </c>
      <c r="BH219">
        <f t="shared" si="203"/>
        <v>67.982489040706554</v>
      </c>
      <c r="BI219">
        <f t="shared" si="204"/>
        <v>67.982489040706554</v>
      </c>
      <c r="BJ219">
        <f t="shared" si="188"/>
        <v>0</v>
      </c>
      <c r="BK219">
        <f t="shared" si="205"/>
        <v>0</v>
      </c>
      <c r="BM219">
        <f t="shared" si="206"/>
        <v>-6.0807463704843601</v>
      </c>
      <c r="BN219">
        <f t="shared" si="189"/>
        <v>-169.60038633056985</v>
      </c>
      <c r="BQ219" s="75">
        <f t="shared" si="207"/>
        <v>25.584427866030627</v>
      </c>
      <c r="BR219" s="80"/>
      <c r="BS219" s="80"/>
      <c r="BT219" s="80">
        <v>12302.688</v>
      </c>
      <c r="BU219" s="80">
        <v>-3.2360000000000002</v>
      </c>
      <c r="BV219" s="80">
        <v>-205.58</v>
      </c>
      <c r="BW219" s="84"/>
      <c r="BY219" s="80"/>
      <c r="BZ219" s="80"/>
      <c r="CA219" s="80"/>
      <c r="CC219" s="80"/>
    </row>
    <row r="220" spans="1:81">
      <c r="A220">
        <f t="shared" si="190"/>
        <v>93000</v>
      </c>
      <c r="B220">
        <f t="shared" si="191"/>
        <v>93</v>
      </c>
      <c r="C220">
        <f t="shared" si="159"/>
        <v>1.0058890415096626</v>
      </c>
      <c r="D220">
        <f t="shared" si="160"/>
        <v>0.10826158440598325</v>
      </c>
      <c r="F220">
        <f t="shared" si="161"/>
        <v>5.4234101449240839E-2</v>
      </c>
      <c r="G220">
        <f t="shared" si="162"/>
        <v>7.3384802992483053E-2</v>
      </c>
      <c r="H220">
        <f t="shared" si="163"/>
        <v>-3.0682078470075171</v>
      </c>
      <c r="J220">
        <f t="shared" si="164"/>
        <v>9</v>
      </c>
      <c r="M220">
        <f t="shared" si="165"/>
        <v>4.5384095578176957E-2</v>
      </c>
      <c r="N220">
        <f t="shared" si="166"/>
        <v>-1.5707963250000001</v>
      </c>
      <c r="O220">
        <f t="shared" si="167"/>
        <v>12.001926548532737</v>
      </c>
      <c r="P220">
        <f t="shared" si="168"/>
        <v>1.4873796635284982</v>
      </c>
      <c r="Q220">
        <f t="shared" si="169"/>
        <v>4.9847793460967962</v>
      </c>
      <c r="R220">
        <f t="shared" si="170"/>
        <v>1.3688150883774381</v>
      </c>
      <c r="S220">
        <f t="shared" si="171"/>
        <v>0.99804199743942468</v>
      </c>
      <c r="T220">
        <f t="shared" si="172"/>
        <v>-6.2588207463504381E-2</v>
      </c>
      <c r="U220">
        <f t="shared" si="173"/>
        <v>0.99526210027244666</v>
      </c>
      <c r="V220">
        <f t="shared" si="174"/>
        <v>-9.738219286865582E-2</v>
      </c>
      <c r="X220">
        <f t="shared" si="192"/>
        <v>2.4390381412372193</v>
      </c>
      <c r="Y220">
        <f t="shared" si="175"/>
        <v>-105.11015248428097</v>
      </c>
      <c r="Z220">
        <f t="shared" si="193"/>
        <v>74.889847515719026</v>
      </c>
      <c r="AC220">
        <v>1</v>
      </c>
      <c r="AD220">
        <f t="shared" si="176"/>
        <v>11.960194014997203</v>
      </c>
      <c r="AE220">
        <f t="shared" si="177"/>
        <v>-3.9137138406668913E-5</v>
      </c>
      <c r="AF220">
        <f t="shared" si="178"/>
        <v>4.0062092127624005E-4</v>
      </c>
      <c r="AG220">
        <f t="shared" si="194"/>
        <v>29330.376371823702</v>
      </c>
      <c r="AH220">
        <f t="shared" si="195"/>
        <v>-5361.4449109179441</v>
      </c>
      <c r="AJ220">
        <f t="shared" si="179"/>
        <v>55000</v>
      </c>
      <c r="AK220">
        <f t="shared" si="180"/>
        <v>3446.8533538188753</v>
      </c>
      <c r="AL220">
        <v>1</v>
      </c>
      <c r="AM220">
        <f t="shared" si="181"/>
        <v>4.8834439824035254</v>
      </c>
      <c r="AN220">
        <f t="shared" si="196"/>
        <v>2890.874220193421</v>
      </c>
      <c r="AO220">
        <f t="shared" si="197"/>
        <v>-10670.568960670171</v>
      </c>
      <c r="AQ220">
        <f t="shared" si="182"/>
        <v>1.3158124042526702</v>
      </c>
      <c r="AR220">
        <f t="shared" si="183"/>
        <v>-64.489281744827622</v>
      </c>
      <c r="AT220">
        <f t="shared" si="209"/>
        <v>-307162.45836811443</v>
      </c>
      <c r="AU220">
        <f t="shared" si="210"/>
        <v>-1898549.561242877</v>
      </c>
      <c r="AV220">
        <f t="shared" si="198"/>
        <v>-1.7311944307330855</v>
      </c>
      <c r="AW220">
        <f t="shared" si="199"/>
        <v>-646972.17836803128</v>
      </c>
      <c r="AX220">
        <f t="shared" si="200"/>
        <v>-277717.94535606808</v>
      </c>
      <c r="AY220">
        <f t="shared" si="208"/>
        <v>-2.736121026617591</v>
      </c>
      <c r="BA220">
        <f t="shared" si="184"/>
        <v>2.7316380566581091</v>
      </c>
      <c r="BB220">
        <f t="shared" si="201"/>
        <v>8.7284630919207942</v>
      </c>
      <c r="BC220">
        <f t="shared" si="202"/>
        <v>1.0049265958845055</v>
      </c>
      <c r="BD220">
        <f t="shared" si="185"/>
        <v>-122.42194726957648</v>
      </c>
      <c r="BF220">
        <f t="shared" si="186"/>
        <v>2.549763800419262</v>
      </c>
      <c r="BG220">
        <f t="shared" si="187"/>
        <v>-112.01437589595362</v>
      </c>
      <c r="BH220">
        <f t="shared" si="203"/>
        <v>67.98562410404638</v>
      </c>
      <c r="BI220">
        <f t="shared" si="204"/>
        <v>67.98562410404638</v>
      </c>
      <c r="BJ220">
        <f t="shared" si="188"/>
        <v>0</v>
      </c>
      <c r="BK220">
        <f t="shared" si="205"/>
        <v>0</v>
      </c>
      <c r="BM220">
        <f t="shared" si="206"/>
        <v>-6.1786992915015322</v>
      </c>
      <c r="BN220">
        <f t="shared" si="189"/>
        <v>-169.59242862637714</v>
      </c>
      <c r="BQ220" s="75">
        <f t="shared" si="207"/>
        <v>25.630423892205933</v>
      </c>
      <c r="BR220" s="80"/>
      <c r="BS220" s="80"/>
      <c r="BT220" s="80">
        <v>12589.254000000001</v>
      </c>
      <c r="BU220" s="80">
        <v>-3.6465100000000001</v>
      </c>
      <c r="BV220" s="80">
        <v>-203.78</v>
      </c>
      <c r="BW220" s="84"/>
      <c r="BY220" s="80"/>
      <c r="BZ220" s="80"/>
      <c r="CA220" s="80"/>
      <c r="CC220" s="80"/>
    </row>
    <row r="221" spans="1:81">
      <c r="A221">
        <f t="shared" si="190"/>
        <v>93500</v>
      </c>
      <c r="B221">
        <f t="shared" si="191"/>
        <v>93.5</v>
      </c>
      <c r="C221">
        <f t="shared" si="159"/>
        <v>1.0059523469051435</v>
      </c>
      <c r="D221">
        <f t="shared" si="160"/>
        <v>0.10883906228876071</v>
      </c>
      <c r="F221">
        <f t="shared" si="161"/>
        <v>5.3626162189105521E-2</v>
      </c>
      <c r="G221">
        <f t="shared" si="162"/>
        <v>7.2951541362823905E-2</v>
      </c>
      <c r="H221">
        <f t="shared" si="163"/>
        <v>-3.0686411086371761</v>
      </c>
      <c r="J221">
        <f t="shared" si="164"/>
        <v>9</v>
      </c>
      <c r="M221">
        <f t="shared" si="165"/>
        <v>4.5141399879897931E-2</v>
      </c>
      <c r="N221">
        <f t="shared" si="166"/>
        <v>-1.5707963250000001</v>
      </c>
      <c r="O221">
        <f t="shared" si="167"/>
        <v>12.066006268070936</v>
      </c>
      <c r="P221">
        <f t="shared" si="168"/>
        <v>1.4878236919644767</v>
      </c>
      <c r="Q221">
        <f t="shared" si="169"/>
        <v>5.0105034513489493</v>
      </c>
      <c r="R221">
        <f t="shared" si="170"/>
        <v>1.3698662900462621</v>
      </c>
      <c r="S221">
        <f t="shared" si="171"/>
        <v>0.99802094967889521</v>
      </c>
      <c r="T221">
        <f t="shared" si="172"/>
        <v>-6.2923818053030073E-2</v>
      </c>
      <c r="U221">
        <f t="shared" si="173"/>
        <v>0.99521138450101831</v>
      </c>
      <c r="V221">
        <f t="shared" si="174"/>
        <v>-9.7902422781211501E-2</v>
      </c>
      <c r="X221">
        <f t="shared" si="192"/>
        <v>2.3854312637274697</v>
      </c>
      <c r="Y221">
        <f t="shared" si="175"/>
        <v>-105.06525517588834</v>
      </c>
      <c r="Z221">
        <f t="shared" si="193"/>
        <v>74.934744824111661</v>
      </c>
      <c r="AC221">
        <v>1</v>
      </c>
      <c r="AD221">
        <f t="shared" si="176"/>
        <v>12.024496133357401</v>
      </c>
      <c r="AE221">
        <f t="shared" si="177"/>
        <v>-3.9559099113851463E-5</v>
      </c>
      <c r="AF221">
        <f t="shared" si="178"/>
        <v>4.0277479719708E-4</v>
      </c>
      <c r="AG221">
        <f t="shared" si="194"/>
        <v>29327.387260183987</v>
      </c>
      <c r="AH221">
        <f t="shared" si="195"/>
        <v>-5363.2080120418805</v>
      </c>
      <c r="AJ221">
        <f t="shared" si="179"/>
        <v>55000</v>
      </c>
      <c r="AK221">
        <f t="shared" si="180"/>
        <v>3465.3848234630632</v>
      </c>
      <c r="AL221">
        <v>1</v>
      </c>
      <c r="AM221">
        <f t="shared" si="181"/>
        <v>4.9096990575777379</v>
      </c>
      <c r="AN221">
        <f t="shared" si="196"/>
        <v>2868.4955642515597</v>
      </c>
      <c r="AO221">
        <f t="shared" si="197"/>
        <v>-10618.065145008739</v>
      </c>
      <c r="AQ221">
        <f t="shared" si="182"/>
        <v>1.3017829505316318</v>
      </c>
      <c r="AR221">
        <f t="shared" si="183"/>
        <v>-64.1447039959709</v>
      </c>
      <c r="AT221">
        <f t="shared" si="209"/>
        <v>-305843.49768229987</v>
      </c>
      <c r="AU221">
        <f t="shared" si="210"/>
        <v>-1888178.3075299405</v>
      </c>
      <c r="AV221">
        <f t="shared" si="198"/>
        <v>-1.731379697116457</v>
      </c>
      <c r="AW221">
        <f t="shared" si="199"/>
        <v>-640097.50376303971</v>
      </c>
      <c r="AX221">
        <f t="shared" si="200"/>
        <v>-274703.22603596345</v>
      </c>
      <c r="AY221">
        <f t="shared" si="208"/>
        <v>-2.7362050758305552</v>
      </c>
      <c r="BA221">
        <f t="shared" si="184"/>
        <v>2.7460749310242729</v>
      </c>
      <c r="BB221">
        <f t="shared" si="201"/>
        <v>8.774247669568835</v>
      </c>
      <c r="BC221">
        <f t="shared" si="202"/>
        <v>1.0048253787140982</v>
      </c>
      <c r="BD221">
        <f t="shared" si="185"/>
        <v>-122.42774658626169</v>
      </c>
      <c r="BF221">
        <f t="shared" si="186"/>
        <v>2.4981803690992659</v>
      </c>
      <c r="BG221">
        <f t="shared" si="187"/>
        <v>-112.01191222998854</v>
      </c>
      <c r="BH221">
        <f t="shared" si="203"/>
        <v>67.988087770011461</v>
      </c>
      <c r="BI221">
        <f t="shared" si="204"/>
        <v>67.988087770011461</v>
      </c>
      <c r="BJ221">
        <f t="shared" si="188"/>
        <v>0</v>
      </c>
      <c r="BK221">
        <f t="shared" si="205"/>
        <v>0</v>
      </c>
      <c r="BM221">
        <f t="shared" si="206"/>
        <v>-6.2760673004695686</v>
      </c>
      <c r="BN221">
        <f t="shared" si="189"/>
        <v>-169.58416564372683</v>
      </c>
      <c r="BQ221" s="75">
        <f t="shared" si="207"/>
        <v>25.676208469853972</v>
      </c>
      <c r="BR221" s="80"/>
      <c r="BS221" s="80"/>
      <c r="BT221" s="80">
        <v>12882.495999999999</v>
      </c>
      <c r="BU221" s="80">
        <v>-3.6234700000000002</v>
      </c>
      <c r="BV221" s="80">
        <v>-201.71899999999999</v>
      </c>
      <c r="BW221" s="84"/>
      <c r="BY221" s="80"/>
      <c r="BZ221" s="80"/>
      <c r="CA221" s="80"/>
      <c r="CC221" s="80"/>
    </row>
    <row r="222" spans="1:81">
      <c r="A222">
        <f t="shared" si="190"/>
        <v>94000</v>
      </c>
      <c r="B222">
        <f t="shared" si="191"/>
        <v>94</v>
      </c>
      <c r="C222">
        <f t="shared" si="159"/>
        <v>1.0060159877240378</v>
      </c>
      <c r="D222">
        <f t="shared" si="160"/>
        <v>0.10941646730128544</v>
      </c>
      <c r="F222">
        <f t="shared" si="161"/>
        <v>5.3028547582387078E-2</v>
      </c>
      <c r="G222">
        <f t="shared" si="162"/>
        <v>7.252357797121943E-2</v>
      </c>
      <c r="H222">
        <f t="shared" si="163"/>
        <v>-3.069069072028781</v>
      </c>
      <c r="J222">
        <f t="shared" si="164"/>
        <v>9</v>
      </c>
      <c r="M222">
        <f t="shared" si="165"/>
        <v>4.4901286050749542E-2</v>
      </c>
      <c r="N222">
        <f t="shared" si="166"/>
        <v>-1.5707963250000001</v>
      </c>
      <c r="O222">
        <f t="shared" si="167"/>
        <v>12.13008834142318</v>
      </c>
      <c r="P222">
        <f t="shared" si="168"/>
        <v>1.4882630289684948</v>
      </c>
      <c r="Q222">
        <f t="shared" si="169"/>
        <v>5.036233036767765</v>
      </c>
      <c r="R222">
        <f t="shared" si="170"/>
        <v>1.3709067518973046</v>
      </c>
      <c r="S222">
        <f t="shared" si="171"/>
        <v>0.99799979040404518</v>
      </c>
      <c r="T222">
        <f t="shared" si="172"/>
        <v>-6.3259414449637438E-2</v>
      </c>
      <c r="U222">
        <f t="shared" si="173"/>
        <v>0.9951604046098278</v>
      </c>
      <c r="V222">
        <f t="shared" si="174"/>
        <v>-9.8422599536784283E-2</v>
      </c>
      <c r="X222">
        <f t="shared" si="192"/>
        <v>2.3321844777185041</v>
      </c>
      <c r="Y222">
        <f t="shared" si="175"/>
        <v>-105.02093876259265</v>
      </c>
      <c r="Z222">
        <f t="shared" si="193"/>
        <v>74.97906123740735</v>
      </c>
      <c r="AC222">
        <v>1</v>
      </c>
      <c r="AD222">
        <f t="shared" si="176"/>
        <v>12.088798251717602</v>
      </c>
      <c r="AE222">
        <f t="shared" si="177"/>
        <v>-3.9983322344933115E-5</v>
      </c>
      <c r="AF222">
        <f t="shared" si="178"/>
        <v>4.0492867311792E-4</v>
      </c>
      <c r="AG222">
        <f t="shared" si="194"/>
        <v>29324.382735233539</v>
      </c>
      <c r="AH222">
        <f t="shared" si="195"/>
        <v>-5365.10845414096</v>
      </c>
      <c r="AJ222">
        <f t="shared" si="179"/>
        <v>55000</v>
      </c>
      <c r="AK222">
        <f t="shared" si="180"/>
        <v>3483.9162931072506</v>
      </c>
      <c r="AL222">
        <v>1</v>
      </c>
      <c r="AM222">
        <f t="shared" si="181"/>
        <v>4.9359541327519505</v>
      </c>
      <c r="AN222">
        <f t="shared" si="196"/>
        <v>2846.4542910510704</v>
      </c>
      <c r="AO222">
        <f t="shared" si="197"/>
        <v>-10566.051528495804</v>
      </c>
      <c r="AQ222">
        <f t="shared" si="182"/>
        <v>1.2879766535404766</v>
      </c>
      <c r="AR222">
        <f t="shared" si="183"/>
        <v>-63.803787463088128</v>
      </c>
      <c r="AT222">
        <f t="shared" si="209"/>
        <v>-304545.11918196088</v>
      </c>
      <c r="AU222">
        <f t="shared" si="210"/>
        <v>-1877916.8179577379</v>
      </c>
      <c r="AV222">
        <f t="shared" si="198"/>
        <v>-1.7315684419849859</v>
      </c>
      <c r="AW222">
        <f t="shared" si="199"/>
        <v>-633325.81775804155</v>
      </c>
      <c r="AX222">
        <f t="shared" si="200"/>
        <v>-271744.06807708647</v>
      </c>
      <c r="AY222">
        <f t="shared" si="208"/>
        <v>-2.7362757901139925</v>
      </c>
      <c r="BA222">
        <f t="shared" si="184"/>
        <v>2.7605215121500177</v>
      </c>
      <c r="BB222">
        <f t="shared" si="201"/>
        <v>8.8198227170554286</v>
      </c>
      <c r="BC222">
        <f t="shared" si="202"/>
        <v>1.0047073481290065</v>
      </c>
      <c r="BD222">
        <f t="shared" si="185"/>
        <v>-122.43450924064864</v>
      </c>
      <c r="BF222">
        <f t="shared" si="186"/>
        <v>2.4469652032446376</v>
      </c>
      <c r="BG222">
        <f t="shared" si="187"/>
        <v>-112.01011251020337</v>
      </c>
      <c r="BH222">
        <f t="shared" si="203"/>
        <v>67.989887489796629</v>
      </c>
      <c r="BI222">
        <f t="shared" si="204"/>
        <v>67.989887489796629</v>
      </c>
      <c r="BJ222">
        <f t="shared" si="188"/>
        <v>0</v>
      </c>
      <c r="BK222">
        <f t="shared" si="205"/>
        <v>0</v>
      </c>
      <c r="BM222">
        <f t="shared" si="206"/>
        <v>-6.372857513810791</v>
      </c>
      <c r="BN222">
        <f t="shared" si="189"/>
        <v>-169.57560326955473</v>
      </c>
      <c r="BQ222" s="75">
        <f t="shared" si="207"/>
        <v>25.721783517340565</v>
      </c>
      <c r="BR222" s="80"/>
      <c r="BS222" s="80"/>
      <c r="BT222" s="80">
        <v>13182.566999999999</v>
      </c>
      <c r="BU222" s="80">
        <v>-4.1132799999999996</v>
      </c>
      <c r="BV222" s="80">
        <v>-198.27600000000001</v>
      </c>
      <c r="BW222" s="84"/>
      <c r="BY222" s="80"/>
      <c r="BZ222" s="80"/>
      <c r="CA222" s="80"/>
      <c r="CC222" s="80"/>
    </row>
    <row r="223" spans="1:81">
      <c r="A223">
        <f t="shared" si="190"/>
        <v>94500</v>
      </c>
      <c r="B223">
        <f t="shared" si="191"/>
        <v>94.5</v>
      </c>
      <c r="C223">
        <f t="shared" si="159"/>
        <v>1.0060799639026921</v>
      </c>
      <c r="D223">
        <f t="shared" si="160"/>
        <v>0.10999379907241297</v>
      </c>
      <c r="F223">
        <f t="shared" si="161"/>
        <v>5.2441021742733684E-2</v>
      </c>
      <c r="G223">
        <f t="shared" si="162"/>
        <v>7.2100813075333198E-2</v>
      </c>
      <c r="H223">
        <f t="shared" si="163"/>
        <v>-3.0694918369246671</v>
      </c>
      <c r="J223">
        <f t="shared" si="164"/>
        <v>9</v>
      </c>
      <c r="M223">
        <f t="shared" si="165"/>
        <v>4.4663713108682078E-2</v>
      </c>
      <c r="N223">
        <f t="shared" si="166"/>
        <v>-1.5707963250000001</v>
      </c>
      <c r="O223">
        <f t="shared" si="167"/>
        <v>12.194172731480608</v>
      </c>
      <c r="P223">
        <f t="shared" si="168"/>
        <v>1.4886977483346577</v>
      </c>
      <c r="Q223">
        <f t="shared" si="169"/>
        <v>5.0619680187874758</v>
      </c>
      <c r="R223">
        <f t="shared" si="170"/>
        <v>1.3719366354637885</v>
      </c>
      <c r="S223">
        <f t="shared" si="171"/>
        <v>0.9979785196362656</v>
      </c>
      <c r="T223">
        <f t="shared" si="172"/>
        <v>-6.3594996578638541E-2</v>
      </c>
      <c r="U223">
        <f t="shared" si="173"/>
        <v>0.99510916072222177</v>
      </c>
      <c r="V223">
        <f t="shared" si="174"/>
        <v>-9.8942722862061544E-2</v>
      </c>
      <c r="X223">
        <f t="shared" si="192"/>
        <v>2.2792927398010305</v>
      </c>
      <c r="Y223">
        <f t="shared" si="175"/>
        <v>-104.97719547727218</v>
      </c>
      <c r="Z223">
        <f t="shared" si="193"/>
        <v>75.022804522727824</v>
      </c>
      <c r="AC223">
        <v>1</v>
      </c>
      <c r="AD223">
        <f t="shared" si="176"/>
        <v>12.153100370077802</v>
      </c>
      <c r="AE223">
        <f t="shared" si="177"/>
        <v>-4.0409808099913868E-5</v>
      </c>
      <c r="AF223">
        <f t="shared" si="178"/>
        <v>4.0708254903876E-4</v>
      </c>
      <c r="AG223">
        <f t="shared" si="194"/>
        <v>29321.362806633435</v>
      </c>
      <c r="AH223">
        <f t="shared" si="195"/>
        <v>-5367.1439598752695</v>
      </c>
      <c r="AJ223">
        <f t="shared" si="179"/>
        <v>55000</v>
      </c>
      <c r="AK223">
        <f t="shared" si="180"/>
        <v>3502.4477627514375</v>
      </c>
      <c r="AL223">
        <v>1</v>
      </c>
      <c r="AM223">
        <f t="shared" si="181"/>
        <v>4.962209207926163</v>
      </c>
      <c r="AN223">
        <f t="shared" si="196"/>
        <v>2824.7437474650606</v>
      </c>
      <c r="AO223">
        <f t="shared" si="197"/>
        <v>-10514.521670951544</v>
      </c>
      <c r="AQ223">
        <f t="shared" si="182"/>
        <v>1.2743888060833348</v>
      </c>
      <c r="AR223">
        <f t="shared" si="183"/>
        <v>-63.466474126159191</v>
      </c>
      <c r="AT223">
        <f t="shared" si="209"/>
        <v>-303266.88672091352</v>
      </c>
      <c r="AU223">
        <f t="shared" si="210"/>
        <v>-1867763.3420940302</v>
      </c>
      <c r="AV223">
        <f t="shared" si="198"/>
        <v>-1.7317606096706444</v>
      </c>
      <c r="AW223">
        <f t="shared" si="199"/>
        <v>-626655.10841293423</v>
      </c>
      <c r="AX223">
        <f t="shared" si="200"/>
        <v>-268839.13190557424</v>
      </c>
      <c r="AY223">
        <f t="shared" si="208"/>
        <v>-2.7363333417698876</v>
      </c>
      <c r="BA223">
        <f t="shared" si="184"/>
        <v>2.774977757275054</v>
      </c>
      <c r="BB223">
        <f t="shared" si="201"/>
        <v>8.8651901280465459</v>
      </c>
      <c r="BC223">
        <f t="shared" si="202"/>
        <v>1.0045727320992432</v>
      </c>
      <c r="BD223">
        <f t="shared" si="185"/>
        <v>-122.44222217101769</v>
      </c>
      <c r="BF223">
        <f t="shared" si="186"/>
        <v>2.3961132138158594</v>
      </c>
      <c r="BG223">
        <f t="shared" si="187"/>
        <v>-112.00896941095846</v>
      </c>
      <c r="BH223">
        <f t="shared" si="203"/>
        <v>67.991030589041543</v>
      </c>
      <c r="BI223">
        <f t="shared" si="204"/>
        <v>67.991030589041543</v>
      </c>
      <c r="BJ223">
        <f t="shared" si="188"/>
        <v>0</v>
      </c>
      <c r="BK223">
        <f t="shared" si="205"/>
        <v>0</v>
      </c>
      <c r="BM223">
        <f t="shared" si="206"/>
        <v>-6.4690769142306852</v>
      </c>
      <c r="BN223">
        <f t="shared" si="189"/>
        <v>-169.56674723994075</v>
      </c>
      <c r="BQ223" s="75">
        <f t="shared" si="207"/>
        <v>25.767150928331684</v>
      </c>
      <c r="BR223" s="80"/>
      <c r="BS223" s="80"/>
      <c r="BT223" s="80">
        <v>13489.629000000001</v>
      </c>
      <c r="BU223" s="80">
        <v>-3.8779599999999999</v>
      </c>
      <c r="BV223" s="80">
        <v>-197.578</v>
      </c>
      <c r="BW223" s="84"/>
      <c r="BY223" s="80"/>
      <c r="BZ223" s="80"/>
      <c r="CA223" s="80"/>
      <c r="CC223" s="80"/>
    </row>
    <row r="224" spans="1:81">
      <c r="A224">
        <f t="shared" si="190"/>
        <v>95000</v>
      </c>
      <c r="B224">
        <f t="shared" si="191"/>
        <v>95</v>
      </c>
      <c r="C224">
        <f t="shared" si="159"/>
        <v>1.0061442753771346</v>
      </c>
      <c r="D224">
        <f t="shared" si="160"/>
        <v>0.11057105723128825</v>
      </c>
      <c r="F224">
        <f t="shared" si="161"/>
        <v>5.1863355572328254E-2</v>
      </c>
      <c r="G224">
        <f t="shared" si="162"/>
        <v>7.1683149479998751E-2</v>
      </c>
      <c r="H224">
        <f t="shared" si="163"/>
        <v>-3.0699095005200014</v>
      </c>
      <c r="J224">
        <f t="shared" si="164"/>
        <v>9</v>
      </c>
      <c r="M224">
        <f t="shared" si="165"/>
        <v>4.4428640934425861E-2</v>
      </c>
      <c r="N224">
        <f t="shared" si="166"/>
        <v>-1.5707963250000001</v>
      </c>
      <c r="O224">
        <f t="shared" si="167"/>
        <v>12.258259401909029</v>
      </c>
      <c r="P224">
        <f t="shared" si="168"/>
        <v>1.4891279223209424</v>
      </c>
      <c r="Q224">
        <f t="shared" si="169"/>
        <v>5.0877083155157532</v>
      </c>
      <c r="R224">
        <f t="shared" si="170"/>
        <v>1.3729560991007415</v>
      </c>
      <c r="S224">
        <f t="shared" si="171"/>
        <v>0.99795713739705683</v>
      </c>
      <c r="T224">
        <f t="shared" si="172"/>
        <v>-6.3930564365364678E-2</v>
      </c>
      <c r="U224">
        <f t="shared" si="173"/>
        <v>0.99505765296215098</v>
      </c>
      <c r="V224">
        <f t="shared" si="174"/>
        <v>-9.9462792483902399E-2</v>
      </c>
      <c r="X224">
        <f t="shared" si="192"/>
        <v>2.2267511128379511</v>
      </c>
      <c r="Y224">
        <f t="shared" si="175"/>
        <v>-104.93401767696818</v>
      </c>
      <c r="Z224">
        <f t="shared" si="193"/>
        <v>75.065982323031818</v>
      </c>
      <c r="AC224">
        <v>1</v>
      </c>
      <c r="AD224">
        <f t="shared" si="176"/>
        <v>12.217402488438001</v>
      </c>
      <c r="AE224">
        <f t="shared" si="177"/>
        <v>-4.0838556378793729E-5</v>
      </c>
      <c r="AF224">
        <f t="shared" si="178"/>
        <v>4.092364249596E-4</v>
      </c>
      <c r="AG224">
        <f t="shared" si="194"/>
        <v>29318.3274840913</v>
      </c>
      <c r="AH224">
        <f t="shared" si="195"/>
        <v>-5369.3122993827365</v>
      </c>
      <c r="AJ224">
        <f t="shared" si="179"/>
        <v>55000</v>
      </c>
      <c r="AK224">
        <f t="shared" si="180"/>
        <v>3520.9792323956253</v>
      </c>
      <c r="AL224">
        <v>1</v>
      </c>
      <c r="AM224">
        <f t="shared" si="181"/>
        <v>4.9884642831003756</v>
      </c>
      <c r="AN224">
        <f t="shared" si="196"/>
        <v>2803.3574411505838</v>
      </c>
      <c r="AO224">
        <f t="shared" si="197"/>
        <v>-10463.469235547725</v>
      </c>
      <c r="AQ224">
        <f t="shared" si="182"/>
        <v>1.2610148244117119</v>
      </c>
      <c r="AR224">
        <f t="shared" si="183"/>
        <v>-63.132707184172347</v>
      </c>
      <c r="AT224">
        <f t="shared" si="209"/>
        <v>-302008.375592909</v>
      </c>
      <c r="AU224">
        <f t="shared" si="210"/>
        <v>-1857716.1665892261</v>
      </c>
      <c r="AV224">
        <f t="shared" si="198"/>
        <v>-1.7319561456546093</v>
      </c>
      <c r="AW224">
        <f t="shared" si="199"/>
        <v>-620083.41181807674</v>
      </c>
      <c r="AX224">
        <f t="shared" si="200"/>
        <v>-265987.11713632336</v>
      </c>
      <c r="AY224">
        <f t="shared" si="208"/>
        <v>-2.7363778995450203</v>
      </c>
      <c r="BA224">
        <f t="shared" si="184"/>
        <v>2.7894436243755352</v>
      </c>
      <c r="BB224">
        <f t="shared" si="201"/>
        <v>8.9103517718553213</v>
      </c>
      <c r="BC224">
        <f t="shared" si="202"/>
        <v>1.004421753890411</v>
      </c>
      <c r="BD224">
        <f t="shared" si="185"/>
        <v>-122.45087258519212</v>
      </c>
      <c r="BF224">
        <f t="shared" si="186"/>
        <v>2.3456194177331486</v>
      </c>
      <c r="BG224">
        <f t="shared" si="187"/>
        <v>-112.00847573019828</v>
      </c>
      <c r="BH224">
        <f t="shared" si="203"/>
        <v>67.991524269801715</v>
      </c>
      <c r="BI224">
        <f t="shared" si="204"/>
        <v>67.991524269801715</v>
      </c>
      <c r="BJ224">
        <f t="shared" si="188"/>
        <v>0</v>
      </c>
      <c r="BK224">
        <f t="shared" si="205"/>
        <v>0</v>
      </c>
      <c r="BM224">
        <f t="shared" si="206"/>
        <v>-6.5647323541221727</v>
      </c>
      <c r="BN224">
        <f t="shared" si="189"/>
        <v>-169.55760314500617</v>
      </c>
      <c r="BQ224" s="75">
        <f t="shared" si="207"/>
        <v>25.812312572140456</v>
      </c>
      <c r="BR224" s="80"/>
      <c r="BS224" s="80"/>
      <c r="BT224" s="80">
        <v>13803.843000000001</v>
      </c>
      <c r="BU224" s="80">
        <v>-4.0306600000000001</v>
      </c>
      <c r="BV224" s="80">
        <v>-195.64599999999999</v>
      </c>
      <c r="BW224" s="84"/>
      <c r="BY224" s="80"/>
      <c r="BZ224" s="80"/>
      <c r="CA224" s="80"/>
      <c r="CC224" s="80"/>
    </row>
    <row r="225" spans="1:81">
      <c r="A225">
        <f t="shared" si="190"/>
        <v>95500</v>
      </c>
      <c r="B225">
        <f t="shared" si="191"/>
        <v>95.5</v>
      </c>
      <c r="C225">
        <f t="shared" si="159"/>
        <v>1.0062089220830746</v>
      </c>
      <c r="D225">
        <f t="shared" si="160"/>
        <v>0.11114824140734703</v>
      </c>
      <c r="F225">
        <f t="shared" si="161"/>
        <v>5.1295326525954435E-2</v>
      </c>
      <c r="G225">
        <f t="shared" si="162"/>
        <v>7.1270492455091095E-2</v>
      </c>
      <c r="H225">
        <f t="shared" si="163"/>
        <v>-3.0703221575449091</v>
      </c>
      <c r="J225">
        <f t="shared" si="164"/>
        <v>9</v>
      </c>
      <c r="M225">
        <f t="shared" si="165"/>
        <v>4.4196030248905303E-2</v>
      </c>
      <c r="N225">
        <f t="shared" si="166"/>
        <v>-1.5707963250000001</v>
      </c>
      <c r="O225">
        <f t="shared" si="167"/>
        <v>12.322348317128849</v>
      </c>
      <c r="P225">
        <f t="shared" si="168"/>
        <v>1.4895536216888707</v>
      </c>
      <c r="Q225">
        <f t="shared" si="169"/>
        <v>5.1134538466924582</v>
      </c>
      <c r="R225">
        <f t="shared" si="170"/>
        <v>1.3739652980616355</v>
      </c>
      <c r="S225">
        <f t="shared" si="171"/>
        <v>0.99793564370802978</v>
      </c>
      <c r="T225">
        <f t="shared" si="172"/>
        <v>-6.4266117735166384E-2</v>
      </c>
      <c r="U225">
        <f t="shared" si="173"/>
        <v>0.99500588145417046</v>
      </c>
      <c r="V225">
        <f t="shared" si="174"/>
        <v>-9.9982808129338616E-2</v>
      </c>
      <c r="X225">
        <f t="shared" si="192"/>
        <v>2.1745547630129778</v>
      </c>
      <c r="Y225">
        <f t="shared" si="175"/>
        <v>-104.8913978409266</v>
      </c>
      <c r="Z225">
        <f t="shared" si="193"/>
        <v>75.108602159073399</v>
      </c>
      <c r="AC225">
        <v>1</v>
      </c>
      <c r="AD225">
        <f t="shared" si="176"/>
        <v>12.281704606798202</v>
      </c>
      <c r="AE225">
        <f t="shared" si="177"/>
        <v>-4.1269567181572692E-5</v>
      </c>
      <c r="AF225">
        <f t="shared" si="178"/>
        <v>4.1139030088044006E-4</v>
      </c>
      <c r="AG225">
        <f t="shared" si="194"/>
        <v>29315.276777361178</v>
      </c>
      <c r="AH225">
        <f t="shared" si="195"/>
        <v>-5371.6112890370114</v>
      </c>
      <c r="AJ225">
        <f t="shared" si="179"/>
        <v>55000</v>
      </c>
      <c r="AK225">
        <f t="shared" si="180"/>
        <v>3539.5107020398132</v>
      </c>
      <c r="AL225">
        <v>1</v>
      </c>
      <c r="AM225">
        <f t="shared" si="181"/>
        <v>5.0147193582745881</v>
      </c>
      <c r="AN225">
        <f t="shared" si="196"/>
        <v>2782.2890359817193</v>
      </c>
      <c r="AO225">
        <f t="shared" si="197"/>
        <v>-10412.887987012857</v>
      </c>
      <c r="AQ225">
        <f t="shared" si="182"/>
        <v>1.2478502443603481</v>
      </c>
      <c r="AR225">
        <f t="shared" si="183"/>
        <v>-62.802431023289785</v>
      </c>
      <c r="AT225">
        <f t="shared" si="209"/>
        <v>-300769.17217355024</v>
      </c>
      <c r="AU225">
        <f t="shared" si="210"/>
        <v>-1847773.6141985077</v>
      </c>
      <c r="AV225">
        <f t="shared" si="198"/>
        <v>-1.732154996537715</v>
      </c>
      <c r="AW225">
        <f t="shared" si="199"/>
        <v>-613608.81075185246</v>
      </c>
      <c r="AX225">
        <f t="shared" si="200"/>
        <v>-263186.76123708073</v>
      </c>
      <c r="AY225">
        <f t="shared" si="208"/>
        <v>-2.7364096287177766</v>
      </c>
      <c r="BA225">
        <f t="shared" si="184"/>
        <v>2.8039190721324743</v>
      </c>
      <c r="BB225">
        <f t="shared" si="201"/>
        <v>8.9553094937847142</v>
      </c>
      <c r="BC225">
        <f t="shared" si="202"/>
        <v>1.0042546321800616</v>
      </c>
      <c r="BD225">
        <f t="shared" si="185"/>
        <v>-122.46044795387108</v>
      </c>
      <c r="BF225">
        <f t="shared" si="186"/>
        <v>2.2954789349240574</v>
      </c>
      <c r="BG225">
        <f t="shared" si="187"/>
        <v>-112.00862438749023</v>
      </c>
      <c r="BH225">
        <f t="shared" si="203"/>
        <v>67.991375612509771</v>
      </c>
      <c r="BI225">
        <f t="shared" si="204"/>
        <v>67.991375612509771</v>
      </c>
      <c r="BJ225">
        <f t="shared" si="188"/>
        <v>0</v>
      </c>
      <c r="BK225">
        <f t="shared" si="205"/>
        <v>0</v>
      </c>
      <c r="BM225">
        <f t="shared" si="206"/>
        <v>-6.659830558860655</v>
      </c>
      <c r="BN225">
        <f t="shared" si="189"/>
        <v>-169.54817643361918</v>
      </c>
      <c r="BQ225" s="75">
        <f t="shared" si="207"/>
        <v>25.857270294069853</v>
      </c>
      <c r="BR225" s="80"/>
      <c r="BS225" s="80"/>
      <c r="BT225" s="80">
        <v>14125.375</v>
      </c>
      <c r="BU225" s="80">
        <v>-4.0179099999999996</v>
      </c>
      <c r="BV225" s="80">
        <v>-192.58199999999999</v>
      </c>
      <c r="BW225" s="84"/>
      <c r="BY225" s="80"/>
      <c r="BZ225" s="80"/>
      <c r="CA225" s="80"/>
      <c r="CC225" s="80"/>
    </row>
    <row r="226" spans="1:81">
      <c r="A226">
        <f t="shared" si="190"/>
        <v>96000</v>
      </c>
      <c r="B226">
        <f t="shared" si="191"/>
        <v>96</v>
      </c>
      <c r="C226">
        <f t="shared" si="159"/>
        <v>1.0062739039559021</v>
      </c>
      <c r="D226">
        <f t="shared" si="160"/>
        <v>0.1117253512303172</v>
      </c>
      <c r="F226">
        <f t="shared" si="161"/>
        <v>5.0736718384677318E-2</v>
      </c>
      <c r="G226">
        <f t="shared" si="162"/>
        <v>7.0862749656590535E-2</v>
      </c>
      <c r="H226">
        <f t="shared" si="163"/>
        <v>-3.0707299003434096</v>
      </c>
      <c r="J226">
        <f t="shared" si="164"/>
        <v>9</v>
      </c>
      <c r="M226">
        <f t="shared" si="165"/>
        <v>4.3965842591358925E-2</v>
      </c>
      <c r="N226">
        <f t="shared" si="166"/>
        <v>-1.5707963250000001</v>
      </c>
      <c r="O226">
        <f t="shared" si="167"/>
        <v>12.386439442295616</v>
      </c>
      <c r="P226">
        <f t="shared" si="168"/>
        <v>1.4899749157419648</v>
      </c>
      <c r="Q226">
        <f t="shared" si="169"/>
        <v>5.1392045336495862</v>
      </c>
      <c r="R226">
        <f t="shared" si="170"/>
        <v>1.3749643845728559</v>
      </c>
      <c r="S226">
        <f t="shared" si="171"/>
        <v>0.99791403859090555</v>
      </c>
      <c r="T226">
        <f t="shared" si="172"/>
        <v>-6.4601656613413661E-2</v>
      </c>
      <c r="U226">
        <f t="shared" si="173"/>
        <v>0.99495384632343753</v>
      </c>
      <c r="V226">
        <f t="shared" si="174"/>
        <v>-0.10050276952557537</v>
      </c>
      <c r="X226">
        <f t="shared" si="192"/>
        <v>2.1226989569799306</v>
      </c>
      <c r="Y226">
        <f t="shared" si="175"/>
        <v>-104.84932856865035</v>
      </c>
      <c r="Z226">
        <f t="shared" si="193"/>
        <v>75.15067143134965</v>
      </c>
      <c r="AC226">
        <v>1</v>
      </c>
      <c r="AD226">
        <f t="shared" si="176"/>
        <v>12.3460067251584</v>
      </c>
      <c r="AE226">
        <f t="shared" si="177"/>
        <v>-4.1702840508250749E-5</v>
      </c>
      <c r="AF226">
        <f t="shared" si="178"/>
        <v>4.1354417680128001E-4</v>
      </c>
      <c r="AG226">
        <f t="shared" si="194"/>
        <v>29312.210696243503</v>
      </c>
      <c r="AH226">
        <f t="shared" si="195"/>
        <v>-5374.0387902441998</v>
      </c>
      <c r="AJ226">
        <f t="shared" si="179"/>
        <v>55000</v>
      </c>
      <c r="AK226">
        <f t="shared" si="180"/>
        <v>3558.042171684001</v>
      </c>
      <c r="AL226">
        <v>1</v>
      </c>
      <c r="AM226">
        <f t="shared" si="181"/>
        <v>5.0409744334488007</v>
      </c>
      <c r="AN226">
        <f t="shared" si="196"/>
        <v>2761.5323476306767</v>
      </c>
      <c r="AO226">
        <f t="shared" si="197"/>
        <v>-10362.771789864086</v>
      </c>
      <c r="AQ226">
        <f t="shared" si="182"/>
        <v>1.2348907176234432</v>
      </c>
      <c r="AR226">
        <f t="shared" si="183"/>
        <v>-62.475591186005232</v>
      </c>
      <c r="AT226">
        <f t="shared" si="209"/>
        <v>-299548.87357521703</v>
      </c>
      <c r="AU226">
        <f t="shared" si="210"/>
        <v>-1837934.0428347797</v>
      </c>
      <c r="AV226">
        <f t="shared" si="198"/>
        <v>-1.732357110011808</v>
      </c>
      <c r="AW226">
        <f t="shared" si="199"/>
        <v>-607229.43338081951</v>
      </c>
      <c r="AX226">
        <f t="shared" si="200"/>
        <v>-260436.83824426</v>
      </c>
      <c r="AY226">
        <f t="shared" si="208"/>
        <v>-2.7364286911824767</v>
      </c>
      <c r="BA226">
        <f t="shared" si="184"/>
        <v>2.8184040599010158</v>
      </c>
      <c r="BB226">
        <f t="shared" si="201"/>
        <v>9.0000651154658389</v>
      </c>
      <c r="BC226">
        <f t="shared" si="202"/>
        <v>1.0040715811706686</v>
      </c>
      <c r="BD226">
        <f t="shared" si="185"/>
        <v>-122.4709360041569</v>
      </c>
      <c r="BF226">
        <f t="shared" si="186"/>
        <v>2.2456869854718562</v>
      </c>
      <c r="BG226">
        <f t="shared" si="187"/>
        <v>-112.00940842207416</v>
      </c>
      <c r="BH226">
        <f t="shared" si="203"/>
        <v>67.990591577925841</v>
      </c>
      <c r="BI226">
        <f t="shared" si="204"/>
        <v>67.990591577925841</v>
      </c>
      <c r="BJ226">
        <f t="shared" si="188"/>
        <v>0</v>
      </c>
      <c r="BK226">
        <f t="shared" si="205"/>
        <v>0</v>
      </c>
      <c r="BM226">
        <f t="shared" si="206"/>
        <v>-6.7543781299939827</v>
      </c>
      <c r="BN226">
        <f t="shared" si="189"/>
        <v>-169.53847241791726</v>
      </c>
      <c r="BQ226" s="75">
        <f t="shared" si="207"/>
        <v>25.902025915750976</v>
      </c>
      <c r="BR226" s="80"/>
      <c r="BS226" s="80"/>
      <c r="BT226" s="80">
        <v>14454.397999999999</v>
      </c>
      <c r="BU226" s="80">
        <v>-3.9652699999999999</v>
      </c>
      <c r="BV226" s="80">
        <v>-192.25399999999999</v>
      </c>
      <c r="BW226" s="84"/>
      <c r="BY226" s="80"/>
      <c r="BZ226" s="80"/>
      <c r="CA226" s="80"/>
      <c r="CC226" s="80"/>
    </row>
    <row r="227" spans="1:81">
      <c r="A227">
        <f t="shared" si="190"/>
        <v>96500</v>
      </c>
      <c r="B227">
        <f t="shared" si="191"/>
        <v>96.5</v>
      </c>
      <c r="C227">
        <f t="shared" si="159"/>
        <v>1.0063392209306901</v>
      </c>
      <c r="D227">
        <f t="shared" si="160"/>
        <v>0.11230238633022017</v>
      </c>
      <c r="F227">
        <f t="shared" si="161"/>
        <v>5.0187321038689128E-2</v>
      </c>
      <c r="G227">
        <f t="shared" si="162"/>
        <v>7.0459831050693728E-2</v>
      </c>
      <c r="H227">
        <f t="shared" si="163"/>
        <v>-3.0711328189493066</v>
      </c>
      <c r="J227">
        <f t="shared" si="164"/>
        <v>9</v>
      </c>
      <c r="M227">
        <f t="shared" si="165"/>
        <v>4.3738040298139449E-2</v>
      </c>
      <c r="N227">
        <f t="shared" si="166"/>
        <v>-1.5707963250000001</v>
      </c>
      <c r="O227">
        <f t="shared" si="167"/>
        <v>12.450532743281149</v>
      </c>
      <c r="P227">
        <f t="shared" si="168"/>
        <v>1.4903918723630232</v>
      </c>
      <c r="Q227">
        <f t="shared" si="169"/>
        <v>5.1649602992723791</v>
      </c>
      <c r="R227">
        <f t="shared" si="170"/>
        <v>1.3759535079060654</v>
      </c>
      <c r="S227">
        <f t="shared" si="171"/>
        <v>0.99789232206751588</v>
      </c>
      <c r="T227">
        <f t="shared" si="172"/>
        <v>-6.4937180925495969E-2</v>
      </c>
      <c r="U227">
        <f t="shared" si="173"/>
        <v>0.99490154769571237</v>
      </c>
      <c r="V227">
        <f t="shared" si="174"/>
        <v>-0.10102267639999209</v>
      </c>
      <c r="X227">
        <f t="shared" si="192"/>
        <v>2.0711790591087027</v>
      </c>
      <c r="Y227">
        <f t="shared" si="175"/>
        <v>-104.80780257796546</v>
      </c>
      <c r="Z227">
        <f t="shared" si="193"/>
        <v>75.192197422034539</v>
      </c>
      <c r="AC227">
        <v>1</v>
      </c>
      <c r="AD227">
        <f t="shared" si="176"/>
        <v>12.410308843518601</v>
      </c>
      <c r="AE227">
        <f t="shared" si="177"/>
        <v>-4.2138376358827901E-5</v>
      </c>
      <c r="AF227">
        <f t="shared" si="178"/>
        <v>4.1569805272212006E-4</v>
      </c>
      <c r="AG227">
        <f t="shared" si="194"/>
        <v>29309.129250584956</v>
      </c>
      <c r="AH227">
        <f t="shared" si="195"/>
        <v>-5376.5927082769558</v>
      </c>
      <c r="AJ227">
        <f t="shared" si="179"/>
        <v>55000</v>
      </c>
      <c r="AK227">
        <f t="shared" si="180"/>
        <v>3576.5736413281879</v>
      </c>
      <c r="AL227">
        <v>1</v>
      </c>
      <c r="AM227">
        <f t="shared" si="181"/>
        <v>5.0672295086230132</v>
      </c>
      <c r="AN227">
        <f t="shared" si="196"/>
        <v>2741.0813392915597</v>
      </c>
      <c r="AO227">
        <f t="shared" si="197"/>
        <v>-10313.114606665893</v>
      </c>
      <c r="AQ227">
        <f t="shared" si="182"/>
        <v>1.2221320081654445</v>
      </c>
      <c r="AR227">
        <f t="shared" si="183"/>
        <v>-62.152134341257764</v>
      </c>
      <c r="AT227">
        <f t="shared" si="209"/>
        <v>-298347.08731445833</v>
      </c>
      <c r="AU227">
        <f t="shared" si="210"/>
        <v>-1828195.8446512979</v>
      </c>
      <c r="AV227">
        <f t="shared" si="198"/>
        <v>-1.7325624348319768</v>
      </c>
      <c r="AW227">
        <f t="shared" si="199"/>
        <v>-600943.45200095209</v>
      </c>
      <c r="AX227">
        <f t="shared" si="200"/>
        <v>-257736.15752824754</v>
      </c>
      <c r="AY227">
        <f t="shared" si="208"/>
        <v>-2.7364352455313021</v>
      </c>
      <c r="BA227">
        <f t="shared" si="184"/>
        <v>2.8328985476805029</v>
      </c>
      <c r="BB227">
        <f t="shared" si="201"/>
        <v>9.0446204351918684</v>
      </c>
      <c r="BC227">
        <f t="shared" si="202"/>
        <v>1.0038728106993253</v>
      </c>
      <c r="BD227">
        <f t="shared" si="185"/>
        <v>-122.4823247132697</v>
      </c>
      <c r="BF227">
        <f t="shared" si="186"/>
        <v>2.1962388868604603</v>
      </c>
      <c r="BG227">
        <f t="shared" si="187"/>
        <v>-112.01082099092538</v>
      </c>
      <c r="BH227">
        <f t="shared" si="203"/>
        <v>67.989179009074618</v>
      </c>
      <c r="BI227">
        <f t="shared" si="204"/>
        <v>67.989179009074618</v>
      </c>
      <c r="BJ227">
        <f t="shared" si="188"/>
        <v>0</v>
      </c>
      <c r="BK227">
        <f t="shared" si="205"/>
        <v>0</v>
      </c>
      <c r="BM227">
        <f t="shared" si="206"/>
        <v>-6.8483815483314094</v>
      </c>
      <c r="BN227">
        <f t="shared" si="189"/>
        <v>-169.52849627765571</v>
      </c>
      <c r="BQ227" s="75">
        <f t="shared" si="207"/>
        <v>25.946581235477005</v>
      </c>
      <c r="BR227" s="80"/>
      <c r="BS227" s="80"/>
      <c r="BT227" s="80">
        <v>14791.084000000001</v>
      </c>
      <c r="BU227" s="80">
        <v>-3.9583900000000001</v>
      </c>
      <c r="BV227" s="80">
        <v>-191.02600000000001</v>
      </c>
      <c r="BW227" s="84"/>
      <c r="BY227" s="80"/>
      <c r="BZ227" s="80"/>
      <c r="CA227" s="80"/>
      <c r="CC227" s="80"/>
    </row>
    <row r="228" spans="1:81">
      <c r="A228">
        <f t="shared" si="190"/>
        <v>97000</v>
      </c>
      <c r="B228">
        <f t="shared" si="191"/>
        <v>97</v>
      </c>
      <c r="C228">
        <f t="shared" si="159"/>
        <v>1.0064048729421922</v>
      </c>
      <c r="D228">
        <f t="shared" si="160"/>
        <v>0.11287934633737221</v>
      </c>
      <c r="F228">
        <f t="shared" si="161"/>
        <v>4.9646930278894268E-2</v>
      </c>
      <c r="G228">
        <f t="shared" si="162"/>
        <v>7.0061648840834573E-2</v>
      </c>
      <c r="H228">
        <f t="shared" si="163"/>
        <v>-3.0715310011591654</v>
      </c>
      <c r="J228">
        <f t="shared" si="164"/>
        <v>9</v>
      </c>
      <c r="M228">
        <f t="shared" si="165"/>
        <v>4.3512586482169657E-2</v>
      </c>
      <c r="N228">
        <f t="shared" si="166"/>
        <v>-1.5707963250000001</v>
      </c>
      <c r="O228">
        <f t="shared" si="167"/>
        <v>12.514628186655278</v>
      </c>
      <c r="P228">
        <f t="shared" si="168"/>
        <v>1.4908045580502625</v>
      </c>
      <c r="Q228">
        <f t="shared" si="169"/>
        <v>5.1907210679615599</v>
      </c>
      <c r="R228">
        <f t="shared" si="170"/>
        <v>1.3769328144485367</v>
      </c>
      <c r="S228">
        <f t="shared" si="171"/>
        <v>0.99787049415980122</v>
      </c>
      <c r="T228">
        <f t="shared" si="172"/>
        <v>-6.5272690596822378E-2</v>
      </c>
      <c r="U228">
        <f t="shared" si="173"/>
        <v>0.99484898569735614</v>
      </c>
      <c r="V228">
        <f t="shared" si="174"/>
        <v>-0.10154252848014324</v>
      </c>
      <c r="X228">
        <f t="shared" si="192"/>
        <v>2.0199905288239624</v>
      </c>
      <c r="Y228">
        <f t="shared" si="175"/>
        <v>-104.76681270310227</v>
      </c>
      <c r="Z228">
        <f t="shared" si="193"/>
        <v>75.233187296897725</v>
      </c>
      <c r="AC228">
        <v>1</v>
      </c>
      <c r="AD228">
        <f t="shared" si="176"/>
        <v>12.474610961878803</v>
      </c>
      <c r="AE228">
        <f t="shared" si="177"/>
        <v>-4.2576174733304167E-5</v>
      </c>
      <c r="AF228">
        <f t="shared" si="178"/>
        <v>4.1785192864296001E-4</v>
      </c>
      <c r="AG228">
        <f t="shared" si="194"/>
        <v>29306.032450278482</v>
      </c>
      <c r="AH228">
        <f t="shared" si="195"/>
        <v>-5379.2709911446964</v>
      </c>
      <c r="AJ228">
        <f t="shared" si="179"/>
        <v>55000</v>
      </c>
      <c r="AK228">
        <f t="shared" si="180"/>
        <v>3595.1051109723753</v>
      </c>
      <c r="AL228">
        <v>1</v>
      </c>
      <c r="AM228">
        <f t="shared" si="181"/>
        <v>5.0934845837972249</v>
      </c>
      <c r="AN228">
        <f t="shared" si="196"/>
        <v>2720.9301175416635</v>
      </c>
      <c r="AO228">
        <f t="shared" si="197"/>
        <v>-10263.910496315661</v>
      </c>
      <c r="AQ228">
        <f t="shared" si="182"/>
        <v>1.20956998876088</v>
      </c>
      <c r="AR228">
        <f t="shared" si="183"/>
        <v>-61.832008255467422</v>
      </c>
      <c r="AT228">
        <f t="shared" si="209"/>
        <v>-297163.43099134596</v>
      </c>
      <c r="AU228">
        <f t="shared" si="210"/>
        <v>-1818557.4451529158</v>
      </c>
      <c r="AV228">
        <f t="shared" si="198"/>
        <v>-1.7327709207896207</v>
      </c>
      <c r="AW228">
        <f t="shared" si="199"/>
        <v>-594749.08181853511</v>
      </c>
      <c r="AX228">
        <f t="shared" si="200"/>
        <v>-255083.56260607304</v>
      </c>
      <c r="AY228">
        <f t="shared" si="208"/>
        <v>-2.736429447133895</v>
      </c>
      <c r="BA228">
        <f t="shared" si="184"/>
        <v>2.8474024960853481</v>
      </c>
      <c r="BB228">
        <f t="shared" si="201"/>
        <v>9.0889772282476358</v>
      </c>
      <c r="BC228">
        <f t="shared" si="202"/>
        <v>1.0036585263442743</v>
      </c>
      <c r="BD228">
        <f t="shared" si="185"/>
        <v>-122.49460230244384</v>
      </c>
      <c r="BF228">
        <f t="shared" si="186"/>
        <v>2.14713005131222</v>
      </c>
      <c r="BG228">
        <f t="shared" si="187"/>
        <v>-112.0128553668323</v>
      </c>
      <c r="BH228">
        <f t="shared" si="203"/>
        <v>67.987144633167702</v>
      </c>
      <c r="BI228">
        <f t="shared" si="204"/>
        <v>67.987144633167702</v>
      </c>
      <c r="BJ228">
        <f t="shared" si="188"/>
        <v>0</v>
      </c>
      <c r="BK228">
        <f t="shared" si="205"/>
        <v>0</v>
      </c>
      <c r="BM228">
        <f t="shared" si="206"/>
        <v>-6.9418471769354166</v>
      </c>
      <c r="BN228">
        <f t="shared" si="189"/>
        <v>-169.51825306438846</v>
      </c>
      <c r="BQ228" s="75">
        <f t="shared" si="207"/>
        <v>25.990938028532771</v>
      </c>
      <c r="BR228" s="80"/>
      <c r="BS228" s="80"/>
      <c r="BT228" s="80">
        <v>15135.611999999999</v>
      </c>
      <c r="BU228" s="80">
        <v>-3.8792200000000001</v>
      </c>
      <c r="BV228" s="80">
        <v>-189.453</v>
      </c>
      <c r="BW228" s="84"/>
      <c r="BY228" s="80"/>
      <c r="BZ228" s="80"/>
      <c r="CA228" s="80"/>
      <c r="CC228" s="80"/>
    </row>
    <row r="229" spans="1:81">
      <c r="A229">
        <f t="shared" si="190"/>
        <v>97500</v>
      </c>
      <c r="B229">
        <f t="shared" si="191"/>
        <v>97.5</v>
      </c>
      <c r="C229">
        <f t="shared" si="159"/>
        <v>1.0064708599248455</v>
      </c>
      <c r="D229">
        <f t="shared" si="160"/>
        <v>0.11345623088238573</v>
      </c>
      <c r="F229">
        <f t="shared" si="161"/>
        <v>4.9115347596830422E-2</v>
      </c>
      <c r="G229">
        <f t="shared" si="162"/>
        <v>6.9668117397484866E-2</v>
      </c>
      <c r="H229">
        <f t="shared" si="163"/>
        <v>-3.0719245326025155</v>
      </c>
      <c r="J229">
        <f t="shared" si="164"/>
        <v>9</v>
      </c>
      <c r="M229">
        <f t="shared" si="165"/>
        <v>4.3289445013030323E-2</v>
      </c>
      <c r="N229">
        <f t="shared" si="166"/>
        <v>-1.5707963250000001</v>
      </c>
      <c r="O229">
        <f t="shared" si="167"/>
        <v>12.578725739668098</v>
      </c>
      <c r="P229">
        <f t="shared" si="168"/>
        <v>1.4912130379523638</v>
      </c>
      <c r="Q229">
        <f t="shared" si="169"/>
        <v>5.216486765596648</v>
      </c>
      <c r="R229">
        <f t="shared" si="170"/>
        <v>1.3779024477715134</v>
      </c>
      <c r="S229">
        <f t="shared" si="171"/>
        <v>0.99784855488981339</v>
      </c>
      <c r="T229">
        <f t="shared" si="172"/>
        <v>-6.5608185552821677E-2</v>
      </c>
      <c r="U229">
        <f t="shared" si="173"/>
        <v>0.99479616045533037</v>
      </c>
      <c r="V229">
        <f t="shared" si="174"/>
        <v>-0.10206232549375922</v>
      </c>
      <c r="X229">
        <f t="shared" si="192"/>
        <v>1.9691289180330098</v>
      </c>
      <c r="Y229">
        <f t="shared" si="175"/>
        <v>-104.72635189279231</v>
      </c>
      <c r="Z229">
        <f t="shared" si="193"/>
        <v>75.273648107207691</v>
      </c>
      <c r="AC229">
        <v>1</v>
      </c>
      <c r="AD229">
        <f t="shared" si="176"/>
        <v>12.538913080239</v>
      </c>
      <c r="AE229">
        <f t="shared" si="177"/>
        <v>-4.3016235631679536E-5</v>
      </c>
      <c r="AF229">
        <f t="shared" si="178"/>
        <v>4.2000580456380007E-4</v>
      </c>
      <c r="AG229">
        <f t="shared" si="194"/>
        <v>29302.920305263069</v>
      </c>
      <c r="AH229">
        <f t="shared" si="195"/>
        <v>-5382.071628498521</v>
      </c>
      <c r="AJ229">
        <f t="shared" si="179"/>
        <v>55000</v>
      </c>
      <c r="AK229">
        <f t="shared" si="180"/>
        <v>3613.6365806165632</v>
      </c>
      <c r="AL229">
        <v>1</v>
      </c>
      <c r="AM229">
        <f t="shared" si="181"/>
        <v>5.1197396589714375</v>
      </c>
      <c r="AN229">
        <f t="shared" si="196"/>
        <v>2701.0729283353526</v>
      </c>
      <c r="AO229">
        <f t="shared" si="197"/>
        <v>-10215.153612356058</v>
      </c>
      <c r="AQ229">
        <f t="shared" si="182"/>
        <v>1.1972006376579485</v>
      </c>
      <c r="AR229">
        <f t="shared" si="183"/>
        <v>-61.515161764459535</v>
      </c>
      <c r="AT229">
        <f t="shared" si="209"/>
        <v>-295997.53198029369</v>
      </c>
      <c r="AU229">
        <f t="shared" si="210"/>
        <v>-1809017.302334883</v>
      </c>
      <c r="AV229">
        <f t="shared" si="198"/>
        <v>-1.7329825186863328</v>
      </c>
      <c r="AW229">
        <f t="shared" si="199"/>
        <v>-588644.57976932463</v>
      </c>
      <c r="AX229">
        <f t="shared" si="200"/>
        <v>-252477.92999941343</v>
      </c>
      <c r="AY229">
        <f t="shared" si="208"/>
        <v>-2.7364114482147111</v>
      </c>
      <c r="BA229">
        <f t="shared" si="184"/>
        <v>2.8619158663166342</v>
      </c>
      <c r="BB229">
        <f t="shared" si="201"/>
        <v>9.1331372472347567</v>
      </c>
      <c r="BC229">
        <f t="shared" si="202"/>
        <v>1.0034289295283783</v>
      </c>
      <c r="BD229">
        <f t="shared" si="185"/>
        <v>-122.50775723099935</v>
      </c>
      <c r="BF229">
        <f t="shared" si="186"/>
        <v>2.0983559832147605</v>
      </c>
      <c r="BG229">
        <f t="shared" si="187"/>
        <v>-112.01550493648985</v>
      </c>
      <c r="BH229">
        <f t="shared" si="203"/>
        <v>67.984495063510153</v>
      </c>
      <c r="BI229">
        <f t="shared" si="204"/>
        <v>67.984495063510153</v>
      </c>
      <c r="BJ229">
        <f t="shared" si="188"/>
        <v>0</v>
      </c>
      <c r="BK229">
        <f t="shared" si="205"/>
        <v>0</v>
      </c>
      <c r="BM229">
        <f t="shared" si="206"/>
        <v>-7.0347812640199967</v>
      </c>
      <c r="BN229">
        <f t="shared" si="189"/>
        <v>-169.50774770549049</v>
      </c>
      <c r="BQ229" s="75">
        <f t="shared" si="207"/>
        <v>26.035098047519895</v>
      </c>
      <c r="BR229" s="80"/>
      <c r="BS229" s="80"/>
      <c r="BT229" s="80">
        <v>15488.165999999999</v>
      </c>
      <c r="BU229" s="80">
        <v>-3.9822899999999999</v>
      </c>
      <c r="BV229" s="80">
        <v>-188.48099999999999</v>
      </c>
      <c r="BW229" s="84"/>
      <c r="BY229" s="80"/>
      <c r="BZ229" s="80"/>
      <c r="CA229" s="80"/>
      <c r="CC229" s="80"/>
    </row>
    <row r="230" spans="1:81">
      <c r="A230">
        <f t="shared" si="190"/>
        <v>98000</v>
      </c>
      <c r="B230">
        <f t="shared" si="191"/>
        <v>98</v>
      </c>
      <c r="C230">
        <f t="shared" si="159"/>
        <v>1.0065371818127695</v>
      </c>
      <c r="D230">
        <f t="shared" si="160"/>
        <v>0.11403303959617073</v>
      </c>
      <c r="F230">
        <f t="shared" si="161"/>
        <v>4.85923799925429E-2</v>
      </c>
      <c r="G230">
        <f t="shared" si="162"/>
        <v>6.9279153190611037E-2</v>
      </c>
      <c r="H230">
        <f t="shared" si="163"/>
        <v>-3.072313496809389</v>
      </c>
      <c r="J230">
        <f t="shared" si="164"/>
        <v>9</v>
      </c>
      <c r="M230">
        <f t="shared" si="165"/>
        <v>4.3068580497657723E-2</v>
      </c>
      <c r="N230">
        <f t="shared" si="166"/>
        <v>-1.5707963250000001</v>
      </c>
      <c r="O230">
        <f t="shared" si="167"/>
        <v>12.642825370232794</v>
      </c>
      <c r="P230">
        <f t="shared" si="168"/>
        <v>1.491617375902462</v>
      </c>
      <c r="Q230">
        <f t="shared" si="169"/>
        <v>5.2422573195003279</v>
      </c>
      <c r="R230">
        <f t="shared" si="170"/>
        <v>1.3788625486966661</v>
      </c>
      <c r="S230">
        <f t="shared" si="171"/>
        <v>0.9978265042797132</v>
      </c>
      <c r="T230">
        <f t="shared" si="172"/>
        <v>-6.594366571894239E-2</v>
      </c>
      <c r="U230">
        <f t="shared" si="173"/>
        <v>0.99474307209719681</v>
      </c>
      <c r="V230">
        <f t="shared" si="174"/>
        <v>-0.10258206716874714</v>
      </c>
      <c r="X230">
        <f t="shared" si="192"/>
        <v>1.9185898686391498</v>
      </c>
      <c r="Y230">
        <f t="shared" si="175"/>
        <v>-104.68641320838347</v>
      </c>
      <c r="Z230">
        <f t="shared" si="193"/>
        <v>75.31358679161653</v>
      </c>
      <c r="AC230">
        <v>1</v>
      </c>
      <c r="AD230">
        <f t="shared" si="176"/>
        <v>12.603215198599203</v>
      </c>
      <c r="AE230">
        <f t="shared" si="177"/>
        <v>-4.3458559053953999E-5</v>
      </c>
      <c r="AF230">
        <f t="shared" si="178"/>
        <v>4.2215968048464001E-4</v>
      </c>
      <c r="AG230">
        <f t="shared" si="194"/>
        <v>29299.792825523884</v>
      </c>
      <c r="AH230">
        <f t="shared" si="195"/>
        <v>-5384.9926505697185</v>
      </c>
      <c r="AJ230">
        <f t="shared" si="179"/>
        <v>55000</v>
      </c>
      <c r="AK230">
        <f t="shared" si="180"/>
        <v>3632.1680502607501</v>
      </c>
      <c r="AL230">
        <v>1</v>
      </c>
      <c r="AM230">
        <f t="shared" si="181"/>
        <v>5.1459947341456509</v>
      </c>
      <c r="AN230">
        <f t="shared" si="196"/>
        <v>2681.5041531257971</v>
      </c>
      <c r="AO230">
        <f t="shared" si="197"/>
        <v>-10166.838201314296</v>
      </c>
      <c r="AQ230">
        <f t="shared" si="182"/>
        <v>1.1850200353608478</v>
      </c>
      <c r="AR230">
        <f t="shared" si="183"/>
        <v>-61.201544746246348</v>
      </c>
      <c r="AT230">
        <f t="shared" si="209"/>
        <v>-294849.0271318825</v>
      </c>
      <c r="AU230">
        <f t="shared" si="210"/>
        <v>-1799573.9058482437</v>
      </c>
      <c r="AV230">
        <f t="shared" si="198"/>
        <v>-1.7331971803085653</v>
      </c>
      <c r="AW230">
        <f t="shared" si="199"/>
        <v>-582628.24337464885</v>
      </c>
      <c r="AX230">
        <f t="shared" si="200"/>
        <v>-249918.16813600375</v>
      </c>
      <c r="AY230">
        <f t="shared" si="208"/>
        <v>-2.7363813979281977</v>
      </c>
      <c r="BA230">
        <f t="shared" si="184"/>
        <v>2.8764386201344667</v>
      </c>
      <c r="BB230">
        <f t="shared" si="201"/>
        <v>9.1771022223924472</v>
      </c>
      <c r="BC230">
        <f t="shared" si="202"/>
        <v>1.0031842176196324</v>
      </c>
      <c r="BD230">
        <f t="shared" si="185"/>
        <v>-122.52177819058311</v>
      </c>
      <c r="BF230">
        <f t="shared" si="186"/>
        <v>2.0499122766334055</v>
      </c>
      <c r="BG230">
        <f t="shared" si="187"/>
        <v>-112.01876319861056</v>
      </c>
      <c r="BH230">
        <f t="shared" si="203"/>
        <v>67.981236801389443</v>
      </c>
      <c r="BI230">
        <f t="shared" si="204"/>
        <v>67.981236801389443</v>
      </c>
      <c r="BJ230">
        <f t="shared" si="188"/>
        <v>0</v>
      </c>
      <c r="BK230">
        <f t="shared" si="205"/>
        <v>0</v>
      </c>
      <c r="BM230">
        <f t="shared" si="206"/>
        <v>-7.1271899457590404</v>
      </c>
      <c r="BN230">
        <f t="shared" si="189"/>
        <v>-169.49698500802742</v>
      </c>
      <c r="BQ230" s="75">
        <f t="shared" si="207"/>
        <v>26.07906302267758</v>
      </c>
      <c r="BR230" s="80"/>
      <c r="BS230" s="80"/>
      <c r="BT230" s="80">
        <v>15848.932000000001</v>
      </c>
      <c r="BU230" s="80">
        <v>-3.9450400000000001</v>
      </c>
      <c r="BV230" s="80">
        <v>-186.14400000000001</v>
      </c>
      <c r="BW230" s="84"/>
      <c r="BY230" s="80"/>
      <c r="BZ230" s="80"/>
      <c r="CA230" s="80"/>
      <c r="CC230" s="80"/>
    </row>
    <row r="231" spans="1:81">
      <c r="A231">
        <f t="shared" si="190"/>
        <v>98500</v>
      </c>
      <c r="B231">
        <f t="shared" si="191"/>
        <v>98.5</v>
      </c>
      <c r="C231">
        <f t="shared" si="159"/>
        <v>1.0066038385397666</v>
      </c>
      <c r="D231">
        <f t="shared" si="160"/>
        <v>0.11460977210993599</v>
      </c>
      <c r="F231">
        <f t="shared" si="161"/>
        <v>4.8077839790050071E-2</v>
      </c>
      <c r="G231">
        <f t="shared" si="162"/>
        <v>6.8894674724669355E-2</v>
      </c>
      <c r="H231">
        <f t="shared" si="163"/>
        <v>-3.072697975275331</v>
      </c>
      <c r="J231">
        <f t="shared" si="164"/>
        <v>9</v>
      </c>
      <c r="M231">
        <f t="shared" si="165"/>
        <v>4.2849958261629004E-2</v>
      </c>
      <c r="N231">
        <f t="shared" si="166"/>
        <v>-1.5707963250000001</v>
      </c>
      <c r="O231">
        <f t="shared" si="167"/>
        <v>12.706927046908955</v>
      </c>
      <c r="P231">
        <f t="shared" si="168"/>
        <v>1.4920176344511156</v>
      </c>
      <c r="Q231">
        <f t="shared" si="169"/>
        <v>5.2680326584038326</v>
      </c>
      <c r="R231">
        <f t="shared" si="170"/>
        <v>1.3798132553607039</v>
      </c>
      <c r="S231">
        <f t="shared" si="171"/>
        <v>0.9978043423517714</v>
      </c>
      <c r="T231">
        <f t="shared" si="172"/>
        <v>-6.6279131020652984E-2</v>
      </c>
      <c r="U231">
        <f t="shared" si="173"/>
        <v>0.99468972075111539</v>
      </c>
      <c r="V231">
        <f t="shared" si="174"/>
        <v>-0.10310175323319155</v>
      </c>
      <c r="X231">
        <f t="shared" si="192"/>
        <v>1.8683691101373356</v>
      </c>
      <c r="Y231">
        <f t="shared" si="175"/>
        <v>-104.64698982197311</v>
      </c>
      <c r="Z231">
        <f t="shared" si="193"/>
        <v>75.353010178026892</v>
      </c>
      <c r="AC231">
        <v>1</v>
      </c>
      <c r="AD231">
        <f t="shared" si="176"/>
        <v>12.667517316959401</v>
      </c>
      <c r="AE231">
        <f t="shared" si="177"/>
        <v>-4.3903145000127576E-5</v>
      </c>
      <c r="AF231">
        <f t="shared" si="178"/>
        <v>4.2431355640548007E-4</v>
      </c>
      <c r="AG231">
        <f t="shared" si="194"/>
        <v>29296.650021091944</v>
      </c>
      <c r="AH231">
        <f t="shared" si="195"/>
        <v>-5388.0321271405492</v>
      </c>
      <c r="AJ231">
        <f t="shared" si="179"/>
        <v>55000</v>
      </c>
      <c r="AK231">
        <f t="shared" si="180"/>
        <v>3650.6995199049379</v>
      </c>
      <c r="AL231">
        <v>1</v>
      </c>
      <c r="AM231">
        <f t="shared" si="181"/>
        <v>5.1722498093198634</v>
      </c>
      <c r="AN231">
        <f t="shared" si="196"/>
        <v>2662.2183051099955</v>
      </c>
      <c r="AO231">
        <f t="shared" si="197"/>
        <v>-10118.958601068087</v>
      </c>
      <c r="AQ231">
        <f t="shared" si="182"/>
        <v>1.1730243615260281</v>
      </c>
      <c r="AR231">
        <f t="shared" si="183"/>
        <v>-60.891108094635349</v>
      </c>
      <c r="AT231">
        <f t="shared" si="209"/>
        <v>-293717.56248524034</v>
      </c>
      <c r="AU231">
        <f t="shared" si="210"/>
        <v>-1790225.7761908313</v>
      </c>
      <c r="AV231">
        <f t="shared" si="198"/>
        <v>-1.7334148584030526</v>
      </c>
      <c r="AW231">
        <f t="shared" si="199"/>
        <v>-576698.40963316022</v>
      </c>
      <c r="AX231">
        <f t="shared" si="200"/>
        <v>-247403.21629260894</v>
      </c>
      <c r="AY231">
        <f t="shared" si="208"/>
        <v>-2.7363394424318646</v>
      </c>
      <c r="BA231">
        <f t="shared" si="184"/>
        <v>2.890970719831004</v>
      </c>
      <c r="BB231">
        <f t="shared" si="201"/>
        <v>9.2208738619138852</v>
      </c>
      <c r="BC231">
        <f t="shared" si="202"/>
        <v>1.0029245840288119</v>
      </c>
      <c r="BD231">
        <f t="shared" si="185"/>
        <v>-122.53665409957395</v>
      </c>
      <c r="BF231">
        <f t="shared" si="186"/>
        <v>2.0017946129058286</v>
      </c>
      <c r="BG231">
        <f t="shared" si="187"/>
        <v>-112.02262376205421</v>
      </c>
      <c r="BH231">
        <f t="shared" si="203"/>
        <v>67.977376237945791</v>
      </c>
      <c r="BI231">
        <f t="shared" si="204"/>
        <v>67.977376237945791</v>
      </c>
      <c r="BJ231">
        <f t="shared" si="188"/>
        <v>0</v>
      </c>
      <c r="BK231">
        <f t="shared" si="205"/>
        <v>0</v>
      </c>
      <c r="BM231">
        <f t="shared" si="206"/>
        <v>-7.2190792490080566</v>
      </c>
      <c r="BN231">
        <f t="shared" si="189"/>
        <v>-169.48596966248027</v>
      </c>
      <c r="BQ231" s="75">
        <f t="shared" si="207"/>
        <v>26.122834662199026</v>
      </c>
      <c r="BR231" s="80"/>
      <c r="BS231" s="80"/>
      <c r="BT231" s="80">
        <v>16218.101000000001</v>
      </c>
      <c r="BU231" s="80">
        <v>-3.9639700000000002</v>
      </c>
      <c r="BV231" s="80">
        <v>-185.626</v>
      </c>
      <c r="BW231" s="84"/>
      <c r="BY231" s="80"/>
      <c r="BZ231" s="80"/>
      <c r="CA231" s="80"/>
      <c r="CC231" s="80"/>
    </row>
    <row r="232" spans="1:81">
      <c r="A232">
        <f t="shared" si="190"/>
        <v>99000</v>
      </c>
      <c r="B232">
        <f t="shared" si="191"/>
        <v>99</v>
      </c>
      <c r="C232">
        <f t="shared" si="159"/>
        <v>1.0066708300393228</v>
      </c>
      <c r="D232">
        <f t="shared" si="160"/>
        <v>0.11518642805519057</v>
      </c>
      <c r="F232">
        <f t="shared" si="161"/>
        <v>4.7571544460055418E-2</v>
      </c>
      <c r="G232">
        <f t="shared" si="162"/>
        <v>6.8514602476028558E-2</v>
      </c>
      <c r="H232">
        <f t="shared" si="163"/>
        <v>-3.0730780475239716</v>
      </c>
      <c r="J232">
        <f t="shared" si="164"/>
        <v>9</v>
      </c>
      <c r="M232">
        <f t="shared" si="165"/>
        <v>4.2633544331014718E-2</v>
      </c>
      <c r="N232">
        <f t="shared" si="166"/>
        <v>-1.5707963250000001</v>
      </c>
      <c r="O232">
        <f t="shared" si="167"/>
        <v>12.771030738886425</v>
      </c>
      <c r="P232">
        <f t="shared" si="168"/>
        <v>1.4924138748982914</v>
      </c>
      <c r="Q232">
        <f t="shared" si="169"/>
        <v>5.2938127124133088</v>
      </c>
      <c r="R232">
        <f t="shared" si="170"/>
        <v>1.3807547032781966</v>
      </c>
      <c r="S232">
        <f t="shared" si="171"/>
        <v>0.99778206912836931</v>
      </c>
      <c r="T232">
        <f t="shared" si="172"/>
        <v>-6.6614581383441882E-2</v>
      </c>
      <c r="U232">
        <f t="shared" si="173"/>
        <v>0.99463610654584445</v>
      </c>
      <c r="V232">
        <f t="shared" si="174"/>
        <v>-0.10362138341535544</v>
      </c>
      <c r="X232">
        <f t="shared" si="192"/>
        <v>1.8184624572888155</v>
      </c>
      <c r="Y232">
        <f t="shared" si="175"/>
        <v>-104.60807501456186</v>
      </c>
      <c r="Z232">
        <f t="shared" si="193"/>
        <v>75.391924985438138</v>
      </c>
      <c r="AC232">
        <v>1</v>
      </c>
      <c r="AD232">
        <f t="shared" si="176"/>
        <v>12.731819435319601</v>
      </c>
      <c r="AE232">
        <f t="shared" si="177"/>
        <v>-4.4349993470200249E-5</v>
      </c>
      <c r="AF232">
        <f t="shared" si="178"/>
        <v>4.2646743232632002E-4</v>
      </c>
      <c r="AG232">
        <f t="shared" si="194"/>
        <v>29293.491902044236</v>
      </c>
      <c r="AH232">
        <f t="shared" si="195"/>
        <v>-5391.1881665462624</v>
      </c>
      <c r="AJ232">
        <f t="shared" si="179"/>
        <v>55000</v>
      </c>
      <c r="AK232">
        <f t="shared" si="180"/>
        <v>3669.2309895491258</v>
      </c>
      <c r="AL232">
        <v>1</v>
      </c>
      <c r="AM232">
        <f t="shared" si="181"/>
        <v>5.198504884494076</v>
      </c>
      <c r="AN232">
        <f t="shared" si="196"/>
        <v>2643.2100255927039</v>
      </c>
      <c r="AO232">
        <f t="shared" si="197"/>
        <v>-10071.509239238258</v>
      </c>
      <c r="AQ232">
        <f t="shared" si="182"/>
        <v>1.1612098919677851</v>
      </c>
      <c r="AR232">
        <f t="shared" si="183"/>
        <v>-60.583803693635261</v>
      </c>
      <c r="AT232">
        <f t="shared" si="209"/>
        <v>-292602.79299055622</v>
      </c>
      <c r="AU232">
        <f t="shared" si="210"/>
        <v>-1780971.4639229954</v>
      </c>
      <c r="AV232">
        <f t="shared" si="198"/>
        <v>-1.7336355066529643</v>
      </c>
      <c r="AW232">
        <f t="shared" si="199"/>
        <v>-570853.45394701057</v>
      </c>
      <c r="AX232">
        <f t="shared" si="200"/>
        <v>-244932.04357780411</v>
      </c>
      <c r="AY232">
        <f t="shared" si="208"/>
        <v>-2.7362857249573205</v>
      </c>
      <c r="BA232">
        <f t="shared" si="184"/>
        <v>2.9055121282041925</v>
      </c>
      <c r="BB232">
        <f t="shared" si="201"/>
        <v>9.2644538522582778</v>
      </c>
      <c r="BC232">
        <f t="shared" si="202"/>
        <v>1.0026502183043562</v>
      </c>
      <c r="BD232">
        <f t="shared" si="185"/>
        <v>-122.55237409764626</v>
      </c>
      <c r="BF232">
        <f t="shared" si="186"/>
        <v>1.9539987583157252</v>
      </c>
      <c r="BG232">
        <f t="shared" si="187"/>
        <v>-112.02708034397664</v>
      </c>
      <c r="BH232">
        <f t="shared" si="203"/>
        <v>67.972919656023365</v>
      </c>
      <c r="BI232">
        <f t="shared" si="204"/>
        <v>67.972919656023365</v>
      </c>
      <c r="BJ232">
        <f t="shared" si="188"/>
        <v>0</v>
      </c>
      <c r="BK232">
        <f t="shared" si="205"/>
        <v>0</v>
      </c>
      <c r="BM232">
        <f t="shared" si="206"/>
        <v>-7.3104550939425543</v>
      </c>
      <c r="BN232">
        <f t="shared" si="189"/>
        <v>-169.47470624633036</v>
      </c>
      <c r="BQ232" s="75">
        <f t="shared" si="207"/>
        <v>26.166414652543413</v>
      </c>
      <c r="BR232" s="80"/>
      <c r="BS232" s="80"/>
      <c r="BT232" s="80">
        <v>16595.868999999999</v>
      </c>
      <c r="BU232" s="80">
        <v>-3.91065</v>
      </c>
      <c r="BV232" s="80">
        <v>-184.43100000000001</v>
      </c>
      <c r="BW232" s="84"/>
      <c r="BY232" s="80"/>
      <c r="BZ232" s="80"/>
      <c r="CA232" s="80"/>
      <c r="CC232" s="80"/>
    </row>
    <row r="233" spans="1:81">
      <c r="A233">
        <f t="shared" si="190"/>
        <v>99500</v>
      </c>
      <c r="B233">
        <f t="shared" si="191"/>
        <v>99.5</v>
      </c>
      <c r="C233">
        <f t="shared" si="159"/>
        <v>1.0067381562446074</v>
      </c>
      <c r="D233">
        <f t="shared" si="160"/>
        <v>0.11576300706374504</v>
      </c>
      <c r="F233">
        <f t="shared" si="161"/>
        <v>4.7073316449580141E-2</v>
      </c>
      <c r="G233">
        <f t="shared" si="162"/>
        <v>6.8138858832713742E-2</v>
      </c>
      <c r="H233">
        <f t="shared" si="163"/>
        <v>-3.0734537911672866</v>
      </c>
      <c r="J233">
        <f t="shared" si="164"/>
        <v>9</v>
      </c>
      <c r="M233">
        <f t="shared" si="165"/>
        <v>4.2419305414778459E-2</v>
      </c>
      <c r="N233">
        <f t="shared" si="166"/>
        <v>-1.5707963250000001</v>
      </c>
      <c r="O233">
        <f t="shared" si="167"/>
        <v>12.835136415969595</v>
      </c>
      <c r="P233">
        <f t="shared" si="168"/>
        <v>1.4928061573243989</v>
      </c>
      <c r="Q233">
        <f t="shared" si="169"/>
        <v>5.3195974129771288</v>
      </c>
      <c r="R233">
        <f t="shared" si="170"/>
        <v>1.3816870254026687</v>
      </c>
      <c r="S233">
        <f t="shared" si="171"/>
        <v>0.99775968463199682</v>
      </c>
      <c r="T233">
        <f t="shared" si="172"/>
        <v>-6.6950016732817613E-2</v>
      </c>
      <c r="U233">
        <f t="shared" si="173"/>
        <v>0.99458222961073917</v>
      </c>
      <c r="V233">
        <f t="shared" si="174"/>
        <v>-0.10414095744368088</v>
      </c>
      <c r="X233">
        <f t="shared" si="192"/>
        <v>1.7688658078717125</v>
      </c>
      <c r="Y233">
        <f t="shared" si="175"/>
        <v>-104.56966217422715</v>
      </c>
      <c r="Z233">
        <f t="shared" si="193"/>
        <v>75.430337825772853</v>
      </c>
      <c r="AC233">
        <v>1</v>
      </c>
      <c r="AD233">
        <f t="shared" si="176"/>
        <v>12.796121553679802</v>
      </c>
      <c r="AE233">
        <f t="shared" si="177"/>
        <v>-4.4799104464172029E-5</v>
      </c>
      <c r="AF233">
        <f t="shared" si="178"/>
        <v>4.2862130824716002E-4</v>
      </c>
      <c r="AG233">
        <f t="shared" si="194"/>
        <v>29290.318478503534</v>
      </c>
      <c r="AH233">
        <f t="shared" si="195"/>
        <v>-5394.4589147071838</v>
      </c>
      <c r="AJ233">
        <f t="shared" si="179"/>
        <v>55000</v>
      </c>
      <c r="AK233">
        <f t="shared" si="180"/>
        <v>3687.7624591933131</v>
      </c>
      <c r="AL233">
        <v>1</v>
      </c>
      <c r="AM233">
        <f t="shared" si="181"/>
        <v>5.2247599596682885</v>
      </c>
      <c r="AN233">
        <f t="shared" si="196"/>
        <v>2624.4740804650769</v>
      </c>
      <c r="AO233">
        <f t="shared" si="197"/>
        <v>-10024.484631607873</v>
      </c>
      <c r="AQ233">
        <f t="shared" si="182"/>
        <v>1.149572995768819</v>
      </c>
      <c r="AR233">
        <f t="shared" si="183"/>
        <v>-60.279584392631669</v>
      </c>
      <c r="AT233">
        <f t="shared" si="209"/>
        <v>-291504.38224131981</v>
      </c>
      <c r="AU233">
        <f t="shared" si="210"/>
        <v>-1771809.5489071442</v>
      </c>
      <c r="AV233">
        <f t="shared" si="198"/>
        <v>-1.7338590796547628</v>
      </c>
      <c r="AW233">
        <f t="shared" si="199"/>
        <v>-565091.78908126045</v>
      </c>
      <c r="AX233">
        <f t="shared" si="200"/>
        <v>-242503.64795288956</v>
      </c>
      <c r="AY233">
        <f t="shared" si="208"/>
        <v>-2.7362203858793333</v>
      </c>
      <c r="BA233">
        <f t="shared" si="184"/>
        <v>2.9200628085321325</v>
      </c>
      <c r="BB233">
        <f t="shared" si="201"/>
        <v>9.3078438584585061</v>
      </c>
      <c r="BC233">
        <f t="shared" si="202"/>
        <v>1.0023613062245704</v>
      </c>
      <c r="BD233">
        <f t="shared" si="185"/>
        <v>-122.56892754048725</v>
      </c>
      <c r="BF233">
        <f t="shared" si="186"/>
        <v>1.9065205618424215</v>
      </c>
      <c r="BG233">
        <f t="shared" si="187"/>
        <v>-112.03212676799927</v>
      </c>
      <c r="BH233">
        <f t="shared" si="203"/>
        <v>67.967873232000727</v>
      </c>
      <c r="BI233">
        <f t="shared" si="204"/>
        <v>67.967873232000727</v>
      </c>
      <c r="BJ233">
        <f t="shared" si="188"/>
        <v>0</v>
      </c>
      <c r="BK233">
        <f t="shared" si="205"/>
        <v>0</v>
      </c>
      <c r="BM233">
        <f t="shared" si="206"/>
        <v>-7.401323296616086</v>
      </c>
      <c r="BN233">
        <f t="shared" si="189"/>
        <v>-169.46319922751204</v>
      </c>
      <c r="BQ233" s="75">
        <f t="shared" si="207"/>
        <v>26.209804658743643</v>
      </c>
      <c r="BR233" s="80"/>
      <c r="BS233" s="80"/>
      <c r="BT233" s="80">
        <v>16982.437000000002</v>
      </c>
      <c r="BU233" s="80">
        <v>-3.9488799999999999</v>
      </c>
      <c r="BV233" s="80">
        <v>-182.72200000000001</v>
      </c>
      <c r="BW233" s="84"/>
      <c r="BY233" s="80"/>
      <c r="BZ233" s="80"/>
      <c r="CA233" s="80"/>
      <c r="CC233" s="80"/>
    </row>
    <row r="234" spans="1:81">
      <c r="A234">
        <f t="shared" si="190"/>
        <v>100000</v>
      </c>
      <c r="B234">
        <f t="shared" si="191"/>
        <v>100</v>
      </c>
      <c r="C234">
        <f t="shared" si="159"/>
        <v>1.0068058170884744</v>
      </c>
      <c r="D234">
        <f t="shared" si="160"/>
        <v>0.11633950876771279</v>
      </c>
      <c r="F234">
        <f t="shared" si="161"/>
        <v>4.6582983018206306E-2</v>
      </c>
      <c r="G234">
        <f t="shared" si="162"/>
        <v>6.7767368036371026E-2</v>
      </c>
      <c r="H234">
        <f t="shared" si="163"/>
        <v>-3.0738252819636291</v>
      </c>
      <c r="J234">
        <f t="shared" si="164"/>
        <v>9</v>
      </c>
      <c r="M234">
        <f t="shared" si="165"/>
        <v>4.2207208887704573E-2</v>
      </c>
      <c r="N234">
        <f t="shared" si="166"/>
        <v>-1.5707963250000001</v>
      </c>
      <c r="O234">
        <f t="shared" si="167"/>
        <v>12.899244048562183</v>
      </c>
      <c r="P234">
        <f t="shared" si="168"/>
        <v>1.4931945406204079</v>
      </c>
      <c r="Q234">
        <f t="shared" si="169"/>
        <v>5.3453866928541274</v>
      </c>
      <c r="R234">
        <f t="shared" si="170"/>
        <v>1.3826103521860165</v>
      </c>
      <c r="S234">
        <f t="shared" si="171"/>
        <v>0.9977371888852542</v>
      </c>
      <c r="T234">
        <f t="shared" si="172"/>
        <v>-6.7285436994308861E-2</v>
      </c>
      <c r="U234">
        <f t="shared" si="173"/>
        <v>0.99452809007575116</v>
      </c>
      <c r="V234">
        <f t="shared" si="174"/>
        <v>-0.10466047504678994</v>
      </c>
      <c r="X234">
        <f t="shared" si="192"/>
        <v>1.719575140504694</v>
      </c>
      <c r="Y234">
        <f t="shared" si="175"/>
        <v>-104.53174479431834</v>
      </c>
      <c r="Z234">
        <f t="shared" si="193"/>
        <v>75.468255205681658</v>
      </c>
      <c r="AC234">
        <v>1</v>
      </c>
      <c r="AD234">
        <f t="shared" si="176"/>
        <v>12.860423672040001</v>
      </c>
      <c r="AE234">
        <f t="shared" si="177"/>
        <v>-4.5250477982042911E-5</v>
      </c>
      <c r="AF234">
        <f t="shared" si="178"/>
        <v>4.3077518416800002E-4</v>
      </c>
      <c r="AG234">
        <f t="shared" si="194"/>
        <v>29287.129760638352</v>
      </c>
      <c r="AH234">
        <f t="shared" si="195"/>
        <v>-5397.8425541898478</v>
      </c>
      <c r="AJ234">
        <f t="shared" si="179"/>
        <v>55000</v>
      </c>
      <c r="AK234">
        <f t="shared" si="180"/>
        <v>3706.2939288375001</v>
      </c>
      <c r="AL234">
        <v>1</v>
      </c>
      <c r="AM234">
        <f t="shared" si="181"/>
        <v>5.2510150348425011</v>
      </c>
      <c r="AN234">
        <f t="shared" si="196"/>
        <v>2606.0053567939658</v>
      </c>
      <c r="AO234">
        <f t="shared" si="197"/>
        <v>-9977.8793805677105</v>
      </c>
      <c r="AQ234">
        <f t="shared" si="182"/>
        <v>1.1381101324915683</v>
      </c>
      <c r="AR234">
        <f t="shared" si="183"/>
        <v>-59.97840398230565</v>
      </c>
      <c r="AT234">
        <f t="shared" si="209"/>
        <v>-290422.00221590139</v>
      </c>
      <c r="AU234">
        <f t="shared" si="210"/>
        <v>-1762738.6395702914</v>
      </c>
      <c r="AV234">
        <f t="shared" si="198"/>
        <v>-1.7340855328957439</v>
      </c>
      <c r="AW234">
        <f t="shared" si="199"/>
        <v>-559411.86415538099</v>
      </c>
      <c r="AX234">
        <f t="shared" si="200"/>
        <v>-240117.05528934405</v>
      </c>
      <c r="AY234">
        <f t="shared" si="208"/>
        <v>-2.7361435627829858</v>
      </c>
      <c r="BA234">
        <f t="shared" si="184"/>
        <v>2.9346227245480998</v>
      </c>
      <c r="BB234">
        <f t="shared" si="201"/>
        <v>9.3510455244245065</v>
      </c>
      <c r="BC234">
        <f t="shared" si="202"/>
        <v>1.0020580298872419</v>
      </c>
      <c r="BD234">
        <f t="shared" si="185"/>
        <v>-122.58630399466222</v>
      </c>
      <c r="BF234">
        <f t="shared" si="186"/>
        <v>1.859355952983567</v>
      </c>
      <c r="BG234">
        <f t="shared" si="187"/>
        <v>-112.03775696239974</v>
      </c>
      <c r="BH234">
        <f t="shared" si="203"/>
        <v>67.96224303760026</v>
      </c>
      <c r="BI234">
        <f t="shared" si="204"/>
        <v>67.96224303760026</v>
      </c>
      <c r="BJ234">
        <f t="shared" si="188"/>
        <v>0</v>
      </c>
      <c r="BK234">
        <f t="shared" si="205"/>
        <v>0</v>
      </c>
      <c r="BM234">
        <f t="shared" si="206"/>
        <v>-7.4916895714409382</v>
      </c>
      <c r="BN234">
        <f t="shared" si="189"/>
        <v>-169.45145296773754</v>
      </c>
      <c r="BQ234" s="75">
        <f t="shared" si="207"/>
        <v>26.253006324709641</v>
      </c>
      <c r="BR234" s="80"/>
      <c r="BS234" s="80"/>
      <c r="BT234" s="80">
        <v>17378.008000000002</v>
      </c>
      <c r="BU234" s="80">
        <v>-3.8028900000000001</v>
      </c>
      <c r="BV234" s="80">
        <v>-181.726</v>
      </c>
      <c r="BW234" s="84"/>
      <c r="BY234" s="80"/>
      <c r="BZ234" s="80"/>
      <c r="CA234" s="80"/>
      <c r="CC234" s="80"/>
    </row>
    <row r="235" spans="1:81">
      <c r="A235">
        <f>A234+5000</f>
        <v>105000</v>
      </c>
      <c r="B235">
        <f t="shared" si="191"/>
        <v>105</v>
      </c>
      <c r="C235">
        <f t="shared" si="159"/>
        <v>1.0075008156516885</v>
      </c>
      <c r="D235">
        <f t="shared" si="160"/>
        <v>0.12210019333925826</v>
      </c>
      <c r="F235">
        <f t="shared" si="161"/>
        <v>4.2078990704268876E-2</v>
      </c>
      <c r="G235">
        <f t="shared" si="162"/>
        <v>6.427091904966066E-2</v>
      </c>
      <c r="H235">
        <f t="shared" si="163"/>
        <v>-3.0773217309503393</v>
      </c>
      <c r="J235">
        <f t="shared" si="164"/>
        <v>9</v>
      </c>
      <c r="M235">
        <f t="shared" si="165"/>
        <v>4.0197341797813875E-2</v>
      </c>
      <c r="N235">
        <f t="shared" si="166"/>
        <v>-1.5707963250000001</v>
      </c>
      <c r="O235">
        <f t="shared" si="167"/>
        <v>13.540421816522722</v>
      </c>
      <c r="P235">
        <f t="shared" si="168"/>
        <v>1.4968760830339334</v>
      </c>
      <c r="Q235">
        <f t="shared" si="169"/>
        <v>5.6035174384485096</v>
      </c>
      <c r="R235">
        <f t="shared" si="170"/>
        <v>1.391375898154642</v>
      </c>
      <c r="S235">
        <f t="shared" si="171"/>
        <v>0.99750611769777064</v>
      </c>
      <c r="T235">
        <f t="shared" si="172"/>
        <v>-7.0638793406513356E-2</v>
      </c>
      <c r="U235">
        <f t="shared" si="173"/>
        <v>0.9939722807462632</v>
      </c>
      <c r="V235">
        <f t="shared" si="174"/>
        <v>-0.10985248811812175</v>
      </c>
      <c r="X235">
        <f t="shared" si="192"/>
        <v>1.2426665545977627</v>
      </c>
      <c r="Y235">
        <f t="shared" si="175"/>
        <v>-104.1784616253432</v>
      </c>
      <c r="Z235">
        <f t="shared" si="193"/>
        <v>75.821538374656797</v>
      </c>
      <c r="AC235">
        <v>1</v>
      </c>
      <c r="AD235">
        <f t="shared" si="176"/>
        <v>13.503444855642002</v>
      </c>
      <c r="AE235">
        <f t="shared" si="177"/>
        <v>-4.9888651975202315E-5</v>
      </c>
      <c r="AF235">
        <f t="shared" si="178"/>
        <v>4.5231394337640003E-4</v>
      </c>
      <c r="AG235">
        <f t="shared" si="194"/>
        <v>29254.40366375132</v>
      </c>
      <c r="AH235">
        <f t="shared" si="195"/>
        <v>-5437.5125930537433</v>
      </c>
      <c r="AJ235">
        <f t="shared" si="179"/>
        <v>55000</v>
      </c>
      <c r="AK235">
        <f t="shared" si="180"/>
        <v>3891.6086252793757</v>
      </c>
      <c r="AL235">
        <v>1</v>
      </c>
      <c r="AM235">
        <f t="shared" si="181"/>
        <v>5.5135657865846257</v>
      </c>
      <c r="AN235">
        <f t="shared" si="196"/>
        <v>2434.9707785258929</v>
      </c>
      <c r="AO235">
        <f t="shared" si="197"/>
        <v>-9533.7629505343175</v>
      </c>
      <c r="AQ235">
        <f t="shared" si="182"/>
        <v>1.0323339851179523</v>
      </c>
      <c r="AR235">
        <f t="shared" si="183"/>
        <v>-57.124201066501882</v>
      </c>
      <c r="AT235">
        <f t="shared" si="209"/>
        <v>-280413.24755078845</v>
      </c>
      <c r="AU235">
        <f t="shared" si="210"/>
        <v>-1676747.766013056</v>
      </c>
      <c r="AV235">
        <f t="shared" si="198"/>
        <v>-1.7364992807997017</v>
      </c>
      <c r="AW235">
        <f t="shared" si="199"/>
        <v>-506791.24081137753</v>
      </c>
      <c r="AX235">
        <f t="shared" si="200"/>
        <v>-218354.21837122281</v>
      </c>
      <c r="AY235">
        <f t="shared" si="208"/>
        <v>-2.7347721104573099</v>
      </c>
      <c r="BA235">
        <f t="shared" si="184"/>
        <v>3.0807221472102118</v>
      </c>
      <c r="BB235">
        <f t="shared" si="201"/>
        <v>9.7730506143434752</v>
      </c>
      <c r="BC235">
        <f t="shared" si="202"/>
        <v>0.99827282965760822</v>
      </c>
      <c r="BD235">
        <f t="shared" si="185"/>
        <v>-122.80317999267999</v>
      </c>
      <c r="BF235">
        <f t="shared" si="186"/>
        <v>1.4041152192327289</v>
      </c>
      <c r="BG235">
        <f t="shared" si="187"/>
        <v>-112.12490181743487</v>
      </c>
      <c r="BH235">
        <f t="shared" si="203"/>
        <v>67.875098182565125</v>
      </c>
      <c r="BI235">
        <f t="shared" si="204"/>
        <v>67.875098182565125</v>
      </c>
      <c r="BJ235">
        <f t="shared" si="188"/>
        <v>0</v>
      </c>
      <c r="BK235">
        <f t="shared" si="205"/>
        <v>0</v>
      </c>
      <c r="BM235">
        <f t="shared" si="206"/>
        <v>-8.3689353951107464</v>
      </c>
      <c r="BN235">
        <f t="shared" si="189"/>
        <v>-169.32172182475486</v>
      </c>
      <c r="BQ235" s="75">
        <f t="shared" si="207"/>
        <v>26.67501141462861</v>
      </c>
      <c r="BR235" s="80"/>
      <c r="BS235" s="80"/>
      <c r="BT235" s="80">
        <v>17782.794000000002</v>
      </c>
      <c r="BU235" s="80">
        <v>-3.8474200000000001</v>
      </c>
      <c r="BV235" s="80">
        <v>-180.351</v>
      </c>
      <c r="BW235" s="84"/>
      <c r="BY235" s="80"/>
      <c r="BZ235" s="80"/>
      <c r="CA235" s="80"/>
      <c r="CC235" s="80"/>
    </row>
    <row r="236" spans="1:81">
      <c r="A236">
        <f t="shared" ref="A236:A299" si="211">A235+5000</f>
        <v>110000</v>
      </c>
      <c r="B236">
        <f t="shared" si="191"/>
        <v>110</v>
      </c>
      <c r="C236">
        <f t="shared" si="159"/>
        <v>1.0082292018787498</v>
      </c>
      <c r="D236">
        <f t="shared" si="160"/>
        <v>0.12785274507622801</v>
      </c>
      <c r="F236">
        <f t="shared" si="161"/>
        <v>3.8204808613872626E-2</v>
      </c>
      <c r="G236">
        <f t="shared" si="162"/>
        <v>6.1128266200962907E-2</v>
      </c>
      <c r="H236">
        <f t="shared" si="163"/>
        <v>-3.0804643837990371</v>
      </c>
      <c r="J236">
        <f t="shared" si="164"/>
        <v>9</v>
      </c>
      <c r="M236">
        <f t="shared" si="165"/>
        <v>3.8370189897913243E-2</v>
      </c>
      <c r="N236">
        <f t="shared" si="166"/>
        <v>-1.5707963250000001</v>
      </c>
      <c r="O236">
        <f t="shared" si="167"/>
        <v>14.181766511950615</v>
      </c>
      <c r="P236">
        <f t="shared" si="168"/>
        <v>1.5002246853044283</v>
      </c>
      <c r="Q236">
        <f t="shared" si="169"/>
        <v>5.8620407934721674</v>
      </c>
      <c r="R236">
        <f t="shared" si="170"/>
        <v>1.3993688707932626</v>
      </c>
      <c r="S236">
        <f t="shared" si="171"/>
        <v>0.99726394714511346</v>
      </c>
      <c r="T236">
        <f t="shared" si="172"/>
        <v>-7.3990559265428163E-2</v>
      </c>
      <c r="U236">
        <f t="shared" si="173"/>
        <v>0.99339035876899251</v>
      </c>
      <c r="V236">
        <f t="shared" si="174"/>
        <v>-0.1150385615193083</v>
      </c>
      <c r="X236">
        <f t="shared" si="192"/>
        <v>0.79245970306793911</v>
      </c>
      <c r="Y236">
        <f t="shared" si="175"/>
        <v>-103.86828321417602</v>
      </c>
      <c r="Z236">
        <f t="shared" si="193"/>
        <v>76.131716785823983</v>
      </c>
      <c r="AC236">
        <v>1</v>
      </c>
      <c r="AD236">
        <f t="shared" si="176"/>
        <v>14.146466039244</v>
      </c>
      <c r="AE236">
        <f t="shared" si="177"/>
        <v>-5.475307835827192E-5</v>
      </c>
      <c r="AF236">
        <f t="shared" si="178"/>
        <v>4.7385270258479999E-4</v>
      </c>
      <c r="AG236">
        <f t="shared" si="194"/>
        <v>29220.159656227821</v>
      </c>
      <c r="AH236">
        <f t="shared" si="195"/>
        <v>-5486.7128057233876</v>
      </c>
      <c r="AJ236">
        <f t="shared" si="179"/>
        <v>55000</v>
      </c>
      <c r="AK236">
        <f t="shared" si="180"/>
        <v>4076.9233217212509</v>
      </c>
      <c r="AL236">
        <v>1</v>
      </c>
      <c r="AM236">
        <f t="shared" si="181"/>
        <v>5.7761165383267503</v>
      </c>
      <c r="AN236">
        <f t="shared" si="196"/>
        <v>2285.8187708428013</v>
      </c>
      <c r="AO236">
        <f t="shared" si="197"/>
        <v>-9126.2322841615787</v>
      </c>
      <c r="AQ236">
        <f t="shared" si="182"/>
        <v>0.94064564643938409</v>
      </c>
      <c r="AR236">
        <f t="shared" si="183"/>
        <v>-54.529228124091098</v>
      </c>
      <c r="AT236">
        <f t="shared" si="209"/>
        <v>-271700.39826576808</v>
      </c>
      <c r="AU236">
        <f t="shared" si="210"/>
        <v>-1598513.8042307773</v>
      </c>
      <c r="AV236">
        <f t="shared" si="198"/>
        <v>-1.7391579386931584</v>
      </c>
      <c r="AW236">
        <f t="shared" si="199"/>
        <v>-460874.46946409543</v>
      </c>
      <c r="AX236">
        <f t="shared" si="200"/>
        <v>-199876.31721884408</v>
      </c>
      <c r="AY236">
        <f t="shared" si="208"/>
        <v>-2.7323851883900701</v>
      </c>
      <c r="BA236">
        <f t="shared" si="184"/>
        <v>3.2277077558151355</v>
      </c>
      <c r="BB236">
        <f t="shared" si="201"/>
        <v>10.177884115904623</v>
      </c>
      <c r="BC236">
        <f t="shared" si="202"/>
        <v>0.99322724969691167</v>
      </c>
      <c r="BD236">
        <f t="shared" si="185"/>
        <v>-123.09227042995403</v>
      </c>
      <c r="BF236">
        <f t="shared" si="186"/>
        <v>0.97628031314613017</v>
      </c>
      <c r="BG236">
        <f t="shared" si="187"/>
        <v>-112.26445606328417</v>
      </c>
      <c r="BH236">
        <f t="shared" si="203"/>
        <v>67.735543936715828</v>
      </c>
      <c r="BI236">
        <f t="shared" si="204"/>
        <v>67.735543936715828</v>
      </c>
      <c r="BJ236">
        <f t="shared" si="188"/>
        <v>0</v>
      </c>
      <c r="BK236">
        <f t="shared" si="205"/>
        <v>0</v>
      </c>
      <c r="BM236">
        <f t="shared" si="206"/>
        <v>-9.201603802758493</v>
      </c>
      <c r="BN236">
        <f t="shared" si="189"/>
        <v>-169.17218563333014</v>
      </c>
      <c r="BQ236" s="75">
        <f t="shared" si="207"/>
        <v>27.07984491618976</v>
      </c>
      <c r="BR236" s="80"/>
      <c r="BS236" s="80"/>
      <c r="BT236" s="80">
        <v>18197.008999999998</v>
      </c>
      <c r="BU236" s="80">
        <v>-3.8303199999999999</v>
      </c>
      <c r="BV236" s="80">
        <v>-179.43</v>
      </c>
      <c r="BY236" s="80"/>
      <c r="BZ236" s="80"/>
      <c r="CA236" s="80"/>
      <c r="CC236" s="80"/>
    </row>
    <row r="237" spans="1:81">
      <c r="A237">
        <f t="shared" si="211"/>
        <v>115000</v>
      </c>
      <c r="B237">
        <f t="shared" si="191"/>
        <v>115</v>
      </c>
      <c r="C237">
        <f t="shared" si="159"/>
        <v>1.0089909034624245</v>
      </c>
      <c r="D237">
        <f t="shared" si="160"/>
        <v>0.13359680129402246</v>
      </c>
      <c r="F237">
        <f t="shared" si="161"/>
        <v>3.4847185044128474E-2</v>
      </c>
      <c r="G237">
        <f t="shared" si="162"/>
        <v>5.8287085822190617E-2</v>
      </c>
      <c r="H237">
        <f t="shared" si="163"/>
        <v>-3.0833055641778095</v>
      </c>
      <c r="J237">
        <f t="shared" si="164"/>
        <v>9</v>
      </c>
      <c r="M237">
        <f t="shared" si="165"/>
        <v>3.6701920771917015E-2</v>
      </c>
      <c r="N237">
        <f t="shared" si="166"/>
        <v>-1.5707963250000001</v>
      </c>
      <c r="O237">
        <f t="shared" si="167"/>
        <v>14.823256467953497</v>
      </c>
      <c r="P237">
        <f t="shared" si="168"/>
        <v>1.5032834918024676</v>
      </c>
      <c r="Q237">
        <f t="shared" si="169"/>
        <v>6.1209070112318962</v>
      </c>
      <c r="R237">
        <f t="shared" si="170"/>
        <v>1.4066861988077055</v>
      </c>
      <c r="S237">
        <f t="shared" si="171"/>
        <v>0.99701070162654426</v>
      </c>
      <c r="T237">
        <f t="shared" si="172"/>
        <v>-7.7340660447948809E-2</v>
      </c>
      <c r="U237">
        <f t="shared" si="173"/>
        <v>0.99278246379605195</v>
      </c>
      <c r="V237">
        <f t="shared" si="174"/>
        <v>-0.12021842696743855</v>
      </c>
      <c r="X237">
        <f t="shared" si="192"/>
        <v>0.36599153897300707</v>
      </c>
      <c r="Y237">
        <f t="shared" si="175"/>
        <v>-103.5961830519371</v>
      </c>
      <c r="Z237">
        <f t="shared" si="193"/>
        <v>76.403816948062897</v>
      </c>
      <c r="AC237">
        <v>1</v>
      </c>
      <c r="AD237">
        <f t="shared" si="176"/>
        <v>14.789487222846002</v>
      </c>
      <c r="AE237">
        <f t="shared" si="177"/>
        <v>-5.9843757131251753E-5</v>
      </c>
      <c r="AF237">
        <f t="shared" si="178"/>
        <v>4.9539146179320001E-4</v>
      </c>
      <c r="AG237">
        <f t="shared" si="194"/>
        <v>29184.408648319641</v>
      </c>
      <c r="AH237">
        <f t="shared" si="195"/>
        <v>-5544.1098101036023</v>
      </c>
      <c r="AJ237">
        <f t="shared" si="179"/>
        <v>55000</v>
      </c>
      <c r="AK237">
        <f t="shared" si="180"/>
        <v>4262.2380181631252</v>
      </c>
      <c r="AL237">
        <v>1</v>
      </c>
      <c r="AM237">
        <f t="shared" si="181"/>
        <v>6.0386672900688758</v>
      </c>
      <c r="AN237">
        <f t="shared" si="196"/>
        <v>2155.0021116292482</v>
      </c>
      <c r="AO237">
        <f t="shared" si="197"/>
        <v>-8751.1027433617728</v>
      </c>
      <c r="AQ237">
        <f t="shared" si="182"/>
        <v>0.86065031045027163</v>
      </c>
      <c r="AR237">
        <f t="shared" si="183"/>
        <v>-52.159712064838715</v>
      </c>
      <c r="AT237">
        <f t="shared" si="209"/>
        <v>-264061.60098736762</v>
      </c>
      <c r="AU237">
        <f t="shared" si="210"/>
        <v>-1527021.8917081773</v>
      </c>
      <c r="AV237">
        <f t="shared" si="198"/>
        <v>-1.7420287972087558</v>
      </c>
      <c r="AW237">
        <f t="shared" si="199"/>
        <v>-420581.83582223393</v>
      </c>
      <c r="AX237">
        <f t="shared" si="200"/>
        <v>-184054.21605291712</v>
      </c>
      <c r="AY237">
        <f t="shared" si="208"/>
        <v>-2.7290831053670703</v>
      </c>
      <c r="BA237">
        <f t="shared" si="184"/>
        <v>3.375547456118869</v>
      </c>
      <c r="BB237">
        <f t="shared" si="201"/>
        <v>10.566884360469119</v>
      </c>
      <c r="BC237">
        <f t="shared" si="202"/>
        <v>0.98705430815831452</v>
      </c>
      <c r="BD237">
        <f t="shared" si="185"/>
        <v>-123.44595392770077</v>
      </c>
      <c r="BF237">
        <f t="shared" si="186"/>
        <v>0.57283359766806896</v>
      </c>
      <c r="BG237">
        <f t="shared" si="187"/>
        <v>-112.45181702681441</v>
      </c>
      <c r="BH237">
        <f t="shared" si="203"/>
        <v>67.54818297318559</v>
      </c>
      <c r="BI237">
        <f t="shared" si="204"/>
        <v>67.54818297318559</v>
      </c>
      <c r="BJ237">
        <f t="shared" si="188"/>
        <v>0</v>
      </c>
      <c r="BK237">
        <f t="shared" si="205"/>
        <v>0</v>
      </c>
      <c r="BM237">
        <f t="shared" si="206"/>
        <v>-9.9940507628010504</v>
      </c>
      <c r="BN237">
        <f t="shared" si="189"/>
        <v>-169.00586309911364</v>
      </c>
      <c r="BQ237" s="75">
        <f t="shared" si="207"/>
        <v>27.468845160754256</v>
      </c>
      <c r="BR237" s="80"/>
      <c r="BS237" s="80"/>
      <c r="BT237" s="80">
        <v>18620.870999999999</v>
      </c>
      <c r="BU237" s="80">
        <v>-3.77474</v>
      </c>
      <c r="BV237" s="80">
        <v>-178.09100000000001</v>
      </c>
      <c r="BY237" s="80"/>
      <c r="BZ237" s="80"/>
      <c r="CA237" s="80"/>
      <c r="CC237" s="80"/>
    </row>
    <row r="238" spans="1:81">
      <c r="A238">
        <f t="shared" si="211"/>
        <v>120000</v>
      </c>
      <c r="B238">
        <f t="shared" si="191"/>
        <v>120</v>
      </c>
      <c r="C238">
        <f t="shared" si="159"/>
        <v>1.0097858450114037</v>
      </c>
      <c r="D238">
        <f t="shared" si="160"/>
        <v>0.139332002620632</v>
      </c>
      <c r="F238">
        <f t="shared" si="161"/>
        <v>3.1917428084525613E-2</v>
      </c>
      <c r="G238">
        <f t="shared" si="162"/>
        <v>5.5705057405810464E-2</v>
      </c>
      <c r="H238">
        <f t="shared" si="163"/>
        <v>-3.0858875925941898</v>
      </c>
      <c r="J238">
        <f t="shared" si="164"/>
        <v>9</v>
      </c>
      <c r="M238">
        <f t="shared" si="165"/>
        <v>3.5172674073087141E-2</v>
      </c>
      <c r="N238">
        <f t="shared" si="166"/>
        <v>-1.5707963250000001</v>
      </c>
      <c r="O238">
        <f t="shared" si="167"/>
        <v>15.464873608118765</v>
      </c>
      <c r="P238">
        <f t="shared" si="168"/>
        <v>1.5060885110933078</v>
      </c>
      <c r="Q238">
        <f t="shared" si="169"/>
        <v>6.3800743577519894</v>
      </c>
      <c r="R238">
        <f t="shared" si="170"/>
        <v>1.4134093830962084</v>
      </c>
      <c r="S238">
        <f t="shared" si="171"/>
        <v>0.99674640662329927</v>
      </c>
      <c r="T238">
        <f t="shared" si="172"/>
        <v>-8.0689023054037023E-2</v>
      </c>
      <c r="U238">
        <f t="shared" si="173"/>
        <v>0.99214874124488739</v>
      </c>
      <c r="V238">
        <f t="shared" si="174"/>
        <v>-0.12539181815389577</v>
      </c>
      <c r="X238">
        <f t="shared" si="192"/>
        <v>-3.9227123749560167E-2</v>
      </c>
      <c r="Y238">
        <f t="shared" si="175"/>
        <v>-103.35785422675832</v>
      </c>
      <c r="Z238">
        <f t="shared" si="193"/>
        <v>76.64214577324168</v>
      </c>
      <c r="AC238">
        <v>1</v>
      </c>
      <c r="AD238">
        <f t="shared" si="176"/>
        <v>15.432508406448001</v>
      </c>
      <c r="AE238">
        <f t="shared" si="177"/>
        <v>-6.5160688294141781E-5</v>
      </c>
      <c r="AF238">
        <f t="shared" si="178"/>
        <v>5.1693022100160002E-4</v>
      </c>
      <c r="AG238">
        <f t="shared" si="194"/>
        <v>29147.16198919516</v>
      </c>
      <c r="AH238">
        <f t="shared" si="195"/>
        <v>-5608.5889724521039</v>
      </c>
      <c r="AJ238">
        <f t="shared" si="179"/>
        <v>55000</v>
      </c>
      <c r="AK238">
        <f t="shared" si="180"/>
        <v>4447.5527146050008</v>
      </c>
      <c r="AL238">
        <v>1</v>
      </c>
      <c r="AM238">
        <f t="shared" si="181"/>
        <v>6.3012180418109995</v>
      </c>
      <c r="AN238">
        <f t="shared" si="196"/>
        <v>2039.6582226528276</v>
      </c>
      <c r="AO238">
        <f t="shared" si="197"/>
        <v>-8404.7784771031547</v>
      </c>
      <c r="AQ238">
        <f t="shared" si="182"/>
        <v>0.79044119117537648</v>
      </c>
      <c r="AR238">
        <f t="shared" si="183"/>
        <v>-49.98750092993081</v>
      </c>
      <c r="AT238">
        <f t="shared" si="209"/>
        <v>-257320.22903392813</v>
      </c>
      <c r="AU238">
        <f t="shared" si="210"/>
        <v>-1461427.0467879351</v>
      </c>
      <c r="AV238">
        <f t="shared" si="198"/>
        <v>-1.7450845016919225</v>
      </c>
      <c r="AW238">
        <f t="shared" si="199"/>
        <v>-385040.44307963789</v>
      </c>
      <c r="AX238">
        <f t="shared" si="200"/>
        <v>-170400.70794940341</v>
      </c>
      <c r="AY238">
        <f t="shared" si="208"/>
        <v>-2.7249490927022246</v>
      </c>
      <c r="BA238">
        <f t="shared" si="184"/>
        <v>3.5242094922804283</v>
      </c>
      <c r="BB238">
        <f t="shared" si="201"/>
        <v>10.94123433212825</v>
      </c>
      <c r="BC238">
        <f t="shared" si="202"/>
        <v>0.9798645910103021</v>
      </c>
      <c r="BD238">
        <f t="shared" si="185"/>
        <v>-123.85789437664545</v>
      </c>
      <c r="BF238">
        <f t="shared" si="186"/>
        <v>0.19122786208862738</v>
      </c>
      <c r="BG238">
        <f t="shared" si="187"/>
        <v>-112.6830939757215</v>
      </c>
      <c r="BH238">
        <f t="shared" si="203"/>
        <v>67.316906024278495</v>
      </c>
      <c r="BI238">
        <f t="shared" si="204"/>
        <v>67.316906024278495</v>
      </c>
      <c r="BJ238">
        <f t="shared" si="188"/>
        <v>120000</v>
      </c>
      <c r="BK238">
        <f t="shared" si="205"/>
        <v>67.316906024278495</v>
      </c>
      <c r="BM238">
        <f t="shared" si="206"/>
        <v>-10.750006470039619</v>
      </c>
      <c r="BN238">
        <f t="shared" si="189"/>
        <v>-168.82519959907609</v>
      </c>
      <c r="BQ238" s="75">
        <f t="shared" si="207"/>
        <v>27.843195132413388</v>
      </c>
      <c r="BR238" s="80"/>
      <c r="BS238" s="80"/>
      <c r="BT238" s="80">
        <v>19054.607</v>
      </c>
      <c r="BU238" s="80">
        <v>-3.7312500000000002</v>
      </c>
      <c r="BV238" s="80">
        <v>-176.916</v>
      </c>
      <c r="BY238" s="80"/>
      <c r="BZ238" s="80"/>
      <c r="CA238" s="80"/>
      <c r="CC238" s="80"/>
    </row>
    <row r="239" spans="1:81">
      <c r="A239">
        <f t="shared" si="211"/>
        <v>125000</v>
      </c>
      <c r="B239">
        <f t="shared" si="191"/>
        <v>125</v>
      </c>
      <c r="C239">
        <f t="shared" si="159"/>
        <v>1.0106139480867484</v>
      </c>
      <c r="D239">
        <f t="shared" si="160"/>
        <v>0.14505799312097531</v>
      </c>
      <c r="F239">
        <f t="shared" si="161"/>
        <v>2.9345236875653977E-2</v>
      </c>
      <c r="G239">
        <f t="shared" si="162"/>
        <v>5.3347553969067554E-2</v>
      </c>
      <c r="H239">
        <f t="shared" si="163"/>
        <v>-3.0882450960309327</v>
      </c>
      <c r="J239">
        <f t="shared" si="164"/>
        <v>9</v>
      </c>
      <c r="M239">
        <f t="shared" si="165"/>
        <v>3.3765767110163658E-2</v>
      </c>
      <c r="N239">
        <f t="shared" si="166"/>
        <v>-1.5707963250000001</v>
      </c>
      <c r="O239">
        <f t="shared" si="167"/>
        <v>16.106602733058676</v>
      </c>
      <c r="P239">
        <f t="shared" si="168"/>
        <v>1.5086700307776222</v>
      </c>
      <c r="Q239">
        <f t="shared" si="169"/>
        <v>6.6395075702360531</v>
      </c>
      <c r="R239">
        <f t="shared" si="170"/>
        <v>1.4196074239711423</v>
      </c>
      <c r="S239">
        <f t="shared" si="171"/>
        <v>0.99647108869152357</v>
      </c>
      <c r="T239">
        <f t="shared" si="172"/>
        <v>-8.4035573416267287E-2</v>
      </c>
      <c r="U239">
        <f t="shared" si="173"/>
        <v>0.99148934220349061</v>
      </c>
      <c r="V239">
        <f t="shared" si="174"/>
        <v>-0.13055847082143254</v>
      </c>
      <c r="X239">
        <f t="shared" si="192"/>
        <v>-0.42530784143446909</v>
      </c>
      <c r="Y239">
        <f t="shared" si="175"/>
        <v>-103.14959297215083</v>
      </c>
      <c r="Z239">
        <f t="shared" si="193"/>
        <v>76.850407027849172</v>
      </c>
      <c r="AC239">
        <v>1</v>
      </c>
      <c r="AD239">
        <f t="shared" si="176"/>
        <v>16.075529590049999</v>
      </c>
      <c r="AE239">
        <f t="shared" si="177"/>
        <v>-7.0703871846942057E-5</v>
      </c>
      <c r="AF239">
        <f t="shared" si="178"/>
        <v>5.3846898021000004E-4</v>
      </c>
      <c r="AG239">
        <f t="shared" si="194"/>
        <v>29108.43145810597</v>
      </c>
      <c r="AH239">
        <f t="shared" si="195"/>
        <v>-5679.2107249832407</v>
      </c>
      <c r="AJ239">
        <f t="shared" si="179"/>
        <v>55000</v>
      </c>
      <c r="AK239">
        <f t="shared" si="180"/>
        <v>4632.8674110468755</v>
      </c>
      <c r="AL239">
        <v>1</v>
      </c>
      <c r="AM239">
        <f t="shared" si="181"/>
        <v>6.5637687935531259</v>
      </c>
      <c r="AN239">
        <f t="shared" si="196"/>
        <v>1937.4578133945124</v>
      </c>
      <c r="AO239">
        <f t="shared" si="197"/>
        <v>-8084.1577233377011</v>
      </c>
      <c r="AQ239">
        <f t="shared" si="182"/>
        <v>0.72848487902862924</v>
      </c>
      <c r="AR239">
        <f t="shared" si="183"/>
        <v>-47.988941406010952</v>
      </c>
      <c r="AT239">
        <f t="shared" si="209"/>
        <v>-251334.25854413825</v>
      </c>
      <c r="AU239">
        <f t="shared" si="210"/>
        <v>-1401020.0308019009</v>
      </c>
      <c r="AV239">
        <f t="shared" si="198"/>
        <v>-1.7483019938669186</v>
      </c>
      <c r="AW239">
        <f t="shared" si="199"/>
        <v>-353538.90225765074</v>
      </c>
      <c r="AX239">
        <f t="shared" si="200"/>
        <v>-158534.26672648222</v>
      </c>
      <c r="AY239">
        <f t="shared" si="208"/>
        <v>-2.7200526039835675</v>
      </c>
      <c r="BA239">
        <f t="shared" si="184"/>
        <v>3.6736610447208444</v>
      </c>
      <c r="BB239">
        <f t="shared" si="201"/>
        <v>11.301981661071137</v>
      </c>
      <c r="BC239">
        <f t="shared" si="202"/>
        <v>0.97175061011664887</v>
      </c>
      <c r="BD239">
        <f t="shared" si="185"/>
        <v>-124.32279123743277</v>
      </c>
      <c r="BF239">
        <f t="shared" si="186"/>
        <v>-0.17071000207685147</v>
      </c>
      <c r="BG239">
        <f t="shared" si="187"/>
        <v>-112.95499074419961</v>
      </c>
      <c r="BH239">
        <f t="shared" si="203"/>
        <v>67.045009255800394</v>
      </c>
      <c r="BI239">
        <f t="shared" si="204"/>
        <v>67.045009255800394</v>
      </c>
      <c r="BJ239">
        <f t="shared" si="188"/>
        <v>0</v>
      </c>
      <c r="BK239">
        <f t="shared" si="205"/>
        <v>0</v>
      </c>
      <c r="BM239">
        <f t="shared" si="206"/>
        <v>-11.472691663147987</v>
      </c>
      <c r="BN239">
        <f t="shared" si="189"/>
        <v>-168.63219950676682</v>
      </c>
      <c r="BQ239" s="75">
        <f t="shared" si="207"/>
        <v>28.203942461356274</v>
      </c>
      <c r="BR239" s="80"/>
      <c r="BS239" s="80"/>
      <c r="BT239" s="80">
        <v>19498.446</v>
      </c>
      <c r="BU239" s="80">
        <v>-3.7243200000000001</v>
      </c>
      <c r="BV239" s="80">
        <v>-175.511</v>
      </c>
      <c r="BY239" s="80"/>
      <c r="BZ239" s="80"/>
      <c r="CA239" s="80"/>
      <c r="CC239" s="80"/>
    </row>
    <row r="240" spans="1:81">
      <c r="A240">
        <f t="shared" si="211"/>
        <v>130000</v>
      </c>
      <c r="B240">
        <f t="shared" si="191"/>
        <v>130</v>
      </c>
      <c r="C240">
        <f t="shared" si="159"/>
        <v>1.0114751312396129</v>
      </c>
      <c r="D240">
        <f t="shared" si="160"/>
        <v>0.1507744204179858</v>
      </c>
      <c r="F240">
        <f t="shared" si="161"/>
        <v>2.7074278405119393E-2</v>
      </c>
      <c r="G240">
        <f t="shared" si="162"/>
        <v>5.1185949418945158E-2</v>
      </c>
      <c r="H240">
        <f t="shared" si="163"/>
        <v>-3.0904067005810552</v>
      </c>
      <c r="J240">
        <f t="shared" si="164"/>
        <v>9</v>
      </c>
      <c r="M240">
        <f t="shared" si="165"/>
        <v>3.2467083759772745E-2</v>
      </c>
      <c r="N240">
        <f t="shared" si="166"/>
        <v>-1.5707963250000001</v>
      </c>
      <c r="O240">
        <f t="shared" si="167"/>
        <v>16.748430970427648</v>
      </c>
      <c r="P240">
        <f t="shared" si="168"/>
        <v>1.5110537089364353</v>
      </c>
      <c r="Q240">
        <f t="shared" si="169"/>
        <v>6.89917665627428</v>
      </c>
      <c r="R240">
        <f t="shared" si="170"/>
        <v>1.4253391115271499</v>
      </c>
      <c r="S240">
        <f t="shared" si="171"/>
        <v>0.99618477545491935</v>
      </c>
      <c r="T240">
        <f t="shared" si="172"/>
        <v>-8.7380238109296113E-2</v>
      </c>
      <c r="U240">
        <f t="shared" si="173"/>
        <v>0.99080442333242302</v>
      </c>
      <c r="V240">
        <f t="shared" si="174"/>
        <v>-0.13571812283965373</v>
      </c>
      <c r="X240">
        <f t="shared" si="192"/>
        <v>-0.79405758628905476</v>
      </c>
      <c r="Y240">
        <f t="shared" si="175"/>
        <v>-102.96820188216255</v>
      </c>
      <c r="Z240">
        <f t="shared" si="193"/>
        <v>77.031798117837454</v>
      </c>
      <c r="AC240">
        <v>1</v>
      </c>
      <c r="AD240">
        <f t="shared" si="176"/>
        <v>16.718550773652002</v>
      </c>
      <c r="AE240">
        <f t="shared" si="177"/>
        <v>-7.6473307789652514E-5</v>
      </c>
      <c r="AF240">
        <f t="shared" si="178"/>
        <v>5.6000773941840005E-4</v>
      </c>
      <c r="AG240">
        <f t="shared" si="194"/>
        <v>29068.229255269951</v>
      </c>
      <c r="AH240">
        <f t="shared" si="195"/>
        <v>-5755.1769660998825</v>
      </c>
      <c r="AJ240">
        <f t="shared" si="179"/>
        <v>55000</v>
      </c>
      <c r="AK240">
        <f t="shared" si="180"/>
        <v>4818.1821074887512</v>
      </c>
      <c r="AL240">
        <v>1</v>
      </c>
      <c r="AM240">
        <f t="shared" si="181"/>
        <v>6.8263195452952505</v>
      </c>
      <c r="AN240">
        <f t="shared" si="196"/>
        <v>1846.4908535036229</v>
      </c>
      <c r="AO240">
        <f t="shared" si="197"/>
        <v>-7786.5544959919389</v>
      </c>
      <c r="AQ240">
        <f t="shared" si="182"/>
        <v>0.67353692794013287</v>
      </c>
      <c r="AR240">
        <f t="shared" si="183"/>
        <v>-46.144014933178504</v>
      </c>
      <c r="AT240">
        <f t="shared" si="209"/>
        <v>-245988.44603354394</v>
      </c>
      <c r="AU240">
        <f t="shared" si="210"/>
        <v>-1345201.1290497317</v>
      </c>
      <c r="AV240">
        <f t="shared" si="198"/>
        <v>-1.7516616946906596</v>
      </c>
      <c r="AW240">
        <f t="shared" si="199"/>
        <v>-325493.07780517411</v>
      </c>
      <c r="AX240">
        <f t="shared" si="200"/>
        <v>-148153.02654679181</v>
      </c>
      <c r="AY240">
        <f t="shared" si="208"/>
        <v>-2.7144518983029107</v>
      </c>
      <c r="BA240">
        <f t="shared" si="184"/>
        <v>3.8238670483994994</v>
      </c>
      <c r="BB240">
        <f t="shared" si="201"/>
        <v>11.650055678617724</v>
      </c>
      <c r="BC240">
        <f t="shared" si="202"/>
        <v>0.96279020361225109</v>
      </c>
      <c r="BD240">
        <f t="shared" si="185"/>
        <v>-124.83618471344298</v>
      </c>
      <c r="BF240">
        <f t="shared" si="186"/>
        <v>-0.51485213544652986</v>
      </c>
      <c r="BG240">
        <f t="shared" si="187"/>
        <v>-113.26470787966328</v>
      </c>
      <c r="BH240">
        <f t="shared" si="203"/>
        <v>66.735292120336723</v>
      </c>
      <c r="BI240">
        <f t="shared" si="204"/>
        <v>66.735292120336723</v>
      </c>
      <c r="BJ240">
        <f t="shared" si="188"/>
        <v>0</v>
      </c>
      <c r="BK240">
        <f t="shared" si="205"/>
        <v>0</v>
      </c>
      <c r="BM240">
        <f t="shared" si="206"/>
        <v>-12.164907814064254</v>
      </c>
      <c r="BN240">
        <f t="shared" si="189"/>
        <v>-168.42852316622032</v>
      </c>
      <c r="BQ240" s="75">
        <f t="shared" si="207"/>
        <v>28.552016478902861</v>
      </c>
      <c r="BR240" s="80"/>
      <c r="BS240" s="80"/>
      <c r="BT240" s="80">
        <v>19952.623</v>
      </c>
      <c r="BU240" s="80">
        <v>-3.67421</v>
      </c>
      <c r="BV240" s="80">
        <v>-174.244</v>
      </c>
      <c r="BY240" s="80"/>
      <c r="BZ240" s="80"/>
      <c r="CA240" s="80"/>
      <c r="CC240" s="80"/>
    </row>
    <row r="241" spans="1:81">
      <c r="A241">
        <f t="shared" si="211"/>
        <v>135000</v>
      </c>
      <c r="B241">
        <f t="shared" si="191"/>
        <v>135</v>
      </c>
      <c r="C241">
        <f t="shared" si="159"/>
        <v>1.0123693100501985</v>
      </c>
      <c r="D241">
        <f t="shared" si="160"/>
        <v>0.15648093581035688</v>
      </c>
      <c r="F241">
        <f t="shared" si="161"/>
        <v>2.505896446369741E-2</v>
      </c>
      <c r="G241">
        <f t="shared" si="162"/>
        <v>4.9196357698256074E-2</v>
      </c>
      <c r="H241">
        <f t="shared" si="163"/>
        <v>-3.0923962923017441</v>
      </c>
      <c r="J241">
        <f t="shared" si="164"/>
        <v>9</v>
      </c>
      <c r="M241">
        <f t="shared" si="165"/>
        <v>3.1264599176077455E-2</v>
      </c>
      <c r="N241">
        <f t="shared" si="166"/>
        <v>-1.5707963250000001</v>
      </c>
      <c r="O241">
        <f t="shared" si="167"/>
        <v>17.390347346355927</v>
      </c>
      <c r="P241">
        <f t="shared" si="168"/>
        <v>1.5132614251604497</v>
      </c>
      <c r="Q241">
        <f t="shared" si="169"/>
        <v>7.1590559495102966</v>
      </c>
      <c r="R241">
        <f t="shared" si="170"/>
        <v>1.4306548338850003</v>
      </c>
      <c r="S241">
        <f t="shared" si="171"/>
        <v>0.99588749559712053</v>
      </c>
      <c r="T241">
        <f t="shared" si="172"/>
        <v>-9.0722943959251304E-2</v>
      </c>
      <c r="U241">
        <f t="shared" si="173"/>
        <v>0.99009414676376928</v>
      </c>
      <c r="V241">
        <f t="shared" si="174"/>
        <v>-0.14087051427885772</v>
      </c>
      <c r="X241">
        <f t="shared" si="192"/>
        <v>-1.1470349712745067</v>
      </c>
      <c r="Y241">
        <f t="shared" si="175"/>
        <v>-102.81090978587827</v>
      </c>
      <c r="Z241">
        <f t="shared" si="193"/>
        <v>77.189090214121734</v>
      </c>
      <c r="AC241">
        <v>1</v>
      </c>
      <c r="AD241">
        <f t="shared" si="176"/>
        <v>17.361571957254004</v>
      </c>
      <c r="AE241">
        <f t="shared" si="177"/>
        <v>-8.2468996122273206E-5</v>
      </c>
      <c r="AF241">
        <f t="shared" si="178"/>
        <v>5.8154649862680007E-4</v>
      </c>
      <c r="AG241">
        <f t="shared" si="194"/>
        <v>29026.567992483895</v>
      </c>
      <c r="AH241">
        <f t="shared" si="195"/>
        <v>-5835.804929148022</v>
      </c>
      <c r="AJ241">
        <f t="shared" si="179"/>
        <v>55000</v>
      </c>
      <c r="AK241">
        <f t="shared" si="180"/>
        <v>5003.4968039306259</v>
      </c>
      <c r="AL241">
        <v>1</v>
      </c>
      <c r="AM241">
        <f t="shared" si="181"/>
        <v>7.088870297037376</v>
      </c>
      <c r="AN241">
        <f t="shared" si="196"/>
        <v>1765.1797973589298</v>
      </c>
      <c r="AO241">
        <f t="shared" si="197"/>
        <v>-7509.6338304975461</v>
      </c>
      <c r="AQ241">
        <f t="shared" si="182"/>
        <v>0.62457889503766495</v>
      </c>
      <c r="AR241">
        <f t="shared" si="183"/>
        <v>-44.435665487454671</v>
      </c>
      <c r="AT241">
        <f t="shared" si="209"/>
        <v>-241188.49391817936</v>
      </c>
      <c r="AU241">
        <f t="shared" si="210"/>
        <v>-1293459.7861571757</v>
      </c>
      <c r="AV241">
        <f t="shared" si="198"/>
        <v>-1.7551468667138268</v>
      </c>
      <c r="AW241">
        <f t="shared" si="199"/>
        <v>-300419.94187623158</v>
      </c>
      <c r="AX241">
        <f t="shared" si="200"/>
        <v>-139015.8539221806</v>
      </c>
      <c r="AY241">
        <f t="shared" si="208"/>
        <v>-2.7081960829048168</v>
      </c>
      <c r="BA241">
        <f t="shared" si="184"/>
        <v>3.9747891744275039</v>
      </c>
      <c r="BB241">
        <f t="shared" si="201"/>
        <v>11.986281966461359</v>
      </c>
      <c r="BC241">
        <f t="shared" si="202"/>
        <v>0.95304921619099003</v>
      </c>
      <c r="BD241">
        <f t="shared" si="185"/>
        <v>-125.39430218160901</v>
      </c>
      <c r="BF241">
        <f t="shared" si="186"/>
        <v>-0.84282601856458372</v>
      </c>
      <c r="BG241">
        <f t="shared" si="187"/>
        <v>-113.60986130842629</v>
      </c>
      <c r="BH241">
        <f t="shared" si="203"/>
        <v>66.390138691573711</v>
      </c>
      <c r="BI241">
        <f t="shared" si="204"/>
        <v>66.390138691573711</v>
      </c>
      <c r="BJ241">
        <f t="shared" si="188"/>
        <v>0</v>
      </c>
      <c r="BK241">
        <f t="shared" si="205"/>
        <v>0</v>
      </c>
      <c r="BM241">
        <f t="shared" si="206"/>
        <v>-12.829107985025942</v>
      </c>
      <c r="BN241">
        <f t="shared" si="189"/>
        <v>-168.21555912681731</v>
      </c>
      <c r="BQ241" s="75">
        <f t="shared" si="207"/>
        <v>28.888242766746494</v>
      </c>
      <c r="BR241" s="80"/>
      <c r="BS241" s="80"/>
      <c r="BT241" s="80">
        <v>20417.379000000001</v>
      </c>
      <c r="BU241" s="80">
        <v>-3.6440899999999998</v>
      </c>
      <c r="BV241" s="80">
        <v>-173.369</v>
      </c>
      <c r="BY241" s="80"/>
      <c r="BZ241" s="80"/>
      <c r="CA241" s="80"/>
      <c r="CC241" s="80"/>
    </row>
    <row r="242" spans="1:81">
      <c r="A242">
        <f t="shared" si="211"/>
        <v>140000</v>
      </c>
      <c r="B242">
        <f t="shared" si="191"/>
        <v>140</v>
      </c>
      <c r="C242">
        <f t="shared" si="159"/>
        <v>1.0132963971679034</v>
      </c>
      <c r="D242">
        <f t="shared" si="160"/>
        <v>0.16217719438685993</v>
      </c>
      <c r="F242">
        <f t="shared" si="161"/>
        <v>2.3262068700358119E-2</v>
      </c>
      <c r="G242">
        <f t="shared" si="162"/>
        <v>4.7358679682882605E-2</v>
      </c>
      <c r="H242">
        <f t="shared" si="163"/>
        <v>-3.0942339703171178</v>
      </c>
      <c r="J242">
        <f t="shared" si="164"/>
        <v>9</v>
      </c>
      <c r="M242">
        <f t="shared" si="165"/>
        <v>3.0148006348360408E-2</v>
      </c>
      <c r="N242">
        <f t="shared" si="166"/>
        <v>-1.5707963250000001</v>
      </c>
      <c r="O242">
        <f t="shared" si="167"/>
        <v>18.032342448161277</v>
      </c>
      <c r="P242">
        <f t="shared" si="168"/>
        <v>1.51531195069597</v>
      </c>
      <c r="Q242">
        <f t="shared" si="169"/>
        <v>7.4191233603734004</v>
      </c>
      <c r="R242">
        <f t="shared" si="170"/>
        <v>1.4355980168542841</v>
      </c>
      <c r="S242">
        <f t="shared" si="171"/>
        <v>0.99557927885378872</v>
      </c>
      <c r="T242">
        <f t="shared" si="172"/>
        <v>-9.4063618053038103E-2</v>
      </c>
      <c r="U242">
        <f t="shared" si="173"/>
        <v>0.98935867999714777</v>
      </c>
      <c r="V242">
        <f t="shared" si="174"/>
        <v>-0.14601538748218998</v>
      </c>
      <c r="X242">
        <f t="shared" si="192"/>
        <v>-1.4855940799279057</v>
      </c>
      <c r="Y242">
        <f t="shared" si="175"/>
        <v>-102.67530547117293</v>
      </c>
      <c r="Z242">
        <f t="shared" si="193"/>
        <v>77.324694528827067</v>
      </c>
      <c r="AC242">
        <v>1</v>
      </c>
      <c r="AD242">
        <f t="shared" si="176"/>
        <v>18.004593140856002</v>
      </c>
      <c r="AE242">
        <f t="shared" si="177"/>
        <v>-8.8690936844804092E-5</v>
      </c>
      <c r="AF242">
        <f t="shared" si="178"/>
        <v>6.0308525783519997E-4</v>
      </c>
      <c r="AG242">
        <f t="shared" si="194"/>
        <v>28983.460683478799</v>
      </c>
      <c r="AH242">
        <f t="shared" si="195"/>
        <v>-5920.5066524739686</v>
      </c>
      <c r="AJ242">
        <f t="shared" si="179"/>
        <v>55000</v>
      </c>
      <c r="AK242">
        <f t="shared" si="180"/>
        <v>5188.8115003725006</v>
      </c>
      <c r="AL242">
        <v>1</v>
      </c>
      <c r="AM242">
        <f t="shared" si="181"/>
        <v>7.3514210487795006</v>
      </c>
      <c r="AN242">
        <f t="shared" si="196"/>
        <v>1692.2129187760438</v>
      </c>
      <c r="AO242">
        <f t="shared" si="197"/>
        <v>-7251.3581697343043</v>
      </c>
      <c r="AQ242">
        <f t="shared" si="182"/>
        <v>0.580770821368634</v>
      </c>
      <c r="AR242">
        <f t="shared" si="183"/>
        <v>-42.84927120057781</v>
      </c>
      <c r="AT242">
        <f t="shared" si="209"/>
        <v>-236856.64692943267</v>
      </c>
      <c r="AU242">
        <f t="shared" si="210"/>
        <v>-1245358.6246691432</v>
      </c>
      <c r="AV242">
        <f t="shared" si="198"/>
        <v>-1.7587431116350811</v>
      </c>
      <c r="AW242">
        <f t="shared" si="199"/>
        <v>-277917.43600318627</v>
      </c>
      <c r="AX242">
        <f t="shared" si="200"/>
        <v>-130928.40826892386</v>
      </c>
      <c r="AY242">
        <f t="shared" si="208"/>
        <v>-2.7013267439589779</v>
      </c>
      <c r="BA242">
        <f t="shared" si="184"/>
        <v>4.1263849348001553</v>
      </c>
      <c r="BB242">
        <f t="shared" si="201"/>
        <v>12.311394784239475</v>
      </c>
      <c r="BC242">
        <f t="shared" si="202"/>
        <v>0.94258363232389675</v>
      </c>
      <c r="BD242">
        <f t="shared" si="185"/>
        <v>-125.99393596801883</v>
      </c>
      <c r="BF242">
        <f t="shared" si="186"/>
        <v>-1.1560583769817299</v>
      </c>
      <c r="BG242">
        <f t="shared" si="187"/>
        <v>-113.98841471351959</v>
      </c>
      <c r="BH242">
        <f t="shared" si="203"/>
        <v>66.011585286480411</v>
      </c>
      <c r="BI242">
        <f t="shared" si="204"/>
        <v>66.011585286480411</v>
      </c>
      <c r="BJ242">
        <f t="shared" si="188"/>
        <v>0</v>
      </c>
      <c r="BK242">
        <f t="shared" si="205"/>
        <v>0</v>
      </c>
      <c r="BM242">
        <f t="shared" si="206"/>
        <v>-13.467453161221206</v>
      </c>
      <c r="BN242">
        <f t="shared" si="189"/>
        <v>-167.99447874550077</v>
      </c>
      <c r="BQ242" s="75">
        <f t="shared" si="207"/>
        <v>29.213355584524614</v>
      </c>
      <c r="BR242" s="80"/>
      <c r="BS242" s="80"/>
      <c r="BT242" s="80">
        <v>20892.960999999999</v>
      </c>
      <c r="BU242" s="80">
        <v>-3.5620099999999999</v>
      </c>
      <c r="BV242" s="80">
        <v>-172.084</v>
      </c>
      <c r="BY242" s="80"/>
      <c r="BZ242" s="80"/>
      <c r="CA242" s="80"/>
      <c r="CC242" s="80"/>
    </row>
    <row r="243" spans="1:81">
      <c r="A243">
        <f t="shared" si="211"/>
        <v>145000</v>
      </c>
      <c r="B243">
        <f t="shared" si="191"/>
        <v>145</v>
      </c>
      <c r="C243">
        <f t="shared" si="159"/>
        <v>1.0142563023526194</v>
      </c>
      <c r="D243">
        <f t="shared" si="160"/>
        <v>0.16786285513715729</v>
      </c>
      <c r="F243">
        <f t="shared" si="161"/>
        <v>2.1652941352090851E-2</v>
      </c>
      <c r="G243">
        <f t="shared" si="162"/>
        <v>4.5655873085756547E-2</v>
      </c>
      <c r="H243">
        <f t="shared" si="163"/>
        <v>-3.0959367769142436</v>
      </c>
      <c r="J243">
        <f t="shared" si="164"/>
        <v>9</v>
      </c>
      <c r="M243">
        <f t="shared" si="165"/>
        <v>2.9108419922554873E-2</v>
      </c>
      <c r="N243">
        <f t="shared" si="166"/>
        <v>-1.5707963250000001</v>
      </c>
      <c r="O243">
        <f t="shared" si="167"/>
        <v>18.674408156451207</v>
      </c>
      <c r="P243">
        <f t="shared" si="168"/>
        <v>1.5172214809840587</v>
      </c>
      <c r="Q243">
        <f t="shared" si="169"/>
        <v>7.6793597766440476</v>
      </c>
      <c r="R243">
        <f t="shared" si="170"/>
        <v>1.4402062792104169</v>
      </c>
      <c r="S243">
        <f t="shared" si="171"/>
        <v>0.99526015600444129</v>
      </c>
      <c r="T243">
        <f t="shared" si="172"/>
        <v>-9.7402187747559502E-2</v>
      </c>
      <c r="U243">
        <f t="shared" si="173"/>
        <v>0.98859819579290453</v>
      </c>
      <c r="V243">
        <f t="shared" si="174"/>
        <v>-0.151152487136064</v>
      </c>
      <c r="X243">
        <f t="shared" si="192"/>
        <v>-1.8109190314929977</v>
      </c>
      <c r="Y243">
        <f t="shared" si="175"/>
        <v>-102.5592828096036</v>
      </c>
      <c r="Z243">
        <f t="shared" si="193"/>
        <v>77.440717190396398</v>
      </c>
      <c r="AC243">
        <v>1</v>
      </c>
      <c r="AD243">
        <f t="shared" si="176"/>
        <v>18.647614324458004</v>
      </c>
      <c r="AE243">
        <f t="shared" si="177"/>
        <v>-9.5139129957245213E-5</v>
      </c>
      <c r="AF243">
        <f t="shared" si="178"/>
        <v>6.2462401704360009E-4</v>
      </c>
      <c r="AG243">
        <f t="shared" si="194"/>
        <v>28938.920734031162</v>
      </c>
      <c r="AH243">
        <f t="shared" si="195"/>
        <v>-6008.7726986575763</v>
      </c>
      <c r="AJ243">
        <f t="shared" si="179"/>
        <v>55000</v>
      </c>
      <c r="AK243">
        <f t="shared" si="180"/>
        <v>5374.1261968143754</v>
      </c>
      <c r="AL243">
        <v>1</v>
      </c>
      <c r="AM243">
        <f t="shared" si="181"/>
        <v>7.6139718005216253</v>
      </c>
      <c r="AN243">
        <f t="shared" si="196"/>
        <v>1626.492636813949</v>
      </c>
      <c r="AO243">
        <f t="shared" si="197"/>
        <v>-7009.9428736430955</v>
      </c>
      <c r="AQ243">
        <f t="shared" si="182"/>
        <v>0.54141497287816187</v>
      </c>
      <c r="AR243">
        <f t="shared" si="183"/>
        <v>-41.372225152484738</v>
      </c>
      <c r="AT243">
        <f t="shared" si="209"/>
        <v>-232928.33199462583</v>
      </c>
      <c r="AU243">
        <f t="shared" si="210"/>
        <v>-1200520.7837859208</v>
      </c>
      <c r="AV243">
        <f t="shared" si="198"/>
        <v>-1.7624379707942097</v>
      </c>
      <c r="AW243">
        <f t="shared" si="199"/>
        <v>-257648.82624831266</v>
      </c>
      <c r="AX243">
        <f t="shared" si="200"/>
        <v>-123732.75788480541</v>
      </c>
      <c r="AY243">
        <f t="shared" si="208"/>
        <v>-2.6938792606352964</v>
      </c>
      <c r="BA243">
        <f t="shared" si="184"/>
        <v>4.2786068819908305</v>
      </c>
      <c r="BB243">
        <f t="shared" si="201"/>
        <v>12.626047707593306</v>
      </c>
      <c r="BC243">
        <f t="shared" si="202"/>
        <v>0.93144128984108665</v>
      </c>
      <c r="BD243">
        <f t="shared" si="185"/>
        <v>-126.63234516690267</v>
      </c>
      <c r="BF243">
        <f t="shared" si="186"/>
        <v>-1.4558098120120504</v>
      </c>
      <c r="BG243">
        <f t="shared" si="187"/>
        <v>-114.39862317874976</v>
      </c>
      <c r="BH243">
        <f t="shared" si="203"/>
        <v>65.601376821250241</v>
      </c>
      <c r="BI243">
        <f t="shared" si="204"/>
        <v>65.601376821250241</v>
      </c>
      <c r="BJ243">
        <f t="shared" si="188"/>
        <v>0</v>
      </c>
      <c r="BK243">
        <f t="shared" si="205"/>
        <v>0</v>
      </c>
      <c r="BM243">
        <f t="shared" si="206"/>
        <v>-14.081857519605359</v>
      </c>
      <c r="BN243">
        <f t="shared" si="189"/>
        <v>-167.76627801184708</v>
      </c>
      <c r="BQ243" s="75">
        <f t="shared" si="207"/>
        <v>29.52800850787844</v>
      </c>
      <c r="BR243" s="80"/>
      <c r="BS243" s="80"/>
      <c r="BT243" s="80">
        <v>21379.620999999999</v>
      </c>
      <c r="BU243" s="80">
        <v>-3.5589</v>
      </c>
      <c r="BV243" s="80">
        <v>-170.62899999999999</v>
      </c>
      <c r="BY243" s="80"/>
      <c r="BZ243" s="80"/>
      <c r="CA243" s="80"/>
      <c r="CC243" s="80"/>
    </row>
    <row r="244" spans="1:81">
      <c r="A244">
        <f t="shared" si="211"/>
        <v>150000</v>
      </c>
      <c r="B244">
        <f t="shared" si="191"/>
        <v>150</v>
      </c>
      <c r="C244">
        <f t="shared" si="159"/>
        <v>1.0152489325171332</v>
      </c>
      <c r="D244">
        <f t="shared" si="160"/>
        <v>0.17353758105903533</v>
      </c>
      <c r="F244">
        <f t="shared" si="161"/>
        <v>2.020615549991904E-2</v>
      </c>
      <c r="G244">
        <f t="shared" si="162"/>
        <v>4.4073386400816032E-2</v>
      </c>
      <c r="H244">
        <f t="shared" si="163"/>
        <v>-3.0975192635991844</v>
      </c>
      <c r="J244">
        <f t="shared" si="164"/>
        <v>9</v>
      </c>
      <c r="M244">
        <f t="shared" si="165"/>
        <v>2.8138139258469714E-2</v>
      </c>
      <c r="N244">
        <f t="shared" si="166"/>
        <v>-1.5707963250000001</v>
      </c>
      <c r="O244">
        <f t="shared" si="167"/>
        <v>19.316537430523759</v>
      </c>
      <c r="P244">
        <f t="shared" si="168"/>
        <v>1.5190040624381071</v>
      </c>
      <c r="Q244">
        <f t="shared" si="169"/>
        <v>7.9397485801704999</v>
      </c>
      <c r="R244">
        <f t="shared" si="170"/>
        <v>1.444512366639086</v>
      </c>
      <c r="S244">
        <f t="shared" si="171"/>
        <v>0.99493015886401093</v>
      </c>
      <c r="T244">
        <f t="shared" si="172"/>
        <v>-0.10073858067884785</v>
      </c>
      <c r="U244">
        <f t="shared" si="173"/>
        <v>0.98781287206261703</v>
      </c>
      <c r="V244">
        <f t="shared" si="174"/>
        <v>-0.15628156033880694</v>
      </c>
      <c r="X244">
        <f t="shared" si="192"/>
        <v>-2.1240515303845942</v>
      </c>
      <c r="Y244">
        <f t="shared" si="175"/>
        <v>-102.46099522371557</v>
      </c>
      <c r="Z244">
        <f t="shared" si="193"/>
        <v>77.539004776284429</v>
      </c>
      <c r="AC244">
        <v>1</v>
      </c>
      <c r="AD244">
        <f t="shared" si="176"/>
        <v>19.290635508060003</v>
      </c>
      <c r="AE244">
        <f t="shared" si="177"/>
        <v>-1.0181357545959654E-4</v>
      </c>
      <c r="AF244">
        <f t="shared" si="178"/>
        <v>6.46162776252E-4</v>
      </c>
      <c r="AG244">
        <f t="shared" si="194"/>
        <v>28892.961931843984</v>
      </c>
      <c r="AH244">
        <f t="shared" si="195"/>
        <v>-6100.1591313607451</v>
      </c>
      <c r="AJ244">
        <f t="shared" si="179"/>
        <v>55000</v>
      </c>
      <c r="AK244">
        <f t="shared" si="180"/>
        <v>5559.4408932562501</v>
      </c>
      <c r="AL244">
        <v>1</v>
      </c>
      <c r="AM244">
        <f t="shared" si="181"/>
        <v>7.8765225522637508</v>
      </c>
      <c r="AN244">
        <f t="shared" si="196"/>
        <v>1567.0951242540023</v>
      </c>
      <c r="AO244">
        <f t="shared" si="197"/>
        <v>-6783.8191944729615</v>
      </c>
      <c r="AQ244">
        <f t="shared" si="182"/>
        <v>0.50592789247512271</v>
      </c>
      <c r="AR244">
        <f t="shared" si="183"/>
        <v>-39.993599900158451</v>
      </c>
      <c r="AT244">
        <f t="shared" si="209"/>
        <v>-229349.56828939798</v>
      </c>
      <c r="AU244">
        <f t="shared" si="210"/>
        <v>-1158619.8000857697</v>
      </c>
      <c r="AV244">
        <f t="shared" si="198"/>
        <v>-1.7662206048438023</v>
      </c>
      <c r="AW244">
        <f t="shared" si="199"/>
        <v>-239330.45024313164</v>
      </c>
      <c r="AX244">
        <f t="shared" si="200"/>
        <v>-117299.56132502164</v>
      </c>
      <c r="AY244">
        <f t="shared" si="208"/>
        <v>-2.6858838735860902</v>
      </c>
      <c r="BA244">
        <f t="shared" si="184"/>
        <v>4.4314018838119917</v>
      </c>
      <c r="BB244">
        <f t="shared" si="201"/>
        <v>12.930822759636273</v>
      </c>
      <c r="BC244">
        <f t="shared" si="202"/>
        <v>0.91966326874228788</v>
      </c>
      <c r="BD244">
        <f t="shared" si="185"/>
        <v>-127.30717606765097</v>
      </c>
      <c r="BF244">
        <f t="shared" si="186"/>
        <v>-1.7432024040364698</v>
      </c>
      <c r="BG244">
        <f t="shared" si="187"/>
        <v>-114.83898604219583</v>
      </c>
      <c r="BH244">
        <f t="shared" si="203"/>
        <v>65.161013957804172</v>
      </c>
      <c r="BI244">
        <f t="shared" si="204"/>
        <v>65.161013957804172</v>
      </c>
      <c r="BJ244">
        <f t="shared" si="188"/>
        <v>0</v>
      </c>
      <c r="BK244">
        <f t="shared" si="205"/>
        <v>0</v>
      </c>
      <c r="BM244">
        <f t="shared" si="206"/>
        <v>-14.674025163672743</v>
      </c>
      <c r="BN244">
        <f t="shared" si="189"/>
        <v>-167.53180997454487</v>
      </c>
      <c r="BQ244" s="75">
        <f t="shared" si="207"/>
        <v>29.83278355992141</v>
      </c>
      <c r="BR244" s="80"/>
      <c r="BS244" s="80"/>
      <c r="BT244" s="80">
        <v>21877.616000000002</v>
      </c>
      <c r="BU244" s="80">
        <v>-3.49654</v>
      </c>
      <c r="BV244" s="80">
        <v>-169.465</v>
      </c>
      <c r="BY244" s="80"/>
      <c r="BZ244" s="80"/>
      <c r="CA244" s="80"/>
      <c r="CC244" s="80"/>
    </row>
    <row r="245" spans="1:81">
      <c r="A245">
        <f t="shared" si="211"/>
        <v>155000</v>
      </c>
      <c r="B245">
        <f t="shared" si="191"/>
        <v>155</v>
      </c>
      <c r="C245">
        <f t="shared" si="159"/>
        <v>1.0162741917705895</v>
      </c>
      <c r="D245">
        <f t="shared" si="160"/>
        <v>0.17920103926199191</v>
      </c>
      <c r="F245">
        <f t="shared" si="161"/>
        <v>1.8900469119884827E-2</v>
      </c>
      <c r="G245">
        <f t="shared" si="162"/>
        <v>4.259871517166125E-2</v>
      </c>
      <c r="H245">
        <f t="shared" si="163"/>
        <v>-3.0989939348283388</v>
      </c>
      <c r="J245">
        <f t="shared" si="164"/>
        <v>9</v>
      </c>
      <c r="M245">
        <f t="shared" si="165"/>
        <v>2.7230457346906174E-2</v>
      </c>
      <c r="N245">
        <f t="shared" si="166"/>
        <v>-1.5707963250000001</v>
      </c>
      <c r="O245">
        <f t="shared" si="167"/>
        <v>19.958724135100457</v>
      </c>
      <c r="P245">
        <f t="shared" si="168"/>
        <v>1.5206719371591464</v>
      </c>
      <c r="Q245">
        <f t="shared" si="169"/>
        <v>8.2002752544034241</v>
      </c>
      <c r="R245">
        <f t="shared" si="170"/>
        <v>1.4485449120107181</v>
      </c>
      <c r="S245">
        <f t="shared" si="171"/>
        <v>0.99458932027414693</v>
      </c>
      <c r="T245">
        <f t="shared" si="172"/>
        <v>-0.10407272477110502</v>
      </c>
      <c r="U245">
        <f t="shared" si="173"/>
        <v>0.98700289175704548</v>
      </c>
      <c r="V245">
        <f t="shared" si="174"/>
        <v>-0.16140235666749192</v>
      </c>
      <c r="X245">
        <f t="shared" si="192"/>
        <v>-2.4259130391096408</v>
      </c>
      <c r="Y245">
        <f t="shared" si="175"/>
        <v>-102.37881779813635</v>
      </c>
      <c r="Z245">
        <f t="shared" si="193"/>
        <v>77.621182201863647</v>
      </c>
      <c r="AC245">
        <v>1</v>
      </c>
      <c r="AD245">
        <f t="shared" si="176"/>
        <v>19.933656691662001</v>
      </c>
      <c r="AE245">
        <f t="shared" si="177"/>
        <v>-1.0871427335185809E-4</v>
      </c>
      <c r="AF245">
        <f t="shared" si="178"/>
        <v>6.6770153546040001E-4</v>
      </c>
      <c r="AG245">
        <f t="shared" si="194"/>
        <v>28845.598436211123</v>
      </c>
      <c r="AH245">
        <f t="shared" si="195"/>
        <v>-6194.2770141158071</v>
      </c>
      <c r="AJ245">
        <f t="shared" si="179"/>
        <v>55000</v>
      </c>
      <c r="AK245">
        <f t="shared" si="180"/>
        <v>5744.7555896981257</v>
      </c>
      <c r="AL245">
        <v>1</v>
      </c>
      <c r="AM245">
        <f t="shared" si="181"/>
        <v>8.1390733040058763</v>
      </c>
      <c r="AN245">
        <f t="shared" si="196"/>
        <v>1513.2384848955257</v>
      </c>
      <c r="AO245">
        <f t="shared" si="197"/>
        <v>-6571.6033653093464</v>
      </c>
      <c r="AQ245">
        <f t="shared" si="182"/>
        <v>0.47381865532760581</v>
      </c>
      <c r="AR245">
        <f t="shared" si="183"/>
        <v>-38.703876860435486</v>
      </c>
      <c r="AT245">
        <f t="shared" si="209"/>
        <v>-226074.95213059857</v>
      </c>
      <c r="AU245">
        <f t="shared" si="210"/>
        <v>-1119371.4538462406</v>
      </c>
      <c r="AV245">
        <f t="shared" si="198"/>
        <v>-1.7700815348995897</v>
      </c>
      <c r="AW245">
        <f t="shared" si="199"/>
        <v>-222722.04689008425</v>
      </c>
      <c r="AX245">
        <f t="shared" si="200"/>
        <v>-111522.12124276745</v>
      </c>
      <c r="AY245">
        <f t="shared" si="208"/>
        <v>-2.6773665614587361</v>
      </c>
      <c r="BA245">
        <f t="shared" si="184"/>
        <v>4.5847104603648843</v>
      </c>
      <c r="BB245">
        <f t="shared" si="201"/>
        <v>13.226238274771351</v>
      </c>
      <c r="BC245">
        <f t="shared" si="202"/>
        <v>0.90728502655914633</v>
      </c>
      <c r="BD245">
        <f t="shared" si="185"/>
        <v>-128.01639710334618</v>
      </c>
      <c r="BF245">
        <f t="shared" si="186"/>
        <v>-2.0192419251485614</v>
      </c>
      <c r="BG245">
        <f t="shared" si="187"/>
        <v>-115.30820726273856</v>
      </c>
      <c r="BH245">
        <f t="shared" si="203"/>
        <v>64.691792737261437</v>
      </c>
      <c r="BI245">
        <f t="shared" si="204"/>
        <v>64.691792737261437</v>
      </c>
      <c r="BJ245">
        <f t="shared" si="188"/>
        <v>0</v>
      </c>
      <c r="BK245">
        <f t="shared" si="205"/>
        <v>0</v>
      </c>
      <c r="BM245">
        <f t="shared" si="206"/>
        <v>-15.245480199919912</v>
      </c>
      <c r="BN245">
        <f t="shared" si="189"/>
        <v>-167.29181015939238</v>
      </c>
      <c r="BQ245" s="75">
        <f t="shared" si="207"/>
        <v>30.128199075056486</v>
      </c>
      <c r="BR245" s="80"/>
      <c r="BS245" s="80"/>
      <c r="BT245" s="80">
        <v>22387.210999999999</v>
      </c>
      <c r="BU245" s="80">
        <v>-3.4356</v>
      </c>
      <c r="BV245" s="80">
        <v>-168.34299999999999</v>
      </c>
      <c r="BY245" s="80"/>
      <c r="BZ245" s="80"/>
      <c r="CA245" s="80"/>
      <c r="CC245" s="80"/>
    </row>
    <row r="246" spans="1:81">
      <c r="A246">
        <f t="shared" si="211"/>
        <v>160000</v>
      </c>
      <c r="B246">
        <f t="shared" si="191"/>
        <v>160</v>
      </c>
      <c r="C246">
        <f t="shared" si="159"/>
        <v>1.0173319814629675</v>
      </c>
      <c r="D246">
        <f t="shared" si="160"/>
        <v>0.18485290106711538</v>
      </c>
      <c r="F246">
        <f t="shared" si="161"/>
        <v>1.771802111303512E-2</v>
      </c>
      <c r="G246">
        <f t="shared" si="162"/>
        <v>4.1221050624513471E-2</v>
      </c>
      <c r="H246">
        <f t="shared" si="163"/>
        <v>-3.1003715993754866</v>
      </c>
      <c r="J246">
        <f t="shared" si="164"/>
        <v>9</v>
      </c>
      <c r="M246">
        <f t="shared" si="165"/>
        <v>2.6379505554815358E-2</v>
      </c>
      <c r="N246">
        <f t="shared" si="166"/>
        <v>-1.5707963250000001</v>
      </c>
      <c r="O246">
        <f t="shared" si="167"/>
        <v>20.600962899398152</v>
      </c>
      <c r="P246">
        <f t="shared" si="168"/>
        <v>1.5222358234119966</v>
      </c>
      <c r="Q246">
        <f t="shared" si="169"/>
        <v>8.4609270635151717</v>
      </c>
      <c r="R246">
        <f t="shared" si="170"/>
        <v>1.4523290583326742</v>
      </c>
      <c r="S246">
        <f t="shared" si="171"/>
        <v>0.99423767409425634</v>
      </c>
      <c r="T246">
        <f t="shared" si="172"/>
        <v>-0.10740454824564845</v>
      </c>
      <c r="U246">
        <f t="shared" si="173"/>
        <v>0.98616844275166171</v>
      </c>
      <c r="V246">
        <f t="shared" si="174"/>
        <v>-0.16651462824291807</v>
      </c>
      <c r="X246">
        <f t="shared" si="192"/>
        <v>-2.7173227851107837</v>
      </c>
      <c r="Y246">
        <f t="shared" si="175"/>
        <v>-102.31131564730649</v>
      </c>
      <c r="Z246">
        <f t="shared" si="193"/>
        <v>77.688684352693514</v>
      </c>
      <c r="AC246">
        <v>1</v>
      </c>
      <c r="AD246">
        <f t="shared" si="176"/>
        <v>20.576677875264</v>
      </c>
      <c r="AE246">
        <f t="shared" si="177"/>
        <v>-1.1584122363402984E-4</v>
      </c>
      <c r="AF246">
        <f t="shared" si="178"/>
        <v>6.8924029466880003E-4</v>
      </c>
      <c r="AG246">
        <f t="shared" si="194"/>
        <v>28796.844767479226</v>
      </c>
      <c r="AH246">
        <f t="shared" si="195"/>
        <v>-6290.7838792964221</v>
      </c>
      <c r="AJ246">
        <f t="shared" si="179"/>
        <v>55000</v>
      </c>
      <c r="AK246">
        <f t="shared" si="180"/>
        <v>5930.0702861400005</v>
      </c>
      <c r="AL246">
        <v>1</v>
      </c>
      <c r="AM246">
        <f t="shared" si="181"/>
        <v>8.4016240557480018</v>
      </c>
      <c r="AN246">
        <f t="shared" si="196"/>
        <v>1464.2574944773592</v>
      </c>
      <c r="AO246">
        <f t="shared" si="197"/>
        <v>-6372.0707032702767</v>
      </c>
      <c r="AQ246">
        <f t="shared" si="182"/>
        <v>0.4446718023962889</v>
      </c>
      <c r="AR246">
        <f t="shared" si="183"/>
        <v>-37.494726378055084</v>
      </c>
      <c r="AT246">
        <f t="shared" si="209"/>
        <v>-223066.07539161813</v>
      </c>
      <c r="AU246">
        <f t="shared" si="210"/>
        <v>-1082527.1493140531</v>
      </c>
      <c r="AV246">
        <f t="shared" si="198"/>
        <v>-1.7740124318466708</v>
      </c>
      <c r="AW246">
        <f t="shared" si="199"/>
        <v>-207619.06883354773</v>
      </c>
      <c r="AX246">
        <f t="shared" si="200"/>
        <v>-106311.81972038526</v>
      </c>
      <c r="AY246">
        <f t="shared" si="208"/>
        <v>-2.6683497662341917</v>
      </c>
      <c r="BA246">
        <f t="shared" si="184"/>
        <v>4.738466174762574</v>
      </c>
      <c r="BB246">
        <f t="shared" si="201"/>
        <v>13.512755695770808</v>
      </c>
      <c r="BC246">
        <f t="shared" si="202"/>
        <v>0.89433733438752094</v>
      </c>
      <c r="BD246">
        <f t="shared" si="185"/>
        <v>-128.75824522006258</v>
      </c>
      <c r="BF246">
        <f t="shared" si="186"/>
        <v>-2.2848358691149908</v>
      </c>
      <c r="BG246">
        <f t="shared" si="187"/>
        <v>-115.80516191548672</v>
      </c>
      <c r="BH246">
        <f t="shared" si="203"/>
        <v>64.194838084513279</v>
      </c>
      <c r="BI246">
        <f t="shared" si="204"/>
        <v>64.194838084513279</v>
      </c>
      <c r="BJ246">
        <f t="shared" si="188"/>
        <v>0</v>
      </c>
      <c r="BK246">
        <f t="shared" si="205"/>
        <v>0</v>
      </c>
      <c r="BM246">
        <f t="shared" si="206"/>
        <v>-15.797591564885799</v>
      </c>
      <c r="BN246">
        <f t="shared" si="189"/>
        <v>-167.04691669542416</v>
      </c>
      <c r="BQ246" s="75">
        <f t="shared" si="207"/>
        <v>30.414716496055945</v>
      </c>
      <c r="BR246" s="80"/>
      <c r="BS246" s="80"/>
      <c r="BT246" s="80">
        <v>22908.677</v>
      </c>
      <c r="BU246" s="80">
        <v>-3.37297</v>
      </c>
      <c r="BV246" s="80">
        <v>-167.03899999999999</v>
      </c>
      <c r="BY246" s="80"/>
      <c r="BZ246" s="80"/>
      <c r="CA246" s="80"/>
      <c r="CC246" s="80"/>
    </row>
    <row r="247" spans="1:81">
      <c r="A247">
        <f t="shared" si="211"/>
        <v>165000</v>
      </c>
      <c r="B247">
        <f t="shared" si="191"/>
        <v>165</v>
      </c>
      <c r="C247">
        <f t="shared" si="159"/>
        <v>1.0184222002305263</v>
      </c>
      <c r="D247">
        <f t="shared" si="160"/>
        <v>0.19049284210320075</v>
      </c>
      <c r="F247">
        <f t="shared" si="161"/>
        <v>1.664370268238104E-2</v>
      </c>
      <c r="G247">
        <f t="shared" si="162"/>
        <v>3.9930998847467071E-2</v>
      </c>
      <c r="H247">
        <f t="shared" si="163"/>
        <v>-3.1016616511525332</v>
      </c>
      <c r="J247">
        <f t="shared" si="164"/>
        <v>9</v>
      </c>
      <c r="M247">
        <f t="shared" si="165"/>
        <v>2.5580126598608827E-2</v>
      </c>
      <c r="N247">
        <f t="shared" si="166"/>
        <v>-1.5707963250000001</v>
      </c>
      <c r="O247">
        <f t="shared" si="167"/>
        <v>21.243249001714375</v>
      </c>
      <c r="P247">
        <f t="shared" si="168"/>
        <v>1.5237051453977544</v>
      </c>
      <c r="Q247">
        <f t="shared" si="169"/>
        <v>8.7216927883723674</v>
      </c>
      <c r="R247">
        <f t="shared" si="170"/>
        <v>1.4558869723300412</v>
      </c>
      <c r="S247">
        <f t="shared" si="171"/>
        <v>0.9938752551922948</v>
      </c>
      <c r="T247">
        <f t="shared" si="172"/>
        <v>-0.11073397962976041</v>
      </c>
      <c r="U247">
        <f t="shared" si="173"/>
        <v>0.98530971772988973</v>
      </c>
      <c r="V247">
        <f t="shared" si="174"/>
        <v>-0.17161812979270472</v>
      </c>
      <c r="X247">
        <f t="shared" si="192"/>
        <v>-2.9990125063879014</v>
      </c>
      <c r="Y247">
        <f t="shared" si="175"/>
        <v>-102.25721741293235</v>
      </c>
      <c r="Z247">
        <f t="shared" si="193"/>
        <v>77.742782587067651</v>
      </c>
      <c r="AC247">
        <v>1</v>
      </c>
      <c r="AD247">
        <f t="shared" si="176"/>
        <v>21.219699058866002</v>
      </c>
      <c r="AE247">
        <f t="shared" si="177"/>
        <v>-1.2319442630611183E-4</v>
      </c>
      <c r="AF247">
        <f t="shared" si="178"/>
        <v>7.1077905387720004E-4</v>
      </c>
      <c r="AG247">
        <f t="shared" si="194"/>
        <v>28746.715796321019</v>
      </c>
      <c r="AH247">
        <f t="shared" si="195"/>
        <v>-6389.3767492721099</v>
      </c>
      <c r="AJ247">
        <f t="shared" si="179"/>
        <v>55000</v>
      </c>
      <c r="AK247">
        <f t="shared" si="180"/>
        <v>6115.3849825818761</v>
      </c>
      <c r="AL247">
        <v>1</v>
      </c>
      <c r="AM247">
        <f t="shared" si="181"/>
        <v>8.6641748074901255</v>
      </c>
      <c r="AN247">
        <f t="shared" si="196"/>
        <v>1419.5834100862971</v>
      </c>
      <c r="AO247">
        <f t="shared" si="197"/>
        <v>-6184.1338362187435</v>
      </c>
      <c r="AQ247">
        <f t="shared" si="182"/>
        <v>0.41813383635636087</v>
      </c>
      <c r="AR247">
        <f t="shared" si="183"/>
        <v>-36.35882774036736</v>
      </c>
      <c r="AT247">
        <f t="shared" si="209"/>
        <v>-220290.27403653131</v>
      </c>
      <c r="AU247">
        <f t="shared" si="210"/>
        <v>-1047868.5023518325</v>
      </c>
      <c r="AV247">
        <f t="shared" si="198"/>
        <v>-1.7780059436759443</v>
      </c>
      <c r="AW247">
        <f t="shared" si="199"/>
        <v>-193846.52910372629</v>
      </c>
      <c r="AX247">
        <f t="shared" si="200"/>
        <v>-101594.58319720054</v>
      </c>
      <c r="AY247">
        <f t="shared" si="208"/>
        <v>-2.6588529986781615</v>
      </c>
      <c r="BA247">
        <f t="shared" si="184"/>
        <v>4.8925950730858174</v>
      </c>
      <c r="BB247">
        <f t="shared" si="201"/>
        <v>13.790785472764798</v>
      </c>
      <c r="BC247">
        <f t="shared" si="202"/>
        <v>0.88084705500221716</v>
      </c>
      <c r="BD247">
        <f t="shared" si="185"/>
        <v>-129.53118129417604</v>
      </c>
      <c r="BF247">
        <f t="shared" si="186"/>
        <v>-2.5408082008582156</v>
      </c>
      <c r="BG247">
        <f t="shared" si="187"/>
        <v>-116.32886769342318</v>
      </c>
      <c r="BH247">
        <f t="shared" si="203"/>
        <v>63.671132306576823</v>
      </c>
      <c r="BI247">
        <f t="shared" si="204"/>
        <v>63.671132306576823</v>
      </c>
      <c r="BJ247">
        <f t="shared" si="188"/>
        <v>0</v>
      </c>
      <c r="BK247">
        <f t="shared" si="205"/>
        <v>0</v>
      </c>
      <c r="BM247">
        <f t="shared" si="206"/>
        <v>-16.331593673623011</v>
      </c>
      <c r="BN247">
        <f t="shared" si="189"/>
        <v>-166.79768639924714</v>
      </c>
      <c r="BQ247" s="75">
        <f t="shared" si="207"/>
        <v>30.692746273049934</v>
      </c>
      <c r="BR247" s="80"/>
      <c r="BS247" s="80"/>
      <c r="BT247" s="80">
        <v>23442.288</v>
      </c>
      <c r="BU247" s="80">
        <v>-3.29522</v>
      </c>
      <c r="BV247" s="80">
        <v>-165.876</v>
      </c>
      <c r="BY247" s="80"/>
      <c r="BZ247" s="80"/>
      <c r="CA247" s="80"/>
      <c r="CC247" s="80"/>
    </row>
    <row r="248" spans="1:81">
      <c r="A248">
        <f t="shared" si="211"/>
        <v>170000</v>
      </c>
      <c r="B248">
        <f t="shared" si="191"/>
        <v>170</v>
      </c>
      <c r="C248">
        <f t="shared" si="159"/>
        <v>1.0195447440421732</v>
      </c>
      <c r="D248">
        <f t="shared" si="160"/>
        <v>0.19612054239905252</v>
      </c>
      <c r="F248">
        <f t="shared" si="161"/>
        <v>1.5664661508811021E-2</v>
      </c>
      <c r="G248">
        <f t="shared" si="162"/>
        <v>3.8720354423881539E-2</v>
      </c>
      <c r="H248">
        <f t="shared" si="163"/>
        <v>-3.1028722955761188</v>
      </c>
      <c r="J248">
        <f t="shared" si="164"/>
        <v>9</v>
      </c>
      <c r="M248">
        <f t="shared" si="165"/>
        <v>2.4827769933943866E-2</v>
      </c>
      <c r="N248">
        <f t="shared" si="166"/>
        <v>-1.5707963250000001</v>
      </c>
      <c r="O248">
        <f t="shared" si="167"/>
        <v>21.885578274297899</v>
      </c>
      <c r="P248">
        <f t="shared" si="168"/>
        <v>1.5250882226962119</v>
      </c>
      <c r="Q248">
        <f t="shared" si="169"/>
        <v>8.9825625079845857</v>
      </c>
      <c r="R248">
        <f t="shared" si="170"/>
        <v>1.4592382703188815</v>
      </c>
      <c r="S248">
        <f t="shared" si="171"/>
        <v>0.99350209943530932</v>
      </c>
      <c r="T248">
        <f t="shared" si="172"/>
        <v>-0.11406094776543792</v>
      </c>
      <c r="U248">
        <f t="shared" si="173"/>
        <v>0.98442691406419824</v>
      </c>
      <c r="V248">
        <f t="shared" si="174"/>
        <v>-0.17671261871246735</v>
      </c>
      <c r="X248">
        <f t="shared" si="192"/>
        <v>-3.2716386199702536</v>
      </c>
      <c r="Y248">
        <f t="shared" si="175"/>
        <v>-102.21539297756442</v>
      </c>
      <c r="Z248">
        <f t="shared" si="193"/>
        <v>77.78460702243558</v>
      </c>
      <c r="AC248">
        <v>1</v>
      </c>
      <c r="AD248">
        <f t="shared" si="176"/>
        <v>21.862720242468004</v>
      </c>
      <c r="AE248">
        <f t="shared" si="177"/>
        <v>-1.3077388136810403E-4</v>
      </c>
      <c r="AF248">
        <f t="shared" si="178"/>
        <v>7.3231781308560006E-4</v>
      </c>
      <c r="AG248">
        <f t="shared" si="194"/>
        <v>28695.226732834435</v>
      </c>
      <c r="AH248">
        <f t="shared" si="195"/>
        <v>-6489.7863900997472</v>
      </c>
      <c r="AJ248">
        <f t="shared" si="179"/>
        <v>55000</v>
      </c>
      <c r="AK248">
        <f t="shared" si="180"/>
        <v>6300.6996790237508</v>
      </c>
      <c r="AL248">
        <v>1</v>
      </c>
      <c r="AM248">
        <f t="shared" si="181"/>
        <v>8.926725559232251</v>
      </c>
      <c r="AN248">
        <f t="shared" si="196"/>
        <v>1378.7277235489164</v>
      </c>
      <c r="AO248">
        <f t="shared" si="197"/>
        <v>-6006.8243300024578</v>
      </c>
      <c r="AQ248">
        <f t="shared" si="182"/>
        <v>0.39390245477842228</v>
      </c>
      <c r="AR248">
        <f t="shared" si="183"/>
        <v>-35.289720923598857</v>
      </c>
      <c r="AT248">
        <f t="shared" si="209"/>
        <v>-217719.63030990327</v>
      </c>
      <c r="AU248">
        <f t="shared" si="210"/>
        <v>-1015202.8860311685</v>
      </c>
      <c r="AV248">
        <f t="shared" si="198"/>
        <v>-1.7820555530850055</v>
      </c>
      <c r="AW248">
        <f t="shared" si="199"/>
        <v>-181254.04368050126</v>
      </c>
      <c r="AX248">
        <f t="shared" si="200"/>
        <v>-97308.122048675577</v>
      </c>
      <c r="AY248">
        <f t="shared" si="208"/>
        <v>-2.6488933480746093</v>
      </c>
      <c r="BA248">
        <f t="shared" si="184"/>
        <v>5.0470151720308714</v>
      </c>
      <c r="BB248">
        <f t="shared" si="201"/>
        <v>14.060692205707531</v>
      </c>
      <c r="BC248">
        <f t="shared" si="202"/>
        <v>0.86683779498960378</v>
      </c>
      <c r="BD248">
        <f t="shared" si="185"/>
        <v>-130.33385276791736</v>
      </c>
      <c r="BF248">
        <f t="shared" si="186"/>
        <v>-2.7879115067493765</v>
      </c>
      <c r="BG248">
        <f t="shared" si="187"/>
        <v>-116.878460507521</v>
      </c>
      <c r="BH248">
        <f t="shared" si="203"/>
        <v>63.121539492479002</v>
      </c>
      <c r="BI248">
        <f t="shared" si="204"/>
        <v>63.121539492479002</v>
      </c>
      <c r="BJ248">
        <f t="shared" si="188"/>
        <v>0</v>
      </c>
      <c r="BK248">
        <f t="shared" si="205"/>
        <v>0</v>
      </c>
      <c r="BM248">
        <f t="shared" si="206"/>
        <v>-16.848603712456907</v>
      </c>
      <c r="BN248">
        <f t="shared" si="189"/>
        <v>-166.54460773960366</v>
      </c>
      <c r="BQ248" s="75">
        <f t="shared" si="207"/>
        <v>30.962653005992667</v>
      </c>
      <c r="BR248" s="80"/>
      <c r="BS248" s="80"/>
      <c r="BT248" s="80">
        <v>23988.329000000002</v>
      </c>
      <c r="BU248" s="80">
        <v>-3.2437399999999998</v>
      </c>
      <c r="BV248" s="80">
        <v>-164.703</v>
      </c>
      <c r="BY248" s="80"/>
      <c r="BZ248" s="80"/>
      <c r="CA248" s="80"/>
      <c r="CC248" s="80"/>
    </row>
    <row r="249" spans="1:81">
      <c r="A249">
        <f t="shared" si="211"/>
        <v>175000</v>
      </c>
      <c r="B249">
        <f t="shared" si="191"/>
        <v>175</v>
      </c>
      <c r="C249">
        <f t="shared" si="159"/>
        <v>1.0206995062467068</v>
      </c>
      <c r="D249">
        <f t="shared" si="160"/>
        <v>0.20173568647193135</v>
      </c>
      <c r="F249">
        <f t="shared" si="161"/>
        <v>1.4769907489433973E-2</v>
      </c>
      <c r="G249">
        <f t="shared" si="162"/>
        <v>3.758191651065388E-2</v>
      </c>
      <c r="H249">
        <f t="shared" si="163"/>
        <v>-3.1040107334893463</v>
      </c>
      <c r="J249">
        <f t="shared" si="164"/>
        <v>9</v>
      </c>
      <c r="M249">
        <f t="shared" si="165"/>
        <v>2.4118405078688322E-2</v>
      </c>
      <c r="N249">
        <f t="shared" si="166"/>
        <v>-1.5707963250000001</v>
      </c>
      <c r="O249">
        <f t="shared" si="167"/>
        <v>22.52794702446549</v>
      </c>
      <c r="P249">
        <f t="shared" si="168"/>
        <v>1.5263924273967089</v>
      </c>
      <c r="Q249">
        <f t="shared" si="169"/>
        <v>9.2435274175735991</v>
      </c>
      <c r="R249">
        <f t="shared" si="170"/>
        <v>1.4624003732886008</v>
      </c>
      <c r="S249">
        <f t="shared" si="171"/>
        <v>0.993118243679739</v>
      </c>
      <c r="T249">
        <f t="shared" si="172"/>
        <v>-0.11738538181804085</v>
      </c>
      <c r="U249">
        <f t="shared" si="173"/>
        <v>0.98352023369518038</v>
      </c>
      <c r="V249">
        <f t="shared" si="174"/>
        <v>-0.18179785512504537</v>
      </c>
      <c r="X249">
        <f t="shared" si="192"/>
        <v>-3.535792335844012</v>
      </c>
      <c r="Y249">
        <f t="shared" si="175"/>
        <v>-102.18483465370169</v>
      </c>
      <c r="Z249">
        <f t="shared" si="193"/>
        <v>77.815165346298315</v>
      </c>
      <c r="AC249">
        <v>1</v>
      </c>
      <c r="AD249">
        <f t="shared" si="176"/>
        <v>22.505741426070003</v>
      </c>
      <c r="AE249">
        <f t="shared" si="177"/>
        <v>-1.3857958882000637E-4</v>
      </c>
      <c r="AF249">
        <f t="shared" si="178"/>
        <v>7.5385657229400007E-4</v>
      </c>
      <c r="AG249">
        <f t="shared" si="194"/>
        <v>28642.393115481671</v>
      </c>
      <c r="AH249">
        <f t="shared" si="195"/>
        <v>-6591.7725511669996</v>
      </c>
      <c r="AJ249">
        <f t="shared" si="179"/>
        <v>55000</v>
      </c>
      <c r="AK249">
        <f t="shared" si="180"/>
        <v>6486.0143754656256</v>
      </c>
      <c r="AL249">
        <v>1</v>
      </c>
      <c r="AM249">
        <f t="shared" si="181"/>
        <v>9.1892763109743765</v>
      </c>
      <c r="AN249">
        <f t="shared" si="196"/>
        <v>1341.2690060974157</v>
      </c>
      <c r="AO249">
        <f t="shared" si="197"/>
        <v>-5839.2771289095044</v>
      </c>
      <c r="AQ249">
        <f t="shared" si="182"/>
        <v>0.37171790437565727</v>
      </c>
      <c r="AR249">
        <f t="shared" si="183"/>
        <v>-34.281683731044993</v>
      </c>
      <c r="AT249">
        <f t="shared" si="209"/>
        <v>-215330.17148090008</v>
      </c>
      <c r="AU249">
        <f t="shared" si="210"/>
        <v>-984359.74196404393</v>
      </c>
      <c r="AV249">
        <f t="shared" si="198"/>
        <v>-1.7861554593370066</v>
      </c>
      <c r="AW249">
        <f t="shared" si="199"/>
        <v>-169711.81290083734</v>
      </c>
      <c r="AX249">
        <f t="shared" si="200"/>
        <v>-93399.75822750738</v>
      </c>
      <c r="AY249">
        <f t="shared" si="208"/>
        <v>-2.6384859150339639</v>
      </c>
      <c r="BA249">
        <f t="shared" si="184"/>
        <v>5.2016359951422846</v>
      </c>
      <c r="BB249">
        <f t="shared" si="201"/>
        <v>14.322799149306721</v>
      </c>
      <c r="BC249">
        <f t="shared" si="202"/>
        <v>0.85233045569695731</v>
      </c>
      <c r="BD249">
        <f t="shared" si="185"/>
        <v>-131.1650620823001</v>
      </c>
      <c r="BF249">
        <f t="shared" si="186"/>
        <v>-3.0268370654197927</v>
      </c>
      <c r="BG249">
        <f t="shared" si="187"/>
        <v>-117.45317345254239</v>
      </c>
      <c r="BH249">
        <f t="shared" si="203"/>
        <v>62.546826547457613</v>
      </c>
      <c r="BI249">
        <f t="shared" si="204"/>
        <v>62.546826547457613</v>
      </c>
      <c r="BJ249">
        <f t="shared" si="188"/>
        <v>0</v>
      </c>
      <c r="BK249">
        <f t="shared" si="205"/>
        <v>0</v>
      </c>
      <c r="BM249">
        <f t="shared" si="206"/>
        <v>-17.349636214726512</v>
      </c>
      <c r="BN249">
        <f t="shared" si="189"/>
        <v>-166.28811137024229</v>
      </c>
      <c r="BQ249" s="75">
        <f t="shared" si="207"/>
        <v>31.224759949591856</v>
      </c>
      <c r="BR249" s="80"/>
      <c r="BS249" s="80"/>
      <c r="BT249" s="80">
        <v>24547.089</v>
      </c>
      <c r="BU249" s="80">
        <v>-3.1709299999999998</v>
      </c>
      <c r="BV249" s="80">
        <v>-163.65100000000001</v>
      </c>
      <c r="BY249" s="80"/>
      <c r="BZ249" s="80"/>
      <c r="CA249" s="80"/>
      <c r="CC249" s="80"/>
    </row>
    <row r="250" spans="1:81">
      <c r="A250">
        <f t="shared" si="211"/>
        <v>180000</v>
      </c>
      <c r="B250">
        <f t="shared" si="191"/>
        <v>180</v>
      </c>
      <c r="C250">
        <f t="shared" si="159"/>
        <v>1.0218863776208866</v>
      </c>
      <c r="D250">
        <f t="shared" si="160"/>
        <v>0.20733796341210681</v>
      </c>
      <c r="F250">
        <f t="shared" si="161"/>
        <v>1.3949996857928085E-2</v>
      </c>
      <c r="G250">
        <f t="shared" si="162"/>
        <v>3.6509338301115205E-2</v>
      </c>
      <c r="H250">
        <f t="shared" si="163"/>
        <v>-3.105083311698885</v>
      </c>
      <c r="J250">
        <f t="shared" si="164"/>
        <v>9</v>
      </c>
      <c r="M250">
        <f t="shared" si="165"/>
        <v>2.3448449382058093E-2</v>
      </c>
      <c r="N250">
        <f t="shared" si="166"/>
        <v>-1.5707963250000001</v>
      </c>
      <c r="O250">
        <f t="shared" si="167"/>
        <v>23.170351968818874</v>
      </c>
      <c r="P250">
        <f t="shared" si="168"/>
        <v>1.5276243151653695</v>
      </c>
      <c r="Q250">
        <f t="shared" si="169"/>
        <v>9.5045796763192012</v>
      </c>
      <c r="R250">
        <f t="shared" si="170"/>
        <v>1.4653888044967955</v>
      </c>
      <c r="S250">
        <f t="shared" si="171"/>
        <v>0.99272372576147838</v>
      </c>
      <c r="T250">
        <f t="shared" si="172"/>
        <v>-0.12070721128483564</v>
      </c>
      <c r="U250">
        <f t="shared" si="173"/>
        <v>0.98258988300876049</v>
      </c>
      <c r="V250">
        <f t="shared" si="174"/>
        <v>-0.18687360193775479</v>
      </c>
      <c r="X250">
        <f t="shared" si="192"/>
        <v>-3.7920081194976185</v>
      </c>
      <c r="Y250">
        <f t="shared" si="175"/>
        <v>-102.16464124732931</v>
      </c>
      <c r="Z250">
        <f t="shared" si="193"/>
        <v>77.835358752670686</v>
      </c>
      <c r="AC250">
        <v>1</v>
      </c>
      <c r="AD250">
        <f t="shared" si="176"/>
        <v>23.148762609672005</v>
      </c>
      <c r="AE250">
        <f t="shared" si="177"/>
        <v>-1.4661154866181902E-4</v>
      </c>
      <c r="AF250">
        <f t="shared" si="178"/>
        <v>7.7539533150240009E-4</v>
      </c>
      <c r="AG250">
        <f t="shared" si="194"/>
        <v>28588.230799882509</v>
      </c>
      <c r="AH250">
        <f t="shared" si="195"/>
        <v>-6695.1199989991419</v>
      </c>
      <c r="AJ250">
        <f t="shared" si="179"/>
        <v>55000</v>
      </c>
      <c r="AK250">
        <f t="shared" si="180"/>
        <v>6671.3290719075012</v>
      </c>
      <c r="AL250">
        <v>1</v>
      </c>
      <c r="AM250">
        <f t="shared" si="181"/>
        <v>9.4518270627165002</v>
      </c>
      <c r="AN250">
        <f t="shared" si="196"/>
        <v>1306.8421926488986</v>
      </c>
      <c r="AO250">
        <f t="shared" si="197"/>
        <v>-5680.7173312711284</v>
      </c>
      <c r="AQ250">
        <f t="shared" si="182"/>
        <v>0.35135599189085487</v>
      </c>
      <c r="AR250">
        <f t="shared" si="183"/>
        <v>-33.329629390766492</v>
      </c>
      <c r="AT250">
        <f t="shared" si="209"/>
        <v>-213101.22210425293</v>
      </c>
      <c r="AU250">
        <f t="shared" si="210"/>
        <v>-955187.50802585657</v>
      </c>
      <c r="AV250">
        <f t="shared" si="198"/>
        <v>-1.7903004796945849</v>
      </c>
      <c r="AW250">
        <f t="shared" si="199"/>
        <v>-159107.34485042418</v>
      </c>
      <c r="AX250">
        <f t="shared" si="200"/>
        <v>-89824.703094542609</v>
      </c>
      <c r="AY250">
        <f t="shared" si="208"/>
        <v>-2.6276441820680478</v>
      </c>
      <c r="BA250">
        <f t="shared" si="184"/>
        <v>5.3563581605320998</v>
      </c>
      <c r="BB250">
        <f t="shared" si="201"/>
        <v>14.577392180623809</v>
      </c>
      <c r="BC250">
        <f t="shared" si="202"/>
        <v>0.83734370237346289</v>
      </c>
      <c r="BD250">
        <f t="shared" si="185"/>
        <v>-132.02373979732118</v>
      </c>
      <c r="BF250">
        <f t="shared" si="186"/>
        <v>-3.2582232392772665</v>
      </c>
      <c r="BG250">
        <f t="shared" si="187"/>
        <v>-118.05231854753566</v>
      </c>
      <c r="BH250">
        <f t="shared" si="203"/>
        <v>61.947681452464337</v>
      </c>
      <c r="BI250">
        <f t="shared" si="204"/>
        <v>61.947681452464337</v>
      </c>
      <c r="BJ250">
        <f t="shared" si="188"/>
        <v>0</v>
      </c>
      <c r="BK250">
        <f t="shared" si="205"/>
        <v>0</v>
      </c>
      <c r="BM250">
        <f t="shared" si="206"/>
        <v>-17.835615419901075</v>
      </c>
      <c r="BN250">
        <f t="shared" si="189"/>
        <v>-166.02857875021451</v>
      </c>
      <c r="BQ250" s="75">
        <f t="shared" si="207"/>
        <v>31.479352980908946</v>
      </c>
      <c r="BR250" s="80"/>
      <c r="BS250" s="80"/>
      <c r="BT250" s="80">
        <v>25118.864000000001</v>
      </c>
      <c r="BU250" s="80">
        <v>-3.1069800000000001</v>
      </c>
      <c r="BV250" s="80">
        <v>-162.52199999999999</v>
      </c>
      <c r="BY250" s="80"/>
      <c r="BZ250" s="80"/>
      <c r="CA250" s="80"/>
      <c r="CC250" s="80"/>
    </row>
    <row r="251" spans="1:81">
      <c r="A251">
        <f t="shared" si="211"/>
        <v>185000</v>
      </c>
      <c r="B251">
        <f t="shared" si="191"/>
        <v>185</v>
      </c>
      <c r="C251">
        <f t="shared" si="159"/>
        <v>1.023105246418285</v>
      </c>
      <c r="D251">
        <f t="shared" si="160"/>
        <v>0.21292706696348382</v>
      </c>
      <c r="F251">
        <f t="shared" si="161"/>
        <v>1.3196777311665669E-2</v>
      </c>
      <c r="G251">
        <f t="shared" si="162"/>
        <v>3.5497002967821344E-2</v>
      </c>
      <c r="H251">
        <f t="shared" si="163"/>
        <v>-3.1060956470321788</v>
      </c>
      <c r="J251">
        <f t="shared" si="164"/>
        <v>9</v>
      </c>
      <c r="M251">
        <f t="shared" si="165"/>
        <v>2.2814707506867333E-2</v>
      </c>
      <c r="N251">
        <f t="shared" si="166"/>
        <v>-1.5707963250000001</v>
      </c>
      <c r="O251">
        <f t="shared" si="167"/>
        <v>23.812790178093277</v>
      </c>
      <c r="P251">
        <f t="shared" si="168"/>
        <v>1.5287897351538675</v>
      </c>
      <c r="Q251">
        <f t="shared" si="169"/>
        <v>9.765712279298727</v>
      </c>
      <c r="R251">
        <f t="shared" si="170"/>
        <v>1.4682174401087087</v>
      </c>
      <c r="S251">
        <f t="shared" si="171"/>
        <v>0.99231858448570698</v>
      </c>
      <c r="T251">
        <f t="shared" si="172"/>
        <v>-0.12402636600343225</v>
      </c>
      <c r="U251">
        <f t="shared" si="173"/>
        <v>0.98163607271166498</v>
      </c>
      <c r="V251">
        <f t="shared" si="174"/>
        <v>-0.19193962489764141</v>
      </c>
      <c r="X251">
        <f t="shared" si="192"/>
        <v>-4.0407708169482195</v>
      </c>
      <c r="Y251">
        <f t="shared" si="175"/>
        <v>-102.15400450701166</v>
      </c>
      <c r="Z251">
        <f t="shared" si="193"/>
        <v>77.845995492988337</v>
      </c>
      <c r="AC251">
        <v>1</v>
      </c>
      <c r="AD251">
        <f t="shared" si="176"/>
        <v>23.791783793274004</v>
      </c>
      <c r="AE251">
        <f t="shared" si="177"/>
        <v>-1.5486976089354186E-4</v>
      </c>
      <c r="AF251">
        <f t="shared" si="178"/>
        <v>7.9693409071079999E-4</v>
      </c>
      <c r="AG251">
        <f t="shared" si="194"/>
        <v>28532.755947476351</v>
      </c>
      <c r="AH251">
        <f t="shared" si="195"/>
        <v>-6799.6351949083582</v>
      </c>
      <c r="AJ251">
        <f t="shared" si="179"/>
        <v>55000</v>
      </c>
      <c r="AK251">
        <f t="shared" si="180"/>
        <v>6856.643768349375</v>
      </c>
      <c r="AL251">
        <v>1</v>
      </c>
      <c r="AM251">
        <f t="shared" si="181"/>
        <v>9.7143778144586257</v>
      </c>
      <c r="AN251">
        <f t="shared" si="196"/>
        <v>1275.1298039886697</v>
      </c>
      <c r="AO251">
        <f t="shared" si="197"/>
        <v>-5530.4489100731325</v>
      </c>
      <c r="AQ251">
        <f t="shared" si="182"/>
        <v>0.33262239854037884</v>
      </c>
      <c r="AR251">
        <f t="shared" si="183"/>
        <v>-32.429020745694231</v>
      </c>
      <c r="AT251">
        <f t="shared" si="209"/>
        <v>-211014.87707861894</v>
      </c>
      <c r="AU251">
        <f t="shared" si="210"/>
        <v>-927551.04552027106</v>
      </c>
      <c r="AV251">
        <f t="shared" si="198"/>
        <v>-1.7944859667504978</v>
      </c>
      <c r="AW251">
        <f t="shared" si="199"/>
        <v>-149342.76890569364</v>
      </c>
      <c r="AX251">
        <f t="shared" si="200"/>
        <v>-86544.682642091313</v>
      </c>
      <c r="AY251">
        <f t="shared" si="208"/>
        <v>-2.6163803334688196</v>
      </c>
      <c r="BA251">
        <f t="shared" si="184"/>
        <v>5.511073024659523</v>
      </c>
      <c r="BB251">
        <f t="shared" si="201"/>
        <v>14.824723313946386</v>
      </c>
      <c r="BC251">
        <f t="shared" si="202"/>
        <v>0.82189436671832183</v>
      </c>
      <c r="BD251">
        <f t="shared" si="185"/>
        <v>-132.90892152765321</v>
      </c>
      <c r="BF251">
        <f t="shared" si="186"/>
        <v>-3.4826624975753022</v>
      </c>
      <c r="BG251">
        <f t="shared" si="187"/>
        <v>-118.67527077486227</v>
      </c>
      <c r="BH251">
        <f t="shared" si="203"/>
        <v>61.32472922513773</v>
      </c>
      <c r="BI251">
        <f t="shared" si="204"/>
        <v>61.32472922513773</v>
      </c>
      <c r="BJ251">
        <f t="shared" si="188"/>
        <v>0</v>
      </c>
      <c r="BK251">
        <f t="shared" si="205"/>
        <v>0</v>
      </c>
      <c r="BM251">
        <f t="shared" si="206"/>
        <v>-18.307385811521691</v>
      </c>
      <c r="BN251">
        <f t="shared" si="189"/>
        <v>-165.76634924720909</v>
      </c>
      <c r="BQ251" s="75">
        <f t="shared" si="207"/>
        <v>31.726684114231524</v>
      </c>
      <c r="BR251" s="80"/>
      <c r="BS251" s="80"/>
      <c r="BT251" s="80">
        <v>25703.957999999999</v>
      </c>
      <c r="BU251" s="80">
        <v>-3.0172699999999999</v>
      </c>
      <c r="BV251" s="80">
        <v>-161.32599999999999</v>
      </c>
      <c r="BY251" s="80"/>
      <c r="BZ251" s="80"/>
      <c r="CA251" s="80"/>
      <c r="CC251" s="80"/>
    </row>
    <row r="252" spans="1:81">
      <c r="A252">
        <f t="shared" si="211"/>
        <v>190000</v>
      </c>
      <c r="B252">
        <f t="shared" si="191"/>
        <v>190</v>
      </c>
      <c r="C252">
        <f t="shared" si="159"/>
        <v>1.024355998418869</v>
      </c>
      <c r="D252">
        <f t="shared" si="160"/>
        <v>0.21850269560027807</v>
      </c>
      <c r="F252">
        <f t="shared" si="161"/>
        <v>1.2503180999462531E-2</v>
      </c>
      <c r="G252">
        <f t="shared" si="162"/>
        <v>3.4539920773582589E-2</v>
      </c>
      <c r="H252">
        <f t="shared" si="163"/>
        <v>-3.1070527292264174</v>
      </c>
      <c r="J252">
        <f t="shared" si="164"/>
        <v>9</v>
      </c>
      <c r="M252">
        <f t="shared" si="165"/>
        <v>2.2214320467212931E-2</v>
      </c>
      <c r="N252">
        <f t="shared" si="166"/>
        <v>-1.5707963250000001</v>
      </c>
      <c r="O252">
        <f t="shared" si="167"/>
        <v>24.455259030686314</v>
      </c>
      <c r="P252">
        <f t="shared" si="168"/>
        <v>1.5298939226280486</v>
      </c>
      <c r="Q252">
        <f t="shared" si="169"/>
        <v>10.026918949262161</v>
      </c>
      <c r="R252">
        <f t="shared" si="170"/>
        <v>1.4708987212726146</v>
      </c>
      <c r="S252">
        <f t="shared" si="171"/>
        <v>0.99190285961649494</v>
      </c>
      <c r="T252">
        <f t="shared" si="172"/>
        <v>-0.12734277616011222</v>
      </c>
      <c r="U252">
        <f t="shared" si="173"/>
        <v>0.98065901770530128</v>
      </c>
      <c r="V252">
        <f t="shared" si="174"/>
        <v>-0.19699569264471206</v>
      </c>
      <c r="X252">
        <f t="shared" si="192"/>
        <v>-4.2825216886822677</v>
      </c>
      <c r="Y252">
        <f t="shared" si="175"/>
        <v>-102.1521975598759</v>
      </c>
      <c r="Z252">
        <f t="shared" si="193"/>
        <v>77.847802440124099</v>
      </c>
      <c r="AC252">
        <v>1</v>
      </c>
      <c r="AD252">
        <f t="shared" si="176"/>
        <v>24.434804976876002</v>
      </c>
      <c r="AE252">
        <f t="shared" si="177"/>
        <v>-1.6335422551517492E-4</v>
      </c>
      <c r="AF252">
        <f t="shared" si="178"/>
        <v>8.1847284991920001E-4</v>
      </c>
      <c r="AG252">
        <f t="shared" si="194"/>
        <v>28475.98501406705</v>
      </c>
      <c r="AH252">
        <f t="shared" si="195"/>
        <v>-6905.143497811303</v>
      </c>
      <c r="AJ252">
        <f t="shared" si="179"/>
        <v>55000</v>
      </c>
      <c r="AK252">
        <f t="shared" si="180"/>
        <v>7041.9584647912507</v>
      </c>
      <c r="AL252">
        <v>1</v>
      </c>
      <c r="AM252">
        <f t="shared" si="181"/>
        <v>9.9769285662007512</v>
      </c>
      <c r="AN252">
        <f t="shared" si="196"/>
        <v>1245.8547178711547</v>
      </c>
      <c r="AO252">
        <f t="shared" si="197"/>
        <v>-5387.8450592734489</v>
      </c>
      <c r="AQ252">
        <f t="shared" si="182"/>
        <v>0.31534802738788648</v>
      </c>
      <c r="AR252">
        <f t="shared" si="183"/>
        <v>-31.575797982349073</v>
      </c>
      <c r="AT252">
        <f t="shared" si="209"/>
        <v>-209055.57042390789</v>
      </c>
      <c r="AU252">
        <f t="shared" si="210"/>
        <v>-901329.47353344585</v>
      </c>
      <c r="AV252">
        <f t="shared" si="198"/>
        <v>-1.7987077387452353</v>
      </c>
      <c r="AW252">
        <f t="shared" si="199"/>
        <v>-140332.62151536965</v>
      </c>
      <c r="AX252">
        <f t="shared" si="200"/>
        <v>-83526.832807903236</v>
      </c>
      <c r="AY252">
        <f t="shared" si="208"/>
        <v>-2.6047055335787959</v>
      </c>
      <c r="BA252">
        <f t="shared" si="184"/>
        <v>5.6656623881365089</v>
      </c>
      <c r="BB252">
        <f t="shared" si="201"/>
        <v>15.065013834546752</v>
      </c>
      <c r="BC252">
        <f t="shared" si="202"/>
        <v>0.8059977948335606</v>
      </c>
      <c r="BD252">
        <f t="shared" si="185"/>
        <v>-133.81972800641711</v>
      </c>
      <c r="BF252">
        <f t="shared" si="186"/>
        <v>-3.7007073144647018</v>
      </c>
      <c r="BG252">
        <f t="shared" si="187"/>
        <v>-119.32145403468017</v>
      </c>
      <c r="BH252">
        <f t="shared" si="203"/>
        <v>60.678545965319827</v>
      </c>
      <c r="BI252">
        <f t="shared" si="204"/>
        <v>60.678545965319827</v>
      </c>
      <c r="BJ252">
        <f t="shared" si="188"/>
        <v>0</v>
      </c>
      <c r="BK252">
        <f t="shared" si="205"/>
        <v>0</v>
      </c>
      <c r="BM252">
        <f t="shared" si="206"/>
        <v>-18.765721149011455</v>
      </c>
      <c r="BN252">
        <f t="shared" si="189"/>
        <v>-165.50172602826308</v>
      </c>
      <c r="BQ252" s="75">
        <f t="shared" si="207"/>
        <v>31.966974634831892</v>
      </c>
      <c r="BR252" s="80"/>
      <c r="BS252" s="80"/>
      <c r="BT252" s="80">
        <v>26302.68</v>
      </c>
      <c r="BU252" s="80">
        <v>-2.9494799999999999</v>
      </c>
      <c r="BV252" s="80">
        <v>-160.22999999999999</v>
      </c>
      <c r="BY252" s="80"/>
      <c r="BZ252" s="80"/>
      <c r="CA252" s="80"/>
      <c r="CC252" s="80"/>
    </row>
    <row r="253" spans="1:81">
      <c r="A253">
        <f t="shared" si="211"/>
        <v>195000</v>
      </c>
      <c r="B253">
        <f t="shared" si="191"/>
        <v>195</v>
      </c>
      <c r="C253">
        <f t="shared" si="159"/>
        <v>1.0256385169792679</v>
      </c>
      <c r="D253">
        <f t="shared" si="160"/>
        <v>0.22406455259971933</v>
      </c>
      <c r="F253">
        <f t="shared" si="161"/>
        <v>1.1863055336209165E-2</v>
      </c>
      <c r="G253">
        <f t="shared" si="162"/>
        <v>3.363364322866319E-2</v>
      </c>
      <c r="H253">
        <f t="shared" si="163"/>
        <v>-3.107959006771337</v>
      </c>
      <c r="J253">
        <f t="shared" si="164"/>
        <v>9</v>
      </c>
      <c r="M253">
        <f t="shared" si="165"/>
        <v>2.1644722506515161E-2</v>
      </c>
      <c r="N253">
        <f t="shared" si="166"/>
        <v>-1.5707963250000001</v>
      </c>
      <c r="O253">
        <f t="shared" si="167"/>
        <v>25.097756173314679</v>
      </c>
      <c r="P253">
        <f t="shared" si="168"/>
        <v>1.5309415774034505</v>
      </c>
      <c r="Q253">
        <f t="shared" si="169"/>
        <v>10.288194044757317</v>
      </c>
      <c r="R253">
        <f t="shared" si="170"/>
        <v>1.4734438343572727</v>
      </c>
      <c r="S253">
        <f t="shared" si="171"/>
        <v>0.99147659186618409</v>
      </c>
      <c r="T253">
        <f t="shared" si="172"/>
        <v>-0.13065637229804522</v>
      </c>
      <c r="U253">
        <f t="shared" si="173"/>
        <v>0.97965893695817996</v>
      </c>
      <c r="V253">
        <f t="shared" si="174"/>
        <v>-0.2020415767631249</v>
      </c>
      <c r="X253">
        <f t="shared" si="192"/>
        <v>-4.5176635475507911</v>
      </c>
      <c r="Y253">
        <f t="shared" si="175"/>
        <v>-102.15856500841114</v>
      </c>
      <c r="Z253">
        <f t="shared" si="193"/>
        <v>77.841434991588855</v>
      </c>
      <c r="AC253">
        <v>1</v>
      </c>
      <c r="AD253">
        <f t="shared" si="176"/>
        <v>25.077826160478001</v>
      </c>
      <c r="AE253">
        <f t="shared" si="177"/>
        <v>-1.7206494252671814E-4</v>
      </c>
      <c r="AF253">
        <f t="shared" si="178"/>
        <v>8.4001160912760013E-4</v>
      </c>
      <c r="AG253">
        <f t="shared" si="194"/>
        <v>28417.934738265129</v>
      </c>
      <c r="AH253">
        <f t="shared" si="195"/>
        <v>-7011.4867978841812</v>
      </c>
      <c r="AJ253">
        <f t="shared" si="179"/>
        <v>55000</v>
      </c>
      <c r="AK253">
        <f t="shared" si="180"/>
        <v>7227.2731612331263</v>
      </c>
      <c r="AL253">
        <v>1</v>
      </c>
      <c r="AM253">
        <f t="shared" si="181"/>
        <v>10.239479317942875</v>
      </c>
      <c r="AN253">
        <f t="shared" si="196"/>
        <v>1218.774185426435</v>
      </c>
      <c r="AO253">
        <f t="shared" si="197"/>
        <v>-5252.339903683529</v>
      </c>
      <c r="AQ253">
        <f t="shared" si="182"/>
        <v>0.2993851746236818</v>
      </c>
      <c r="AR253">
        <f t="shared" si="183"/>
        <v>-30.766317470202658</v>
      </c>
      <c r="AT253">
        <f t="shared" si="209"/>
        <v>-207209.72040777947</v>
      </c>
      <c r="AU253">
        <f t="shared" si="210"/>
        <v>-876414.33720432164</v>
      </c>
      <c r="AV253">
        <f t="shared" si="198"/>
        <v>-1.8029620205545356</v>
      </c>
      <c r="AW253">
        <f t="shared" si="199"/>
        <v>-132002.01205508431</v>
      </c>
      <c r="AX253">
        <f t="shared" si="200"/>
        <v>-80742.806279532902</v>
      </c>
      <c r="AY253">
        <f t="shared" si="208"/>
        <v>-2.592630170622797</v>
      </c>
      <c r="BA253">
        <f t="shared" si="184"/>
        <v>5.8199982706640991</v>
      </c>
      <c r="BB253">
        <f t="shared" si="201"/>
        <v>15.298457112100346</v>
      </c>
      <c r="BC253">
        <f t="shared" si="202"/>
        <v>0.78966815006826141</v>
      </c>
      <c r="BD253">
        <f t="shared" si="185"/>
        <v>-134.75534773348573</v>
      </c>
      <c r="BF253">
        <f t="shared" si="186"/>
        <v>-3.9128751341339201</v>
      </c>
      <c r="BG253">
        <f t="shared" si="187"/>
        <v>-119.99032870751215</v>
      </c>
      <c r="BH253">
        <f t="shared" si="203"/>
        <v>60.009671292487852</v>
      </c>
      <c r="BI253">
        <f t="shared" si="204"/>
        <v>60.009671292487852</v>
      </c>
      <c r="BJ253">
        <f t="shared" si="188"/>
        <v>0</v>
      </c>
      <c r="BK253">
        <f t="shared" si="205"/>
        <v>0</v>
      </c>
      <c r="BM253">
        <f t="shared" si="206"/>
        <v>-19.211332246234264</v>
      </c>
      <c r="BN253">
        <f t="shared" si="189"/>
        <v>-165.2349809740264</v>
      </c>
      <c r="BQ253" s="75">
        <f t="shared" si="207"/>
        <v>32.200417912385483</v>
      </c>
      <c r="BR253" s="80"/>
      <c r="BS253" s="80"/>
      <c r="BT253" s="80">
        <v>26915.348000000002</v>
      </c>
      <c r="BU253" s="80">
        <v>-2.8411300000000002</v>
      </c>
      <c r="BV253" s="80">
        <v>-159.27600000000001</v>
      </c>
      <c r="BY253" s="80"/>
      <c r="BZ253" s="80"/>
      <c r="CA253" s="80"/>
      <c r="CC253" s="80"/>
    </row>
    <row r="254" spans="1:81">
      <c r="A254">
        <f t="shared" si="211"/>
        <v>200000</v>
      </c>
      <c r="B254">
        <f t="shared" si="191"/>
        <v>200</v>
      </c>
      <c r="C254">
        <f t="shared" si="159"/>
        <v>1.0269526830836766</v>
      </c>
      <c r="D254">
        <f t="shared" si="160"/>
        <v>0.229612346110769</v>
      </c>
      <c r="F254">
        <f t="shared" si="161"/>
        <v>1.127102392316204E-2</v>
      </c>
      <c r="G254">
        <f t="shared" si="162"/>
        <v>3.2774191068960248E-2</v>
      </c>
      <c r="H254">
        <f t="shared" si="163"/>
        <v>-3.1088184589310401</v>
      </c>
      <c r="J254">
        <f t="shared" si="164"/>
        <v>9</v>
      </c>
      <c r="M254">
        <f t="shared" si="165"/>
        <v>2.1103604443852286E-2</v>
      </c>
      <c r="N254">
        <f t="shared" si="166"/>
        <v>-1.5707963250000001</v>
      </c>
      <c r="O254">
        <f t="shared" si="167"/>
        <v>25.740279487555444</v>
      </c>
      <c r="P254">
        <f t="shared" si="168"/>
        <v>1.5319369305604862</v>
      </c>
      <c r="Q254">
        <f t="shared" si="169"/>
        <v>10.549532481800695</v>
      </c>
      <c r="R254">
        <f t="shared" si="170"/>
        <v>1.4758628647738814</v>
      </c>
      <c r="S254">
        <f t="shared" si="171"/>
        <v>0.99103982288455428</v>
      </c>
      <c r="T254">
        <f t="shared" si="172"/>
        <v>-0.1339670853253922</v>
      </c>
      <c r="U254">
        <f t="shared" si="173"/>
        <v>0.97863605337702242</v>
      </c>
      <c r="V254">
        <f t="shared" si="174"/>
        <v>-0.20707705183032118</v>
      </c>
      <c r="X254">
        <f t="shared" si="192"/>
        <v>-4.7465651561463034</v>
      </c>
      <c r="Y254">
        <f t="shared" si="175"/>
        <v>-102.17251442050929</v>
      </c>
      <c r="Z254">
        <f t="shared" si="193"/>
        <v>77.827485579490713</v>
      </c>
      <c r="AC254">
        <v>1</v>
      </c>
      <c r="AD254">
        <f t="shared" si="176"/>
        <v>25.720847344080003</v>
      </c>
      <c r="AE254">
        <f t="shared" si="177"/>
        <v>-1.8100191192817165E-4</v>
      </c>
      <c r="AF254">
        <f t="shared" si="178"/>
        <v>8.6155036833600004E-4</v>
      </c>
      <c r="AG254">
        <f t="shared" si="194"/>
        <v>28358.622129841275</v>
      </c>
      <c r="AH254">
        <f t="shared" si="195"/>
        <v>-7118.5215055911922</v>
      </c>
      <c r="AJ254">
        <f t="shared" si="179"/>
        <v>55000</v>
      </c>
      <c r="AK254">
        <f t="shared" si="180"/>
        <v>7412.5878576750001</v>
      </c>
      <c r="AL254">
        <v>1</v>
      </c>
      <c r="AM254">
        <f t="shared" si="181"/>
        <v>10.502030069685002</v>
      </c>
      <c r="AN254">
        <f t="shared" si="196"/>
        <v>1193.6748543845752</v>
      </c>
      <c r="AO254">
        <f t="shared" si="197"/>
        <v>-5123.4213564986767</v>
      </c>
      <c r="AQ254">
        <f t="shared" si="182"/>
        <v>0.28460436213339857</v>
      </c>
      <c r="AR254">
        <f t="shared" si="183"/>
        <v>-29.997299768860209</v>
      </c>
      <c r="AT254">
        <f t="shared" si="209"/>
        <v>-205465.43595205154</v>
      </c>
      <c r="AU254">
        <f t="shared" si="210"/>
        <v>-852708.05133311334</v>
      </c>
      <c r="AV254">
        <f t="shared" si="198"/>
        <v>-1.807245393490069</v>
      </c>
      <c r="AW254">
        <f t="shared" si="199"/>
        <v>-124285.09626217892</v>
      </c>
      <c r="AX254">
        <f t="shared" si="200"/>
        <v>-78168.046024919284</v>
      </c>
      <c r="AY254">
        <f t="shared" si="208"/>
        <v>-2.5801640717552474</v>
      </c>
      <c r="BA254">
        <f t="shared" si="184"/>
        <v>5.9739427631002151</v>
      </c>
      <c r="BB254">
        <f t="shared" si="201"/>
        <v>15.525221145446491</v>
      </c>
      <c r="BC254">
        <f t="shared" si="202"/>
        <v>0.77291867826517846</v>
      </c>
      <c r="BD254">
        <f t="shared" si="185"/>
        <v>-135.71502177797237</v>
      </c>
      <c r="BF254">
        <f t="shared" si="186"/>
        <v>-4.119652555771312</v>
      </c>
      <c r="BG254">
        <f t="shared" si="187"/>
        <v>-120.68138057934299</v>
      </c>
      <c r="BH254">
        <f t="shared" si="203"/>
        <v>59.318619420657015</v>
      </c>
      <c r="BI254">
        <f t="shared" si="204"/>
        <v>59.318619420657015</v>
      </c>
      <c r="BJ254">
        <f t="shared" si="188"/>
        <v>0</v>
      </c>
      <c r="BK254">
        <f t="shared" si="205"/>
        <v>0</v>
      </c>
      <c r="BM254">
        <f t="shared" si="206"/>
        <v>-19.644873701217801</v>
      </c>
      <c r="BN254">
        <f t="shared" si="189"/>
        <v>-164.96635880137063</v>
      </c>
      <c r="BQ254" s="75">
        <f t="shared" si="207"/>
        <v>32.427181945731633</v>
      </c>
      <c r="BR254" s="80"/>
      <c r="BS254" s="80"/>
      <c r="BT254" s="80">
        <v>27542.287</v>
      </c>
      <c r="BU254" s="80">
        <v>-2.7366600000000001</v>
      </c>
      <c r="BV254" s="80">
        <v>-158.108</v>
      </c>
      <c r="BY254" s="80"/>
      <c r="BZ254" s="80"/>
      <c r="CA254" s="80"/>
      <c r="CC254" s="80"/>
    </row>
    <row r="255" spans="1:81">
      <c r="A255">
        <f t="shared" si="211"/>
        <v>205000</v>
      </c>
      <c r="B255">
        <f t="shared" si="191"/>
        <v>205</v>
      </c>
      <c r="C255">
        <f t="shared" si="159"/>
        <v>1.0282983753953461</v>
      </c>
      <c r="D255">
        <f t="shared" si="160"/>
        <v>0.23514578921884283</v>
      </c>
      <c r="F255">
        <f t="shared" si="161"/>
        <v>1.0722371586302057E-2</v>
      </c>
      <c r="G255">
        <f t="shared" si="162"/>
        <v>3.1957993512287536E-2</v>
      </c>
      <c r="H255">
        <f t="shared" si="163"/>
        <v>-3.1096346564877129</v>
      </c>
      <c r="J255">
        <f t="shared" si="164"/>
        <v>9</v>
      </c>
      <c r="M255">
        <f t="shared" si="165"/>
        <v>2.0588882384246131E-2</v>
      </c>
      <c r="N255">
        <f t="shared" si="166"/>
        <v>-1.5707963250000001</v>
      </c>
      <c r="O255">
        <f t="shared" si="167"/>
        <v>26.382827061270397</v>
      </c>
      <c r="P255">
        <f t="shared" si="168"/>
        <v>1.5328838014318888</v>
      </c>
      <c r="Q255">
        <f t="shared" si="169"/>
        <v>10.81092966682499</v>
      </c>
      <c r="R255">
        <f t="shared" si="170"/>
        <v>1.4781649287778773</v>
      </c>
      <c r="S255">
        <f t="shared" si="171"/>
        <v>0.99059259524777932</v>
      </c>
      <c r="T255">
        <f t="shared" si="172"/>
        <v>-0.13727484652329275</v>
      </c>
      <c r="U255">
        <f t="shared" si="173"/>
        <v>0.97759059367669221</v>
      </c>
      <c r="V255">
        <f t="shared" si="174"/>
        <v>-0.21210189546408473</v>
      </c>
      <c r="X255">
        <f t="shared" si="192"/>
        <v>-4.9695650085577139</v>
      </c>
      <c r="Y255">
        <f t="shared" si="175"/>
        <v>-102.19350899244262</v>
      </c>
      <c r="Z255">
        <f t="shared" si="193"/>
        <v>77.806491007557383</v>
      </c>
      <c r="AC255">
        <v>1</v>
      </c>
      <c r="AD255">
        <f t="shared" si="176"/>
        <v>26.363868527682005</v>
      </c>
      <c r="AE255">
        <f t="shared" si="177"/>
        <v>-1.9016513371953534E-4</v>
      </c>
      <c r="AF255">
        <f t="shared" si="178"/>
        <v>8.8308912754440005E-4</v>
      </c>
      <c r="AG255">
        <f t="shared" si="194"/>
        <v>28298.064458005447</v>
      </c>
      <c r="AH255">
        <f t="shared" si="195"/>
        <v>-7226.116835347173</v>
      </c>
      <c r="AJ255">
        <f t="shared" si="179"/>
        <v>55000</v>
      </c>
      <c r="AK255">
        <f t="shared" si="180"/>
        <v>7597.9025541168758</v>
      </c>
      <c r="AL255">
        <v>1</v>
      </c>
      <c r="AM255">
        <f t="shared" si="181"/>
        <v>10.764580821427126</v>
      </c>
      <c r="AN255">
        <f t="shared" si="196"/>
        <v>1170.3686106462183</v>
      </c>
      <c r="AO255">
        <f t="shared" si="197"/>
        <v>-5000.6249460457166</v>
      </c>
      <c r="AQ255">
        <f t="shared" si="182"/>
        <v>0.27089170397561996</v>
      </c>
      <c r="AR255">
        <f t="shared" si="183"/>
        <v>-29.265785239006103</v>
      </c>
      <c r="AT255">
        <f t="shared" si="209"/>
        <v>-203812.27251499577</v>
      </c>
      <c r="AU255">
        <f t="shared" si="210"/>
        <v>-830122.57221019315</v>
      </c>
      <c r="AV255">
        <f t="shared" si="198"/>
        <v>-1.8115547524165359</v>
      </c>
      <c r="AW255">
        <f t="shared" si="199"/>
        <v>-117123.79989216481</v>
      </c>
      <c r="AX255">
        <f t="shared" si="200"/>
        <v>-75781.191105221078</v>
      </c>
      <c r="AY255">
        <f t="shared" si="208"/>
        <v>-2.5673166937699694</v>
      </c>
      <c r="BA255">
        <f t="shared" si="184"/>
        <v>6.1273479653082132</v>
      </c>
      <c r="BB255">
        <f t="shared" si="201"/>
        <v>15.745450882703116</v>
      </c>
      <c r="BC255">
        <f t="shared" si="202"/>
        <v>0.75576194135343355</v>
      </c>
      <c r="BD255">
        <f t="shared" si="185"/>
        <v>-136.6980303943549</v>
      </c>
      <c r="BF255">
        <f t="shared" si="186"/>
        <v>-4.3214988606687479</v>
      </c>
      <c r="BG255">
        <f t="shared" si="187"/>
        <v>-121.39411093439453</v>
      </c>
      <c r="BH255">
        <f t="shared" si="203"/>
        <v>58.605889065605467</v>
      </c>
      <c r="BI255">
        <f t="shared" si="204"/>
        <v>58.605889065605467</v>
      </c>
      <c r="BJ255">
        <f t="shared" si="188"/>
        <v>0</v>
      </c>
      <c r="BK255">
        <f t="shared" si="205"/>
        <v>0</v>
      </c>
      <c r="BM255">
        <f t="shared" si="206"/>
        <v>-20.066949743371861</v>
      </c>
      <c r="BN255">
        <f t="shared" si="189"/>
        <v>-164.69608054003962</v>
      </c>
      <c r="BQ255" s="75">
        <f t="shared" si="207"/>
        <v>32.647411682988249</v>
      </c>
      <c r="BR255" s="80"/>
      <c r="BS255" s="80"/>
      <c r="BT255" s="80">
        <v>28183.829000000002</v>
      </c>
      <c r="BU255" s="80">
        <v>-2.6523400000000001</v>
      </c>
      <c r="BV255" s="80">
        <v>-157.06299999999999</v>
      </c>
      <c r="BY255" s="80"/>
      <c r="BZ255" s="80"/>
      <c r="CA255" s="80"/>
      <c r="CC255" s="80"/>
    </row>
    <row r="256" spans="1:81">
      <c r="A256">
        <f t="shared" si="211"/>
        <v>210000</v>
      </c>
      <c r="B256">
        <f t="shared" si="191"/>
        <v>210</v>
      </c>
      <c r="C256">
        <f t="shared" si="159"/>
        <v>1.0296754703086164</v>
      </c>
      <c r="D256">
        <f t="shared" si="160"/>
        <v>0.24066460000653606</v>
      </c>
      <c r="F256">
        <f t="shared" si="161"/>
        <v>1.021294885577919E-2</v>
      </c>
      <c r="G256">
        <f t="shared" si="162"/>
        <v>3.1181836773372471E-2</v>
      </c>
      <c r="H256">
        <f t="shared" si="163"/>
        <v>-3.1104108132266277</v>
      </c>
      <c r="J256">
        <f t="shared" si="164"/>
        <v>9</v>
      </c>
      <c r="M256">
        <f t="shared" si="165"/>
        <v>2.0098670898906938E-2</v>
      </c>
      <c r="N256">
        <f t="shared" si="166"/>
        <v>-1.5707963250000001</v>
      </c>
      <c r="O256">
        <f t="shared" si="167"/>
        <v>27.025397164102102</v>
      </c>
      <c r="P256">
        <f t="shared" si="168"/>
        <v>1.5337856464772144</v>
      </c>
      <c r="Q256">
        <f t="shared" si="169"/>
        <v>11.072381439057551</v>
      </c>
      <c r="R256">
        <f t="shared" si="170"/>
        <v>1.4803582868319707</v>
      </c>
      <c r="S256">
        <f t="shared" si="171"/>
        <v>0.99013495244717631</v>
      </c>
      <c r="T256">
        <f t="shared" si="172"/>
        <v>-0.1405795875537349</v>
      </c>
      <c r="U256">
        <f t="shared" si="173"/>
        <v>0.97652278824909056</v>
      </c>
      <c r="V256">
        <f t="shared" si="174"/>
        <v>-0.21711588836751675</v>
      </c>
      <c r="X256">
        <f t="shared" si="192"/>
        <v>-5.1869745974703561</v>
      </c>
      <c r="Y256">
        <f t="shared" si="175"/>
        <v>-102.22106120275919</v>
      </c>
      <c r="Z256">
        <f t="shared" si="193"/>
        <v>77.778938797240812</v>
      </c>
      <c r="AC256">
        <v>1</v>
      </c>
      <c r="AD256">
        <f t="shared" si="176"/>
        <v>27.006889711284003</v>
      </c>
      <c r="AE256">
        <f t="shared" si="177"/>
        <v>-1.9955460790080926E-4</v>
      </c>
      <c r="AF256">
        <f t="shared" si="178"/>
        <v>9.0462788675280007E-4</v>
      </c>
      <c r="AG256">
        <f t="shared" si="194"/>
        <v>28236.279239625561</v>
      </c>
      <c r="AH256">
        <f t="shared" si="195"/>
        <v>-7334.1533346453662</v>
      </c>
      <c r="AJ256">
        <f t="shared" si="179"/>
        <v>55000</v>
      </c>
      <c r="AK256">
        <f t="shared" si="180"/>
        <v>7783.2172505587514</v>
      </c>
      <c r="AL256">
        <v>1</v>
      </c>
      <c r="AM256">
        <f t="shared" si="181"/>
        <v>11.027131573169251</v>
      </c>
      <c r="AN256">
        <f t="shared" si="196"/>
        <v>1148.6890883914107</v>
      </c>
      <c r="AO256">
        <f t="shared" si="197"/>
        <v>-4883.5284637971772</v>
      </c>
      <c r="AQ256">
        <f t="shared" si="182"/>
        <v>0.25814670634070763</v>
      </c>
      <c r="AR256">
        <f t="shared" si="183"/>
        <v>-28.569095990726112</v>
      </c>
      <c r="AT256">
        <f t="shared" si="209"/>
        <v>-202241.02814316165</v>
      </c>
      <c r="AU256">
        <f t="shared" si="210"/>
        <v>-808578.2595449459</v>
      </c>
      <c r="AV256">
        <f t="shared" si="198"/>
        <v>-1.8158872689718302</v>
      </c>
      <c r="AW256">
        <f t="shared" si="199"/>
        <v>-110466.74695486449</v>
      </c>
      <c r="AX256">
        <f t="shared" si="200"/>
        <v>-73563.588083482522</v>
      </c>
      <c r="AY256">
        <f t="shared" si="208"/>
        <v>-2.5540972929499977</v>
      </c>
      <c r="BA256">
        <f t="shared" si="184"/>
        <v>6.2800560188209156</v>
      </c>
      <c r="BB256">
        <f t="shared" si="201"/>
        <v>15.959270354222582</v>
      </c>
      <c r="BC256">
        <f t="shared" si="202"/>
        <v>0.73821002397816748</v>
      </c>
      <c r="BD256">
        <f t="shared" si="185"/>
        <v>-137.70368118346912</v>
      </c>
      <c r="BF256">
        <f t="shared" si="186"/>
        <v>-4.5188489801623009</v>
      </c>
      <c r="BG256">
        <f t="shared" si="187"/>
        <v>-122.12802766251261</v>
      </c>
      <c r="BH256">
        <f t="shared" si="203"/>
        <v>57.871972337487392</v>
      </c>
      <c r="BI256">
        <f t="shared" si="204"/>
        <v>57.871972337487392</v>
      </c>
      <c r="BJ256">
        <f t="shared" si="188"/>
        <v>0</v>
      </c>
      <c r="BK256">
        <f t="shared" si="205"/>
        <v>0</v>
      </c>
      <c r="BM256">
        <f t="shared" si="206"/>
        <v>-20.478119334384882</v>
      </c>
      <c r="BN256">
        <f t="shared" si="189"/>
        <v>-164.42434647904349</v>
      </c>
      <c r="BQ256" s="75">
        <f t="shared" si="207"/>
        <v>32.86123115450772</v>
      </c>
      <c r="BR256" s="80"/>
      <c r="BS256" s="80"/>
      <c r="BT256" s="80">
        <v>28840.314999999999</v>
      </c>
      <c r="BU256" s="80">
        <v>-2.5506799999999998</v>
      </c>
      <c r="BV256" s="80">
        <v>-156.01</v>
      </c>
      <c r="BY256" s="80"/>
      <c r="BZ256" s="80"/>
      <c r="CA256" s="80"/>
      <c r="CC256" s="80"/>
    </row>
    <row r="257" spans="1:81">
      <c r="A257">
        <f t="shared" si="211"/>
        <v>215000</v>
      </c>
      <c r="B257">
        <f t="shared" si="191"/>
        <v>215</v>
      </c>
      <c r="C257">
        <f t="shared" si="159"/>
        <v>1.0310838420014388</v>
      </c>
      <c r="D257">
        <f t="shared" si="160"/>
        <v>0.24616850161035297</v>
      </c>
      <c r="F257">
        <f t="shared" si="161"/>
        <v>9.7390922081461249E-3</v>
      </c>
      <c r="G257">
        <f t="shared" si="162"/>
        <v>3.044282022300111E-2</v>
      </c>
      <c r="H257">
        <f t="shared" si="163"/>
        <v>-3.1111498297769993</v>
      </c>
      <c r="J257">
        <f t="shared" si="164"/>
        <v>9</v>
      </c>
      <c r="M257">
        <f t="shared" si="165"/>
        <v>1.9631259947769566E-2</v>
      </c>
      <c r="N257">
        <f t="shared" si="166"/>
        <v>-1.5707963250000001</v>
      </c>
      <c r="O257">
        <f t="shared" si="167"/>
        <v>27.667988226380604</v>
      </c>
      <c r="P257">
        <f t="shared" si="168"/>
        <v>1.5346456013600753</v>
      </c>
      <c r="Q257">
        <f t="shared" si="169"/>
        <v>11.333884020820767</v>
      </c>
      <c r="R257">
        <f t="shared" si="170"/>
        <v>1.4824504414631079</v>
      </c>
      <c r="S257">
        <f t="shared" si="171"/>
        <v>0.98966693887775725</v>
      </c>
      <c r="T257">
        <f t="shared" si="172"/>
        <v>-0.14388124046730486</v>
      </c>
      <c r="U257">
        <f t="shared" si="173"/>
        <v>0.97543287103115039</v>
      </c>
      <c r="V257">
        <f t="shared" si="174"/>
        <v>-0.22211881437191627</v>
      </c>
      <c r="X257">
        <f t="shared" si="192"/>
        <v>-5.399081248747045</v>
      </c>
      <c r="Y257">
        <f t="shared" si="175"/>
        <v>-102.25472730619073</v>
      </c>
      <c r="Z257">
        <f t="shared" si="193"/>
        <v>77.74527269380927</v>
      </c>
      <c r="AC257">
        <v>1</v>
      </c>
      <c r="AD257">
        <f t="shared" si="176"/>
        <v>27.649910894886002</v>
      </c>
      <c r="AE257">
        <f t="shared" si="177"/>
        <v>-2.0917033447199329E-4</v>
      </c>
      <c r="AF257">
        <f t="shared" si="178"/>
        <v>9.2616664596119997E-4</v>
      </c>
      <c r="AG257">
        <f t="shared" si="194"/>
        <v>28173.284227399581</v>
      </c>
      <c r="AH257">
        <f t="shared" si="195"/>
        <v>-7442.521618629391</v>
      </c>
      <c r="AJ257">
        <f t="shared" si="179"/>
        <v>55000</v>
      </c>
      <c r="AK257">
        <f t="shared" si="180"/>
        <v>7968.5319470006261</v>
      </c>
      <c r="AL257">
        <v>1</v>
      </c>
      <c r="AM257">
        <f t="shared" si="181"/>
        <v>11.289682324911377</v>
      </c>
      <c r="AN257">
        <f t="shared" si="196"/>
        <v>1128.4887289920941</v>
      </c>
      <c r="AO257">
        <f t="shared" si="197"/>
        <v>-4771.7473105631243</v>
      </c>
      <c r="AQ257">
        <f t="shared" si="182"/>
        <v>0.24628042132512645</v>
      </c>
      <c r="AR257">
        <f t="shared" si="183"/>
        <v>-27.904803138243452</v>
      </c>
      <c r="AT257">
        <f t="shared" si="209"/>
        <v>-200743.57231033765</v>
      </c>
      <c r="AU257">
        <f t="shared" si="210"/>
        <v>-788002.89748332195</v>
      </c>
      <c r="AV257">
        <f t="shared" si="198"/>
        <v>-1.8202403599013501</v>
      </c>
      <c r="AW257">
        <f t="shared" si="199"/>
        <v>-104268.35601402291</v>
      </c>
      <c r="AX257">
        <f t="shared" si="200"/>
        <v>-71498.887216967982</v>
      </c>
      <c r="AY257">
        <f t="shared" si="208"/>
        <v>-2.5405150767510758</v>
      </c>
      <c r="BA257">
        <f t="shared" si="184"/>
        <v>6.4318992434553444</v>
      </c>
      <c r="BB257">
        <f t="shared" si="201"/>
        <v>16.166784650274018</v>
      </c>
      <c r="BC257">
        <f t="shared" si="202"/>
        <v>0.72027471684972566</v>
      </c>
      <c r="BD257">
        <f t="shared" si="185"/>
        <v>-138.73129858737394</v>
      </c>
      <c r="BF257">
        <f t="shared" si="186"/>
        <v>-4.7121159846742291</v>
      </c>
      <c r="BG257">
        <f t="shared" si="187"/>
        <v>-122.8826372626781</v>
      </c>
      <c r="BH257">
        <f t="shared" si="203"/>
        <v>57.117362737321898</v>
      </c>
      <c r="BI257">
        <f t="shared" si="204"/>
        <v>57.117362737321898</v>
      </c>
      <c r="BJ257">
        <f t="shared" si="188"/>
        <v>0</v>
      </c>
      <c r="BK257">
        <f t="shared" si="205"/>
        <v>0</v>
      </c>
      <c r="BM257">
        <f t="shared" si="206"/>
        <v>-20.878900634948248</v>
      </c>
      <c r="BN257">
        <f t="shared" si="189"/>
        <v>-164.15133867530415</v>
      </c>
      <c r="BQ257" s="75">
        <f t="shared" si="207"/>
        <v>33.068745450559156</v>
      </c>
      <c r="BR257" s="80"/>
      <c r="BS257" s="80"/>
      <c r="BT257" s="80">
        <v>29512.092000000001</v>
      </c>
      <c r="BU257" s="80">
        <v>-2.44991</v>
      </c>
      <c r="BV257" s="80">
        <v>-155.03200000000001</v>
      </c>
      <c r="BY257" s="80"/>
      <c r="BZ257" s="80"/>
      <c r="CA257" s="80"/>
      <c r="CC257" s="80"/>
    </row>
    <row r="258" spans="1:81">
      <c r="A258">
        <f t="shared" si="211"/>
        <v>220000</v>
      </c>
      <c r="B258">
        <f t="shared" si="191"/>
        <v>220</v>
      </c>
      <c r="C258">
        <f t="shared" si="159"/>
        <v>1.0325233624883468</v>
      </c>
      <c r="D258">
        <f t="shared" si="160"/>
        <v>0.251657222273449</v>
      </c>
      <c r="F258">
        <f t="shared" si="161"/>
        <v>9.2975571597783534E-3</v>
      </c>
      <c r="G258">
        <f t="shared" si="162"/>
        <v>2.973831889215765E-2</v>
      </c>
      <c r="H258">
        <f t="shared" si="163"/>
        <v>-3.1118543311078426</v>
      </c>
      <c r="J258">
        <f t="shared" si="164"/>
        <v>9</v>
      </c>
      <c r="M258">
        <f t="shared" si="165"/>
        <v>1.9185094948956621E-2</v>
      </c>
      <c r="N258">
        <f t="shared" si="166"/>
        <v>-1.5707963250000001</v>
      </c>
      <c r="O258">
        <f t="shared" si="167"/>
        <v>28.310598820899845</v>
      </c>
      <c r="P258">
        <f t="shared" si="168"/>
        <v>1.5354665173055622</v>
      </c>
      <c r="Q258">
        <f t="shared" si="169"/>
        <v>11.595433974514588</v>
      </c>
      <c r="R258">
        <f t="shared" si="170"/>
        <v>1.4844482220262269</v>
      </c>
      <c r="S258">
        <f t="shared" si="171"/>
        <v>0.98918859982658636</v>
      </c>
      <c r="T258">
        <f t="shared" si="172"/>
        <v>-0.14717973771081538</v>
      </c>
      <c r="U258">
        <f t="shared" si="173"/>
        <v>0.97432107937207135</v>
      </c>
      <c r="V258">
        <f t="shared" si="174"/>
        <v>-0.22711046047755984</v>
      </c>
      <c r="X258">
        <f t="shared" si="192"/>
        <v>-5.6061505907044653</v>
      </c>
      <c r="Y258">
        <f t="shared" si="175"/>
        <v>-102.29410254202631</v>
      </c>
      <c r="Z258">
        <f t="shared" si="193"/>
        <v>77.705897457973691</v>
      </c>
      <c r="AC258">
        <v>1</v>
      </c>
      <c r="AD258">
        <f t="shared" si="176"/>
        <v>28.292932078488001</v>
      </c>
      <c r="AE258">
        <f t="shared" si="177"/>
        <v>-2.1901231343308768E-4</v>
      </c>
      <c r="AF258">
        <f t="shared" si="178"/>
        <v>9.4770540516959999E-4</v>
      </c>
      <c r="AG258">
        <f t="shared" si="194"/>
        <v>28109.097397994672</v>
      </c>
      <c r="AH258">
        <f t="shared" si="195"/>
        <v>-7551.121277365859</v>
      </c>
      <c r="AJ258">
        <f t="shared" si="179"/>
        <v>55000</v>
      </c>
      <c r="AK258">
        <f t="shared" si="180"/>
        <v>8153.8466434425018</v>
      </c>
      <c r="AL258">
        <v>1</v>
      </c>
      <c r="AM258">
        <f t="shared" si="181"/>
        <v>11.552233076653501</v>
      </c>
      <c r="AN258">
        <f t="shared" si="196"/>
        <v>1109.636292524538</v>
      </c>
      <c r="AO258">
        <f t="shared" si="197"/>
        <v>-4664.9304381146239</v>
      </c>
      <c r="AQ258">
        <f t="shared" si="182"/>
        <v>0.23521389095579232</v>
      </c>
      <c r="AR258">
        <f t="shared" si="183"/>
        <v>-27.270698517414562</v>
      </c>
      <c r="AT258">
        <f t="shared" si="209"/>
        <v>-199312.70165324101</v>
      </c>
      <c r="AU258">
        <f t="shared" si="210"/>
        <v>-768330.84935408318</v>
      </c>
      <c r="AV258">
        <f t="shared" si="198"/>
        <v>-1.8246116596963784</v>
      </c>
      <c r="AW258">
        <f t="shared" si="199"/>
        <v>-98488.075183450506</v>
      </c>
      <c r="AX258">
        <f t="shared" si="200"/>
        <v>-69572.707100452142</v>
      </c>
      <c r="AY258">
        <f t="shared" si="208"/>
        <v>-2.5265793393752238</v>
      </c>
      <c r="BA258">
        <f t="shared" si="184"/>
        <v>6.5827003868028786</v>
      </c>
      <c r="BB258">
        <f t="shared" si="201"/>
        <v>16.368081770474724</v>
      </c>
      <c r="BC258">
        <f t="shared" si="202"/>
        <v>0.70196767967884544</v>
      </c>
      <c r="BD258">
        <f t="shared" si="185"/>
        <v>-139.78021455385306</v>
      </c>
      <c r="BF258">
        <f t="shared" si="186"/>
        <v>-4.9016931596999216</v>
      </c>
      <c r="BG258">
        <f t="shared" si="187"/>
        <v>-123.65743765284101</v>
      </c>
      <c r="BH258">
        <f t="shared" si="203"/>
        <v>56.342562347158989</v>
      </c>
      <c r="BI258">
        <f t="shared" si="204"/>
        <v>56.342562347158989</v>
      </c>
      <c r="BJ258">
        <f t="shared" si="188"/>
        <v>0</v>
      </c>
      <c r="BK258">
        <f t="shared" si="205"/>
        <v>0</v>
      </c>
      <c r="BM258">
        <f t="shared" si="206"/>
        <v>-21.269774930174641</v>
      </c>
      <c r="BN258">
        <f t="shared" si="189"/>
        <v>-163.87722309898797</v>
      </c>
      <c r="BQ258" s="75">
        <f t="shared" si="207"/>
        <v>33.270042570759855</v>
      </c>
      <c r="BR258" s="80"/>
      <c r="BS258" s="80"/>
      <c r="BT258" s="80">
        <v>30199.517</v>
      </c>
      <c r="BU258" s="80">
        <v>-2.3553299999999999</v>
      </c>
      <c r="BV258" s="80">
        <v>-154.00200000000001</v>
      </c>
      <c r="BY258" s="80"/>
      <c r="BZ258" s="80"/>
      <c r="CA258" s="80"/>
      <c r="CC258" s="80"/>
    </row>
    <row r="259" spans="1:81">
      <c r="A259">
        <f t="shared" si="211"/>
        <v>225000</v>
      </c>
      <c r="B259">
        <f t="shared" si="191"/>
        <v>225</v>
      </c>
      <c r="C259">
        <f t="shared" si="159"/>
        <v>1.0339939016738213</v>
      </c>
      <c r="D259">
        <f t="shared" si="160"/>
        <v>0.2571304953943977</v>
      </c>
      <c r="F259">
        <f t="shared" si="161"/>
        <v>8.8854618926408249E-3</v>
      </c>
      <c r="G259">
        <f t="shared" si="162"/>
        <v>2.906595126948849E-2</v>
      </c>
      <c r="H259">
        <f t="shared" si="163"/>
        <v>-3.1125266987305116</v>
      </c>
      <c r="J259">
        <f t="shared" si="164"/>
        <v>9</v>
      </c>
      <c r="M259">
        <f t="shared" si="165"/>
        <v>1.8758759505646476E-2</v>
      </c>
      <c r="N259">
        <f t="shared" si="166"/>
        <v>-1.5707963250000001</v>
      </c>
      <c r="O259">
        <f t="shared" si="167"/>
        <v>28.953227647118332</v>
      </c>
      <c r="P259">
        <f t="shared" si="168"/>
        <v>1.5362509926245127</v>
      </c>
      <c r="Q259">
        <f t="shared" si="169"/>
        <v>11.857028165257887</v>
      </c>
      <c r="R259">
        <f t="shared" si="170"/>
        <v>1.4863578583690027</v>
      </c>
      <c r="S259">
        <f t="shared" si="171"/>
        <v>0.98869998146094895</v>
      </c>
      <c r="T259">
        <f t="shared" si="172"/>
        <v>-0.15047501213481046</v>
      </c>
      <c r="U259">
        <f t="shared" si="173"/>
        <v>0.97318765389992445</v>
      </c>
      <c r="V259">
        <f t="shared" si="174"/>
        <v>-0.23209061689237526</v>
      </c>
      <c r="X259">
        <f t="shared" si="192"/>
        <v>-5.8084287133979231</v>
      </c>
      <c r="Y259">
        <f t="shared" si="175"/>
        <v>-102.33881695214723</v>
      </c>
      <c r="Z259">
        <f t="shared" si="193"/>
        <v>77.661183047852774</v>
      </c>
      <c r="AC259">
        <v>1</v>
      </c>
      <c r="AD259">
        <f t="shared" si="176"/>
        <v>28.935953262090006</v>
      </c>
      <c r="AE259">
        <f t="shared" si="177"/>
        <v>-2.2908054478409224E-4</v>
      </c>
      <c r="AF259">
        <f t="shared" si="178"/>
        <v>9.6924416437800011E-4</v>
      </c>
      <c r="AG259">
        <f t="shared" si="194"/>
        <v>28043.736940167077</v>
      </c>
      <c r="AH259">
        <f t="shared" si="195"/>
        <v>-7659.8599288959122</v>
      </c>
      <c r="AJ259">
        <f t="shared" si="179"/>
        <v>55000</v>
      </c>
      <c r="AK259">
        <f t="shared" si="180"/>
        <v>8339.1613398843747</v>
      </c>
      <c r="AL259">
        <v>1</v>
      </c>
      <c r="AM259">
        <f t="shared" si="181"/>
        <v>11.814783828395626</v>
      </c>
      <c r="AN259">
        <f t="shared" si="196"/>
        <v>1092.0147441942627</v>
      </c>
      <c r="AO259">
        <f t="shared" si="197"/>
        <v>-4562.756800191587</v>
      </c>
      <c r="AQ259">
        <f t="shared" si="182"/>
        <v>0.22487683046348531</v>
      </c>
      <c r="AR259">
        <f t="shared" si="183"/>
        <v>-26.664770172207771</v>
      </c>
      <c r="AT259">
        <f t="shared" si="209"/>
        <v>-197942.01787785674</v>
      </c>
      <c r="AU259">
        <f t="shared" si="210"/>
        <v>-749502.32530201261</v>
      </c>
      <c r="AV259">
        <f t="shared" si="198"/>
        <v>-1.8289989968697167</v>
      </c>
      <c r="AW259">
        <f t="shared" si="199"/>
        <v>-93089.732084853487</v>
      </c>
      <c r="AX259">
        <f t="shared" si="200"/>
        <v>-67772.354866462061</v>
      </c>
      <c r="AY259">
        <f t="shared" si="208"/>
        <v>-2.5122995827709391</v>
      </c>
      <c r="BA259">
        <f t="shared" si="184"/>
        <v>6.7322729949711588</v>
      </c>
      <c r="BB259">
        <f t="shared" si="201"/>
        <v>16.563234367720732</v>
      </c>
      <c r="BC259">
        <f t="shared" si="202"/>
        <v>0.68330058590122245</v>
      </c>
      <c r="BD259">
        <f t="shared" si="185"/>
        <v>-140.84976024430793</v>
      </c>
      <c r="BF259">
        <f t="shared" si="186"/>
        <v>-5.0879557232874379</v>
      </c>
      <c r="BG259">
        <f t="shared" si="187"/>
        <v>-124.45191172008897</v>
      </c>
      <c r="BH259">
        <f t="shared" si="203"/>
        <v>55.548088279911028</v>
      </c>
      <c r="BI259">
        <f t="shared" si="204"/>
        <v>55.548088279911028</v>
      </c>
      <c r="BJ259">
        <f t="shared" si="188"/>
        <v>0</v>
      </c>
      <c r="BK259">
        <f t="shared" si="205"/>
        <v>0</v>
      </c>
      <c r="BM259">
        <f t="shared" si="206"/>
        <v>-21.651190091008171</v>
      </c>
      <c r="BN259">
        <f t="shared" si="189"/>
        <v>-163.60215147578106</v>
      </c>
      <c r="BQ259" s="75">
        <f t="shared" si="207"/>
        <v>33.46519516800587</v>
      </c>
      <c r="BR259" s="80"/>
      <c r="BS259" s="80"/>
      <c r="BT259" s="80">
        <v>30902.954000000002</v>
      </c>
      <c r="BU259" s="80">
        <v>-2.2543500000000001</v>
      </c>
      <c r="BV259" s="80">
        <v>-152.994</v>
      </c>
      <c r="BY259" s="80"/>
      <c r="BZ259" s="80"/>
      <c r="CA259" s="80"/>
      <c r="CC259" s="80"/>
    </row>
    <row r="260" spans="1:81">
      <c r="A260">
        <f t="shared" si="211"/>
        <v>230000</v>
      </c>
      <c r="B260">
        <f t="shared" si="191"/>
        <v>230</v>
      </c>
      <c r="C260">
        <f t="shared" si="159"/>
        <v>1.035495327406009</v>
      </c>
      <c r="D260">
        <f t="shared" si="160"/>
        <v>0.26258805957200093</v>
      </c>
      <c r="F260">
        <f t="shared" si="161"/>
        <v>8.5002395549199604E-3</v>
      </c>
      <c r="G260">
        <f t="shared" si="162"/>
        <v>2.8423551535902498E-2</v>
      </c>
      <c r="H260">
        <f t="shared" si="163"/>
        <v>-3.1131690984640978</v>
      </c>
      <c r="J260">
        <f t="shared" si="164"/>
        <v>9</v>
      </c>
      <c r="M260">
        <f t="shared" si="165"/>
        <v>1.8350960385958508E-2</v>
      </c>
      <c r="N260">
        <f t="shared" si="166"/>
        <v>-1.5707963250000001</v>
      </c>
      <c r="O260">
        <f t="shared" si="167"/>
        <v>29.595873517416255</v>
      </c>
      <c r="P260">
        <f t="shared" si="168"/>
        <v>1.5370014001376779</v>
      </c>
      <c r="Q260">
        <f t="shared" si="169"/>
        <v>12.118663728340312</v>
      </c>
      <c r="R260">
        <f t="shared" si="170"/>
        <v>1.4881850450528913</v>
      </c>
      <c r="S260">
        <f t="shared" si="171"/>
        <v>0.98820113081633909</v>
      </c>
      <c r="T260">
        <f t="shared" si="172"/>
        <v>-0.15376699700094462</v>
      </c>
      <c r="U260">
        <f t="shared" si="173"/>
        <v>0.97203283838776766</v>
      </c>
      <c r="V260">
        <f t="shared" si="174"/>
        <v>-0.23705907706850723</v>
      </c>
      <c r="X260">
        <f t="shared" si="192"/>
        <v>-6.0061440636757233</v>
      </c>
      <c r="Y260">
        <f t="shared" si="175"/>
        <v>-102.38853172093341</v>
      </c>
      <c r="Z260">
        <f t="shared" si="193"/>
        <v>77.611468279066585</v>
      </c>
      <c r="AC260">
        <v>1</v>
      </c>
      <c r="AD260">
        <f t="shared" si="176"/>
        <v>29.578974445692005</v>
      </c>
      <c r="AE260">
        <f t="shared" si="177"/>
        <v>-2.3937502852500701E-4</v>
      </c>
      <c r="AF260">
        <f t="shared" si="178"/>
        <v>9.9078292358640001E-4</v>
      </c>
      <c r="AG260">
        <f t="shared" si="194"/>
        <v>27977.221242875861</v>
      </c>
      <c r="AH260">
        <f t="shared" si="195"/>
        <v>-7768.6523958268745</v>
      </c>
      <c r="AJ260">
        <f t="shared" si="179"/>
        <v>55000</v>
      </c>
      <c r="AK260">
        <f t="shared" si="180"/>
        <v>8524.4760363262503</v>
      </c>
      <c r="AL260">
        <v>1</v>
      </c>
      <c r="AM260">
        <f t="shared" si="181"/>
        <v>12.077334580137752</v>
      </c>
      <c r="AN260">
        <f t="shared" si="196"/>
        <v>1075.5194526355178</v>
      </c>
      <c r="AO260">
        <f t="shared" si="197"/>
        <v>-4464.9322405995172</v>
      </c>
      <c r="AQ260">
        <f t="shared" si="182"/>
        <v>0.21520650966886709</v>
      </c>
      <c r="AR260">
        <f t="shared" si="183"/>
        <v>-26.08518103696338</v>
      </c>
      <c r="AT260">
        <f t="shared" si="209"/>
        <v>-196625.82402447032</v>
      </c>
      <c r="AU260">
        <f t="shared" si="210"/>
        <v>-731462.7455985311</v>
      </c>
      <c r="AV260">
        <f t="shared" si="198"/>
        <v>-1.833400373317154</v>
      </c>
      <c r="AW260">
        <f t="shared" si="199"/>
        <v>-88040.979493092702</v>
      </c>
      <c r="AX260">
        <f t="shared" si="200"/>
        <v>-66086.591705103769</v>
      </c>
      <c r="AY260">
        <f t="shared" si="208"/>
        <v>-2.4976856241726852</v>
      </c>
      <c r="BA260">
        <f t="shared" si="184"/>
        <v>6.8804219120427561</v>
      </c>
      <c r="BB260">
        <f t="shared" si="201"/>
        <v>16.752301405564541</v>
      </c>
      <c r="BC260">
        <f t="shared" si="202"/>
        <v>0.66428525085553125</v>
      </c>
      <c r="BD260">
        <f t="shared" si="185"/>
        <v>-141.93925868969816</v>
      </c>
      <c r="BF260">
        <f t="shared" si="186"/>
        <v>-5.2712622307168031</v>
      </c>
      <c r="BG260">
        <f t="shared" si="187"/>
        <v>-125.26552156486032</v>
      </c>
      <c r="BH260">
        <f t="shared" si="203"/>
        <v>54.734478435139678</v>
      </c>
      <c r="BI260">
        <f t="shared" si="204"/>
        <v>54.734478435139678</v>
      </c>
      <c r="BJ260">
        <f t="shared" si="188"/>
        <v>0</v>
      </c>
      <c r="BK260">
        <f t="shared" si="205"/>
        <v>0</v>
      </c>
      <c r="BM260">
        <f t="shared" si="206"/>
        <v>-22.023563636281345</v>
      </c>
      <c r="BN260">
        <f t="shared" si="189"/>
        <v>-163.3262628751622</v>
      </c>
      <c r="BQ260" s="75">
        <f t="shared" si="207"/>
        <v>33.654262205849676</v>
      </c>
      <c r="BR260" s="80"/>
      <c r="BS260" s="80"/>
      <c r="BT260" s="80">
        <v>31622.776999999998</v>
      </c>
      <c r="BU260" s="80">
        <v>-2.1282199999999998</v>
      </c>
      <c r="BV260" s="80">
        <v>-152.041</v>
      </c>
      <c r="BY260" s="80"/>
      <c r="BZ260" s="80"/>
      <c r="CA260" s="80"/>
      <c r="CC260" s="80"/>
    </row>
    <row r="261" spans="1:81">
      <c r="A261">
        <f t="shared" si="211"/>
        <v>235000</v>
      </c>
      <c r="B261">
        <f t="shared" si="191"/>
        <v>235</v>
      </c>
      <c r="C261">
        <f t="shared" si="159"/>
        <v>1.0370275055307452</v>
      </c>
      <c r="D261">
        <f t="shared" si="160"/>
        <v>0.26802965864616562</v>
      </c>
      <c r="F261">
        <f t="shared" si="161"/>
        <v>8.1395977404048678E-3</v>
      </c>
      <c r="G261">
        <f t="shared" si="162"/>
        <v>2.7809145535499728E-2</v>
      </c>
      <c r="H261">
        <f t="shared" si="163"/>
        <v>-3.1137835044645006</v>
      </c>
      <c r="J261">
        <f t="shared" si="164"/>
        <v>9</v>
      </c>
      <c r="M261">
        <f t="shared" si="165"/>
        <v>1.7960514420299816E-2</v>
      </c>
      <c r="N261">
        <f t="shared" si="166"/>
        <v>-1.5707963250000001</v>
      </c>
      <c r="O261">
        <f t="shared" si="167"/>
        <v>30.238535345103376</v>
      </c>
      <c r="P261">
        <f t="shared" si="168"/>
        <v>1.5377199111085023</v>
      </c>
      <c r="Q261">
        <f t="shared" si="169"/>
        <v>12.380338040778373</v>
      </c>
      <c r="R261">
        <f t="shared" si="170"/>
        <v>1.4899349975101743</v>
      </c>
      <c r="S261">
        <f t="shared" si="171"/>
        <v>0.98769209578427186</v>
      </c>
      <c r="T261">
        <f t="shared" si="172"/>
        <v>-0.15705562598923506</v>
      </c>
      <c r="U261">
        <f t="shared" si="173"/>
        <v>0.97085687961940004</v>
      </c>
      <c r="V261">
        <f t="shared" si="174"/>
        <v>-0.24201563773677542</v>
      </c>
      <c r="X261">
        <f t="shared" si="192"/>
        <v>-6.1995091140542948</v>
      </c>
      <c r="Y261">
        <f t="shared" si="175"/>
        <v>-102.44293596326705</v>
      </c>
      <c r="Z261">
        <f t="shared" si="193"/>
        <v>77.557064036732953</v>
      </c>
      <c r="AC261">
        <v>1</v>
      </c>
      <c r="AD261">
        <f t="shared" si="176"/>
        <v>30.221995629294003</v>
      </c>
      <c r="AE261">
        <f t="shared" si="177"/>
        <v>-2.498957646558319E-4</v>
      </c>
      <c r="AF261">
        <f t="shared" si="178"/>
        <v>1.0123216827947999E-3</v>
      </c>
      <c r="AG261">
        <f t="shared" si="194"/>
        <v>27909.568883403736</v>
      </c>
      <c r="AH261">
        <f t="shared" si="195"/>
        <v>-7877.4199870114171</v>
      </c>
      <c r="AJ261">
        <f t="shared" si="179"/>
        <v>55000</v>
      </c>
      <c r="AK261">
        <f t="shared" si="180"/>
        <v>8709.790732768126</v>
      </c>
      <c r="AL261">
        <v>1</v>
      </c>
      <c r="AM261">
        <f t="shared" si="181"/>
        <v>12.339885331879877</v>
      </c>
      <c r="AN261">
        <f t="shared" si="196"/>
        <v>1060.0566486979237</v>
      </c>
      <c r="AO261">
        <f t="shared" si="197"/>
        <v>-4371.1867574611233</v>
      </c>
      <c r="AQ261">
        <f t="shared" si="182"/>
        <v>0.20614679913389203</v>
      </c>
      <c r="AR261">
        <f t="shared" si="183"/>
        <v>-25.53025033873686</v>
      </c>
      <c r="AT261">
        <f t="shared" si="209"/>
        <v>-195359.03600125021</v>
      </c>
      <c r="AU261">
        <f t="shared" si="210"/>
        <v>-714162.18535527366</v>
      </c>
      <c r="AV261">
        <f t="shared" si="198"/>
        <v>-1.8378139463067695</v>
      </c>
      <c r="AW261">
        <f t="shared" si="199"/>
        <v>-83312.820945470768</v>
      </c>
      <c r="AX261">
        <f t="shared" si="200"/>
        <v>-64505.435531064737</v>
      </c>
      <c r="AY261">
        <f t="shared" si="208"/>
        <v>-2.4827476909482789</v>
      </c>
      <c r="BA261">
        <f t="shared" si="184"/>
        <v>7.0269439144222714</v>
      </c>
      <c r="BB261">
        <f t="shared" si="201"/>
        <v>16.935329744562143</v>
      </c>
      <c r="BC261">
        <f t="shared" si="202"/>
        <v>0.64493374464150932</v>
      </c>
      <c r="BD261">
        <f t="shared" si="185"/>
        <v>-143.04801832424974</v>
      </c>
      <c r="BF261">
        <f t="shared" si="186"/>
        <v>-5.4519557051888468</v>
      </c>
      <c r="BG261">
        <f t="shared" si="187"/>
        <v>-126.09770340907457</v>
      </c>
      <c r="BH261">
        <f t="shared" si="203"/>
        <v>53.902296590925431</v>
      </c>
      <c r="BI261">
        <f t="shared" si="204"/>
        <v>53.902296590925431</v>
      </c>
      <c r="BJ261">
        <f t="shared" si="188"/>
        <v>0</v>
      </c>
      <c r="BK261">
        <f t="shared" si="205"/>
        <v>0</v>
      </c>
      <c r="BM261">
        <f t="shared" si="206"/>
        <v>-22.387285449750991</v>
      </c>
      <c r="BN261">
        <f t="shared" si="189"/>
        <v>-163.04968508482483</v>
      </c>
      <c r="BQ261" s="75">
        <f t="shared" si="207"/>
        <v>33.837290544847278</v>
      </c>
      <c r="BR261" s="80"/>
      <c r="BS261" s="80"/>
      <c r="BT261" s="80">
        <v>32359.366000000002</v>
      </c>
      <c r="BU261" s="80">
        <v>-2.03586</v>
      </c>
      <c r="BV261" s="80">
        <v>-151.05000000000001</v>
      </c>
      <c r="BY261" s="80"/>
      <c r="BZ261" s="80"/>
      <c r="CA261" s="80"/>
      <c r="CC261" s="80"/>
    </row>
    <row r="262" spans="1:81">
      <c r="A262">
        <f t="shared" si="211"/>
        <v>240000</v>
      </c>
      <c r="B262">
        <f t="shared" si="191"/>
        <v>240</v>
      </c>
      <c r="C262">
        <f t="shared" si="159"/>
        <v>1.0385902999458339</v>
      </c>
      <c r="D262">
        <f t="shared" si="160"/>
        <v>0.273455041734874</v>
      </c>
      <c r="F262">
        <f t="shared" si="161"/>
        <v>7.8014839352521792E-3</v>
      </c>
      <c r="G262">
        <f t="shared" si="162"/>
        <v>2.7220929906266015E-2</v>
      </c>
      <c r="H262">
        <f t="shared" si="163"/>
        <v>-3.1143717200937342</v>
      </c>
      <c r="J262">
        <f t="shared" si="164"/>
        <v>9</v>
      </c>
      <c r="M262">
        <f t="shared" si="165"/>
        <v>1.7586337036543571E-2</v>
      </c>
      <c r="N262">
        <f t="shared" si="166"/>
        <v>-1.5707963250000001</v>
      </c>
      <c r="O262">
        <f t="shared" si="167"/>
        <v>30.881212133923</v>
      </c>
      <c r="P262">
        <f t="shared" si="168"/>
        <v>1.5384085161921379</v>
      </c>
      <c r="Q262">
        <f t="shared" si="169"/>
        <v>12.642048696385322</v>
      </c>
      <c r="R262">
        <f t="shared" si="170"/>
        <v>1.4916125012915662</v>
      </c>
      <c r="S262">
        <f t="shared" si="171"/>
        <v>0.98717292509992316</v>
      </c>
      <c r="T262">
        <f t="shared" si="172"/>
        <v>-0.16034083320518533</v>
      </c>
      <c r="U262">
        <f t="shared" si="173"/>
        <v>0.96966002725488742</v>
      </c>
      <c r="V262">
        <f t="shared" si="174"/>
        <v>-0.2469600989390264</v>
      </c>
      <c r="X262">
        <f t="shared" si="192"/>
        <v>-6.388721837205539</v>
      </c>
      <c r="Y262">
        <f t="shared" si="175"/>
        <v>-102.50174389842878</v>
      </c>
      <c r="Z262">
        <f t="shared" si="193"/>
        <v>77.498256101571215</v>
      </c>
      <c r="AC262">
        <v>1</v>
      </c>
      <c r="AD262">
        <f t="shared" si="176"/>
        <v>30.865016812896002</v>
      </c>
      <c r="AE262">
        <f t="shared" si="177"/>
        <v>-2.6064275317656712E-4</v>
      </c>
      <c r="AF262">
        <f t="shared" si="178"/>
        <v>1.0338604420032E-3</v>
      </c>
      <c r="AG262">
        <f t="shared" si="194"/>
        <v>27840.798615497646</v>
      </c>
      <c r="AH262">
        <f t="shared" si="195"/>
        <v>-7986.0898689381411</v>
      </c>
      <c r="AJ262">
        <f t="shared" si="179"/>
        <v>55000</v>
      </c>
      <c r="AK262">
        <f t="shared" si="180"/>
        <v>8895.1054292100016</v>
      </c>
      <c r="AL262">
        <v>1</v>
      </c>
      <c r="AM262">
        <f t="shared" si="181"/>
        <v>12.602436083621999</v>
      </c>
      <c r="AN262">
        <f t="shared" si="196"/>
        <v>1045.5421026447004</v>
      </c>
      <c r="AO262">
        <f t="shared" si="197"/>
        <v>-4281.272092105587</v>
      </c>
      <c r="AQ262">
        <f t="shared" si="182"/>
        <v>0.19764735391572785</v>
      </c>
      <c r="AR262">
        <f t="shared" si="183"/>
        <v>-24.99843732326126</v>
      </c>
      <c r="AT262">
        <f t="shared" si="209"/>
        <v>-194137.1068693281</v>
      </c>
      <c r="AU262">
        <f t="shared" si="210"/>
        <v>-697554.8887497856</v>
      </c>
      <c r="AV262">
        <f t="shared" si="198"/>
        <v>-1.8422380127140601</v>
      </c>
      <c r="AW262">
        <f t="shared" si="199"/>
        <v>-78879.203432210925</v>
      </c>
      <c r="AX262">
        <f t="shared" si="200"/>
        <v>-63019.994239806823</v>
      </c>
      <c r="AY262">
        <f t="shared" si="208"/>
        <v>-2.4674965032468865</v>
      </c>
      <c r="BA262">
        <f t="shared" si="184"/>
        <v>7.1716284845564564</v>
      </c>
      <c r="BB262">
        <f t="shared" si="201"/>
        <v>17.112355669988702</v>
      </c>
      <c r="BC262">
        <f t="shared" si="202"/>
        <v>0.62525849053282645</v>
      </c>
      <c r="BD262">
        <f t="shared" si="185"/>
        <v>-144.17532734681285</v>
      </c>
      <c r="BF262">
        <f t="shared" si="186"/>
        <v>-5.6303645279825032</v>
      </c>
      <c r="BG262">
        <f t="shared" si="187"/>
        <v>-126.94786315109505</v>
      </c>
      <c r="BH262">
        <f t="shared" si="203"/>
        <v>53.052136848904951</v>
      </c>
      <c r="BI262">
        <f t="shared" si="204"/>
        <v>53.052136848904951</v>
      </c>
      <c r="BJ262">
        <f t="shared" si="188"/>
        <v>0</v>
      </c>
      <c r="BK262">
        <f t="shared" si="205"/>
        <v>0</v>
      </c>
      <c r="BM262">
        <f t="shared" si="206"/>
        <v>-22.742720197971206</v>
      </c>
      <c r="BN262">
        <f t="shared" si="189"/>
        <v>-162.7725358042822</v>
      </c>
      <c r="BQ262" s="75">
        <f t="shared" si="207"/>
        <v>34.01431647027384</v>
      </c>
      <c r="BR262" s="80"/>
      <c r="BS262" s="80"/>
      <c r="BT262" s="80">
        <v>33113.112000000001</v>
      </c>
      <c r="BU262" s="80">
        <v>-1.91717</v>
      </c>
      <c r="BV262" s="80">
        <v>-150.17400000000001</v>
      </c>
      <c r="BY262" s="80"/>
      <c r="BZ262" s="80"/>
      <c r="CA262" s="80"/>
      <c r="CC262" s="80"/>
    </row>
    <row r="263" spans="1:81">
      <c r="A263">
        <f t="shared" si="211"/>
        <v>245000</v>
      </c>
      <c r="B263">
        <f t="shared" si="191"/>
        <v>245</v>
      </c>
      <c r="C263">
        <f t="shared" si="159"/>
        <v>1.040183572655544</v>
      </c>
      <c r="D263">
        <f t="shared" si="160"/>
        <v>0.27886396326727952</v>
      </c>
      <c r="F263">
        <f t="shared" si="161"/>
        <v>7.4840559464341662E-3</v>
      </c>
      <c r="G263">
        <f t="shared" si="162"/>
        <v>2.6657253893882963E-2</v>
      </c>
      <c r="H263">
        <f t="shared" si="163"/>
        <v>-3.1149353961061172</v>
      </c>
      <c r="J263">
        <f t="shared" si="164"/>
        <v>9</v>
      </c>
      <c r="M263">
        <f t="shared" si="165"/>
        <v>1.722743219906309E-2</v>
      </c>
      <c r="N263">
        <f t="shared" si="166"/>
        <v>-1.5707963250000001</v>
      </c>
      <c r="O263">
        <f t="shared" si="167"/>
        <v>31.523902968838776</v>
      </c>
      <c r="P263">
        <f t="shared" si="168"/>
        <v>1.5390690438257071</v>
      </c>
      <c r="Q263">
        <f t="shared" si="169"/>
        <v>12.903793483859399</v>
      </c>
      <c r="R263">
        <f t="shared" si="170"/>
        <v>1.4932219553742025</v>
      </c>
      <c r="S263">
        <f t="shared" si="171"/>
        <v>0.98664366832960781</v>
      </c>
      <c r="T263">
        <f t="shared" si="172"/>
        <v>-0.1636225531867784</v>
      </c>
      <c r="U263">
        <f t="shared" si="173"/>
        <v>0.96844253369598776</v>
      </c>
      <c r="V263">
        <f t="shared" si="174"/>
        <v>-0.25189226405838533</v>
      </c>
      <c r="X263">
        <f t="shared" si="192"/>
        <v>-6.5739670127397121</v>
      </c>
      <c r="Y263">
        <f t="shared" si="175"/>
        <v>-102.56469235727825</v>
      </c>
      <c r="Z263">
        <f t="shared" si="193"/>
        <v>77.435307642721753</v>
      </c>
      <c r="AC263">
        <v>1</v>
      </c>
      <c r="AD263">
        <f t="shared" si="176"/>
        <v>31.508037996498004</v>
      </c>
      <c r="AE263">
        <f t="shared" si="177"/>
        <v>-2.7161599408721257E-4</v>
      </c>
      <c r="AF263">
        <f t="shared" si="178"/>
        <v>1.0553992012116002E-3</v>
      </c>
      <c r="AG263">
        <f t="shared" si="194"/>
        <v>27770.929357541871</v>
      </c>
      <c r="AH263">
        <f t="shared" si="195"/>
        <v>-8094.5945139688174</v>
      </c>
      <c r="AJ263">
        <f t="shared" si="179"/>
        <v>55000</v>
      </c>
      <c r="AK263">
        <f t="shared" si="180"/>
        <v>9080.4201256518772</v>
      </c>
      <c r="AL263">
        <v>1</v>
      </c>
      <c r="AM263">
        <f t="shared" si="181"/>
        <v>12.864986835364126</v>
      </c>
      <c r="AN263">
        <f t="shared" si="196"/>
        <v>1031.8999851649733</v>
      </c>
      <c r="AO263">
        <f t="shared" si="197"/>
        <v>-4194.9595989079398</v>
      </c>
      <c r="AQ263">
        <f t="shared" si="182"/>
        <v>0.1896629126960874</v>
      </c>
      <c r="AR263">
        <f t="shared" si="183"/>
        <v>-24.488326972755324</v>
      </c>
      <c r="AT263">
        <f t="shared" si="209"/>
        <v>-192955.9618197112</v>
      </c>
      <c r="AU263">
        <f t="shared" si="210"/>
        <v>-681598.84281738847</v>
      </c>
      <c r="AV263">
        <f t="shared" si="198"/>
        <v>-1.8466709951829769</v>
      </c>
      <c r="AW263">
        <f t="shared" si="199"/>
        <v>-74716.666568354674</v>
      </c>
      <c r="AX263">
        <f t="shared" si="200"/>
        <v>-61622.324264193434</v>
      </c>
      <c r="AY263">
        <f t="shared" si="208"/>
        <v>-2.45194334472398</v>
      </c>
      <c r="BA263">
        <f t="shared" si="184"/>
        <v>7.3142587264320493</v>
      </c>
      <c r="BB263">
        <f t="shared" si="201"/>
        <v>17.283406370449118</v>
      </c>
      <c r="BC263">
        <f t="shared" si="202"/>
        <v>0.60527234954100306</v>
      </c>
      <c r="BD263">
        <f t="shared" si="185"/>
        <v>-145.32044887570623</v>
      </c>
      <c r="BF263">
        <f t="shared" si="186"/>
        <v>-5.8068031174225787</v>
      </c>
      <c r="BG263">
        <f t="shared" si="187"/>
        <v>-127.81537256066925</v>
      </c>
      <c r="BH263">
        <f t="shared" si="203"/>
        <v>52.184627439330754</v>
      </c>
      <c r="BI263">
        <f t="shared" si="204"/>
        <v>52.184627439330754</v>
      </c>
      <c r="BJ263">
        <f t="shared" si="188"/>
        <v>0</v>
      </c>
      <c r="BK263">
        <f t="shared" si="205"/>
        <v>0</v>
      </c>
      <c r="BM263">
        <f t="shared" si="206"/>
        <v>-23.0902094878717</v>
      </c>
      <c r="BN263">
        <f t="shared" si="189"/>
        <v>-162.49492368496303</v>
      </c>
      <c r="BQ263" s="75">
        <f t="shared" si="207"/>
        <v>34.185367170734253</v>
      </c>
      <c r="BR263" s="80"/>
      <c r="BS263" s="80"/>
      <c r="BT263" s="80">
        <v>33884.415999999997</v>
      </c>
      <c r="BU263" s="80">
        <v>-1.81593</v>
      </c>
      <c r="BV263" s="80">
        <v>-149.483</v>
      </c>
      <c r="BY263" s="80"/>
      <c r="BZ263" s="80"/>
      <c r="CA263" s="80"/>
      <c r="CC263" s="80"/>
    </row>
    <row r="264" spans="1:81">
      <c r="A264">
        <f t="shared" si="211"/>
        <v>250000</v>
      </c>
      <c r="B264">
        <f t="shared" si="191"/>
        <v>250</v>
      </c>
      <c r="C264">
        <f t="shared" si="159"/>
        <v>1.0418071838252705</v>
      </c>
      <c r="D264">
        <f t="shared" si="160"/>
        <v>0.28425618301296696</v>
      </c>
      <c r="F264">
        <f t="shared" si="161"/>
        <v>7.1856565059859392E-3</v>
      </c>
      <c r="G264">
        <f t="shared" si="162"/>
        <v>2.6116603452780298E-2</v>
      </c>
      <c r="H264">
        <f t="shared" si="163"/>
        <v>-3.11547604654722</v>
      </c>
      <c r="J264">
        <f t="shared" si="164"/>
        <v>9</v>
      </c>
      <c r="M264">
        <f t="shared" si="165"/>
        <v>1.6882883555081829E-2</v>
      </c>
      <c r="N264">
        <f t="shared" si="166"/>
        <v>-1.5707963250000001</v>
      </c>
      <c r="O264">
        <f t="shared" si="167"/>
        <v>32.166607007925045</v>
      </c>
      <c r="P264">
        <f t="shared" si="168"/>
        <v>1.5397031764170424</v>
      </c>
      <c r="Q264">
        <f t="shared" si="169"/>
        <v>13.165570367473164</v>
      </c>
      <c r="R264">
        <f t="shared" si="170"/>
        <v>1.4947674103476418</v>
      </c>
      <c r="S264">
        <f t="shared" si="171"/>
        <v>0.98610437585810007</v>
      </c>
      <c r="T264">
        <f t="shared" si="172"/>
        <v>-0.16690072091133801</v>
      </c>
      <c r="U264">
        <f t="shared" si="173"/>
        <v>0.96720465395160449</v>
      </c>
      <c r="V264">
        <f t="shared" si="174"/>
        <v>-0.2568119398474133</v>
      </c>
      <c r="X264">
        <f t="shared" si="192"/>
        <v>-6.7554173887768645</v>
      </c>
      <c r="Y264">
        <f t="shared" si="175"/>
        <v>-102.63153857808319</v>
      </c>
      <c r="Z264">
        <f t="shared" si="193"/>
        <v>77.368461421916805</v>
      </c>
      <c r="AC264">
        <v>1</v>
      </c>
      <c r="AD264">
        <f t="shared" si="176"/>
        <v>32.151059180099999</v>
      </c>
      <c r="AE264">
        <f t="shared" si="177"/>
        <v>-2.8281548738776823E-4</v>
      </c>
      <c r="AF264">
        <f t="shared" si="178"/>
        <v>1.0769379604200001E-3</v>
      </c>
      <c r="AG264">
        <f t="shared" si="194"/>
        <v>27699.980180775681</v>
      </c>
      <c r="AH264">
        <f t="shared" si="195"/>
        <v>-8202.871214617031</v>
      </c>
      <c r="AJ264">
        <f t="shared" si="179"/>
        <v>55000</v>
      </c>
      <c r="AK264">
        <f t="shared" si="180"/>
        <v>9265.7348220937511</v>
      </c>
      <c r="AL264">
        <v>1</v>
      </c>
      <c r="AM264">
        <f t="shared" si="181"/>
        <v>13.127537587106252</v>
      </c>
      <c r="AN264">
        <f t="shared" si="196"/>
        <v>1019.0618836357205</v>
      </c>
      <c r="AO264">
        <f t="shared" si="197"/>
        <v>-4112.038358921468</v>
      </c>
      <c r="AQ264">
        <f t="shared" si="182"/>
        <v>0.18215269401789411</v>
      </c>
      <c r="AR264">
        <f t="shared" si="183"/>
        <v>-23.99861743685755</v>
      </c>
      <c r="AT264">
        <f t="shared" si="209"/>
        <v>-191811.94214923459</v>
      </c>
      <c r="AU264">
        <f t="shared" si="210"/>
        <v>-666255.40245739615</v>
      </c>
      <c r="AV264">
        <f t="shared" si="198"/>
        <v>-1.8511114299439466</v>
      </c>
      <c r="AW264">
        <f t="shared" si="199"/>
        <v>-70804.039490609095</v>
      </c>
      <c r="AX264">
        <f t="shared" si="200"/>
        <v>-60305.310145978146</v>
      </c>
      <c r="AY264">
        <f t="shared" si="208"/>
        <v>-2.4361001214564699</v>
      </c>
      <c r="BA264">
        <f t="shared" si="184"/>
        <v>7.4546124227975703</v>
      </c>
      <c r="BB264">
        <f t="shared" si="201"/>
        <v>17.44850137424859</v>
      </c>
      <c r="BC264">
        <f t="shared" si="202"/>
        <v>0.58498869151252331</v>
      </c>
      <c r="BD264">
        <f t="shared" si="185"/>
        <v>-146.48261687515273</v>
      </c>
      <c r="BF264">
        <f t="shared" si="186"/>
        <v>-5.9815724228678144</v>
      </c>
      <c r="BG264">
        <f t="shared" si="187"/>
        <v>-128.69956611463019</v>
      </c>
      <c r="BH264">
        <f t="shared" si="203"/>
        <v>51.300433885369813</v>
      </c>
      <c r="BI264">
        <f t="shared" si="204"/>
        <v>51.300433885369813</v>
      </c>
      <c r="BJ264">
        <f t="shared" si="188"/>
        <v>0</v>
      </c>
      <c r="BK264">
        <f t="shared" si="205"/>
        <v>0</v>
      </c>
      <c r="BM264">
        <f t="shared" si="206"/>
        <v>-23.430073797116403</v>
      </c>
      <c r="BN264">
        <f t="shared" si="189"/>
        <v>-162.21694923947746</v>
      </c>
      <c r="BQ264" s="75">
        <f t="shared" si="207"/>
        <v>34.350462174533732</v>
      </c>
      <c r="BR264" s="80"/>
      <c r="BS264" s="80"/>
      <c r="BT264" s="80">
        <v>34673.684999999998</v>
      </c>
      <c r="BU264" s="80">
        <v>-1.6807799999999999</v>
      </c>
      <c r="BV264" s="80">
        <v>-148.328</v>
      </c>
      <c r="BY264" s="80"/>
      <c r="BZ264" s="80"/>
      <c r="CA264" s="80"/>
      <c r="CC264" s="80"/>
    </row>
    <row r="265" spans="1:81">
      <c r="A265">
        <f t="shared" si="211"/>
        <v>255000</v>
      </c>
      <c r="B265">
        <f t="shared" si="191"/>
        <v>255</v>
      </c>
      <c r="C265">
        <f t="shared" ref="C265:C328" si="212">SQRT((A265/Fesr)^2+1)</f>
        <v>1.0434609918363247</v>
      </c>
      <c r="D265">
        <f t="shared" ref="D265:D328" si="213">ATAN(A265/Fesr)</f>
        <v>0.28963146610741558</v>
      </c>
      <c r="F265">
        <f t="shared" ref="F265:F328" si="214">(Ro/(Ro+Rdcr))/SQRT((A265/(Q*Fo))^2+(1-(A265^2/Fo^2))^2)</f>
        <v>6.9047913891948642E-3</v>
      </c>
      <c r="G265">
        <f t="shared" ref="G265:G328" si="215">-ATAN(A265*Fo/(Q*(Fo^2-A265^2)))</f>
        <v>2.5597587304200087E-2</v>
      </c>
      <c r="H265">
        <f t="shared" ref="H265:H328" si="216">IF(G265&gt;0,G265-Pi,G265)</f>
        <v>-3.1159950626958</v>
      </c>
      <c r="J265">
        <f t="shared" ref="J265:J328" si="217">Vin/Vramp</f>
        <v>9</v>
      </c>
      <c r="M265">
        <f t="shared" ref="M265:M328" si="218">1/(2*Pi*_Rfb1*(Cc1ea_u+Cc2ea_u)*A265)</f>
        <v>1.6551846622629242E-2</v>
      </c>
      <c r="N265">
        <f t="shared" ref="N265:N328" si="219">-Pi/2</f>
        <v>-1.5707963250000001</v>
      </c>
      <c r="O265">
        <f t="shared" ref="O265:O328" si="220">SQRT(1+(A265/Fz1_u)^2)</f>
        <v>32.809323475209695</v>
      </c>
      <c r="P265">
        <f t="shared" ref="P265:P328" si="221">ATAN2(Fz1_u,A265)</f>
        <v>1.5403124646332658</v>
      </c>
      <c r="Q265">
        <f t="shared" ref="Q265:Q328" si="222">SQRT(1+(A265/Fz2_u)^2)</f>
        <v>13.427377470011157</v>
      </c>
      <c r="R265">
        <f t="shared" ref="R265:R328" si="223">ATAN2(Fz2_u,A265)</f>
        <v>1.4962526021696021</v>
      </c>
      <c r="S265">
        <f t="shared" ref="S265:S328" si="224">1/SQRT(1+(A265/Fp1_u)^2)</f>
        <v>0.98555509887579873</v>
      </c>
      <c r="T265">
        <f t="shared" ref="T265:T328" si="225">-ATAN2(Fp1_u,A265)</f>
        <v>-0.17017527180225667</v>
      </c>
      <c r="U265">
        <f t="shared" ref="U265:U328" si="226">1/SQRT(1+(A265/Fp2_u)^2)</f>
        <v>0.96594664550338982</v>
      </c>
      <c r="V265">
        <f t="shared" ref="V265:V328" si="227">-ATAN2(Fp2_u,A265)</f>
        <v>-0.26171893645417926</v>
      </c>
      <c r="X265">
        <f t="shared" si="192"/>
        <v>-6.9332347173466404</v>
      </c>
      <c r="Y265">
        <f t="shared" ref="Y265:Y328" si="228">(180/Pi)*(D265+H265+N265+P265+R265+T265+V265)</f>
        <v>-102.70205825301744</v>
      </c>
      <c r="Z265">
        <f t="shared" si="193"/>
        <v>77.297941746982559</v>
      </c>
      <c r="AC265">
        <v>1</v>
      </c>
      <c r="AD265">
        <f t="shared" ref="AD265:AD328" si="229">Rcea1_u*Cc1ea_u*A265*2*Pi</f>
        <v>32.794080363702001</v>
      </c>
      <c r="AE265">
        <f t="shared" ref="AE265:AE328" si="230">-Rcea1_u*Cc1ea_u*Cc2ea_u*(A265*2*Pi)^2</f>
        <v>-2.9424123307823395E-4</v>
      </c>
      <c r="AF265">
        <f t="shared" ref="AF265:AF328" si="231">(Cc2ea_u+Cc1ea_u)*A265*2*Pi</f>
        <v>1.0984767196284E-3</v>
      </c>
      <c r="AG265">
        <f t="shared" si="194"/>
        <v>27627.970297567754</v>
      </c>
      <c r="AH265">
        <f t="shared" si="195"/>
        <v>-8310.8616547590318</v>
      </c>
      <c r="AJ265">
        <f t="shared" ref="AJ265:AJ328" si="232">_Rfb1</f>
        <v>55000</v>
      </c>
      <c r="AK265">
        <f t="shared" ref="AK265:AK328" si="233">_Rfb1*Rcea2_u*Cc3ea_u*A265*2*Pi</f>
        <v>9451.0495185356267</v>
      </c>
      <c r="AL265">
        <v>1</v>
      </c>
      <c r="AM265">
        <f t="shared" ref="AM265:AM328" si="234">(_Rfb1+Rcea2_u)*Cc3ea_u*A265*2*Pi</f>
        <v>13.390088338848376</v>
      </c>
      <c r="AN265">
        <f t="shared" si="196"/>
        <v>1006.9659499576355</v>
      </c>
      <c r="AO265">
        <f t="shared" si="197"/>
        <v>-4032.3135056094839</v>
      </c>
      <c r="AQ265">
        <f t="shared" ref="AQ265:AQ328" si="235">Eadcg/(1+(Eadcg*A265/GBP)^2)</f>
        <v>0.17507987455194771</v>
      </c>
      <c r="AR265">
        <f t="shared" ref="AR265:AR328" si="236">-(A265*Eadcg*Eadcg/GBP)/(1+(Eadcg*A265/GBP)^2)</f>
        <v>-23.528108941663493</v>
      </c>
      <c r="AT265">
        <f t="shared" si="209"/>
        <v>-190701.75683844113</v>
      </c>
      <c r="AU265">
        <f t="shared" si="210"/>
        <v>-651488.95961415104</v>
      </c>
      <c r="AV265">
        <f t="shared" si="198"/>
        <v>-1.8555579560619591</v>
      </c>
      <c r="AW265">
        <f t="shared" si="199"/>
        <v>-67122.178217396417</v>
      </c>
      <c r="AX265">
        <f t="shared" si="200"/>
        <v>-59062.56163354755</v>
      </c>
      <c r="AY265">
        <f t="shared" si="208"/>
        <v>-2.4199794090466593</v>
      </c>
      <c r="BA265">
        <f t="shared" ref="BA265:BA328" si="237">SQRT(AT265^2+AU265^2)/SQRT(AW265^2+AX265^2)</f>
        <v>7.592463231250659</v>
      </c>
      <c r="BB265">
        <f t="shared" si="201"/>
        <v>17.607653947917715</v>
      </c>
      <c r="BC265">
        <f t="shared" si="202"/>
        <v>0.56442145298470026</v>
      </c>
      <c r="BD265">
        <f t="shared" ref="BD265:BD328" si="238">BC265*180/Pi-180</f>
        <v>-147.6610328403824</v>
      </c>
      <c r="BF265">
        <f t="shared" ref="BF265:BF328" si="239">20*LOG(BA265*J265*F265*C265)</f>
        <v>-6.1549602575763949</v>
      </c>
      <c r="BG265">
        <f t="shared" ref="BG265:BG328" si="240">(180/Pi)*(D265+H265+BC265)</f>
        <v>-129.59973847935476</v>
      </c>
      <c r="BH265">
        <f t="shared" si="203"/>
        <v>50.400261520645245</v>
      </c>
      <c r="BI265">
        <f t="shared" si="204"/>
        <v>50.400261520645245</v>
      </c>
      <c r="BJ265">
        <f t="shared" ref="BJ265:BJ328" si="241">SUM((BF266&lt;0)*(BF265&gt;0))*A265</f>
        <v>0</v>
      </c>
      <c r="BK265">
        <f t="shared" si="205"/>
        <v>0</v>
      </c>
      <c r="BM265">
        <f t="shared" si="206"/>
        <v>-23.762614205494113</v>
      </c>
      <c r="BN265">
        <f t="shared" ref="BN265:BN328" si="242">(H265+D265)*180/Pi</f>
        <v>-161.93870563897235</v>
      </c>
      <c r="BQ265" s="75">
        <f t="shared" si="207"/>
        <v>34.50961474820285</v>
      </c>
      <c r="BR265" s="80"/>
      <c r="BS265" s="80"/>
      <c r="BT265" s="80">
        <v>35481.339</v>
      </c>
      <c r="BU265" s="80">
        <v>-1.5620799999999999</v>
      </c>
      <c r="BV265" s="80">
        <v>-147.47</v>
      </c>
      <c r="BY265" s="80"/>
      <c r="BZ265" s="80"/>
      <c r="CA265" s="80"/>
      <c r="CC265" s="80"/>
    </row>
    <row r="266" spans="1:81">
      <c r="A266">
        <f t="shared" si="211"/>
        <v>260000</v>
      </c>
      <c r="B266">
        <f t="shared" ref="B266:B329" si="243">A266/1000</f>
        <v>260</v>
      </c>
      <c r="C266">
        <f t="shared" si="212"/>
        <v>1.0451448533408028</v>
      </c>
      <c r="D266">
        <f t="shared" si="213"/>
        <v>0.29498958307371226</v>
      </c>
      <c r="F266">
        <f t="shared" si="214"/>
        <v>6.6401105008094237E-3</v>
      </c>
      <c r="G266">
        <f t="shared" si="215"/>
        <v>2.5098924674645355E-2</v>
      </c>
      <c r="H266">
        <f t="shared" si="216"/>
        <v>-3.1164937253253551</v>
      </c>
      <c r="J266">
        <f t="shared" si="217"/>
        <v>9</v>
      </c>
      <c r="M266">
        <f t="shared" si="218"/>
        <v>1.6233541879886373E-2</v>
      </c>
      <c r="N266">
        <f t="shared" si="219"/>
        <v>-1.5707963250000001</v>
      </c>
      <c r="O266">
        <f t="shared" si="220"/>
        <v>33.452051654341325</v>
      </c>
      <c r="P266">
        <f t="shared" si="221"/>
        <v>1.5408983400443446</v>
      </c>
      <c r="Q266">
        <f t="shared" si="222"/>
        <v>13.68921305765674</v>
      </c>
      <c r="R266">
        <f t="shared" si="223"/>
        <v>1.497680982078617</v>
      </c>
      <c r="S266">
        <f t="shared" si="224"/>
        <v>0.98499588936575111</v>
      </c>
      <c r="T266">
        <f t="shared" si="225"/>
        <v>-0.17344614173558925</v>
      </c>
      <c r="U266">
        <f t="shared" si="226"/>
        <v>0.96466876817161962</v>
      </c>
      <c r="V266">
        <f t="shared" si="227"/>
        <v>-0.26661306744625868</v>
      </c>
      <c r="X266">
        <f t="shared" ref="X266:X329" si="244">20*LOG(C266*J266*O266*Q266*F266*M266*S266*U266)</f>
        <v>-7.1075706797965053</v>
      </c>
      <c r="Y266">
        <f t="shared" si="228"/>
        <v>-102.77604379291354</v>
      </c>
      <c r="Z266">
        <f t="shared" ref="Z266:Z329" si="245">Y266+180</f>
        <v>77.223956207086459</v>
      </c>
      <c r="AC266">
        <v>1</v>
      </c>
      <c r="AD266">
        <f t="shared" si="229"/>
        <v>33.437101547304003</v>
      </c>
      <c r="AE266">
        <f t="shared" si="230"/>
        <v>-3.0589323115861006E-4</v>
      </c>
      <c r="AF266">
        <f t="shared" si="231"/>
        <v>1.1200154788368001E-3</v>
      </c>
      <c r="AG266">
        <f t="shared" ref="AG266:AG329" si="246">AC266*AE266/(AE266^2+AF266^2)+AD266*AF266/(AE266^2+AF266^2)</f>
        <v>27554.919049758766</v>
      </c>
      <c r="AH266">
        <f t="shared" ref="AH266:AH329" si="247">AD266*AE266/(AE266^2+AF266^2)-AC266*AF266/(AE266^2+AF266^2)</f>
        <v>-8418.5115300701545</v>
      </c>
      <c r="AJ266">
        <f t="shared" si="232"/>
        <v>55000</v>
      </c>
      <c r="AK266">
        <f t="shared" si="233"/>
        <v>9636.3642149775023</v>
      </c>
      <c r="AL266">
        <v>1</v>
      </c>
      <c r="AM266">
        <f t="shared" si="234"/>
        <v>13.652639090590501</v>
      </c>
      <c r="AN266">
        <f t="shared" ref="AN266:AN329" si="248">AJ266*AL266/(AL266^2+AM266^2)+AK266*AM266/(AL266^2+AM266^2)</f>
        <v>995.55616026740233</v>
      </c>
      <c r="AO266">
        <f t="shared" ref="AO266:AO329" si="249">AK266*AL266/(AL266^2+AM266^2)-AJ266*AM266/(AL266^2+AM266^2)</f>
        <v>-3955.6047355674154</v>
      </c>
      <c r="AQ266">
        <f t="shared" si="235"/>
        <v>0.16841113689959161</v>
      </c>
      <c r="AR266">
        <f t="shared" si="236"/>
        <v>-23.075693977982045</v>
      </c>
      <c r="AT266">
        <f t="shared" si="209"/>
        <v>-189622.44057366619</v>
      </c>
      <c r="AU266">
        <f t="shared" si="210"/>
        <v>-637266.6506780826</v>
      </c>
      <c r="AV266">
        <f t="shared" ref="AV266:AV329" si="250">ATAN2(AT266,AU266)</f>
        <v>-1.8600093059225904</v>
      </c>
      <c r="AW266">
        <f t="shared" ref="AW266:AW329" si="251">AG266-AH266*AO266/_Rfb2+AG266*AN266/_Rfb2+AN266-AO266*AR266+AQ266*AN266</f>
        <v>-63653.737427503409</v>
      </c>
      <c r="AX266">
        <f t="shared" ref="AX266:AX329" si="252">AH266+AH266*AN266/_Rfb2+AG266*AO266/_Rfb2+AO266+AO266*AQ266+AN266*AR266</f>
        <v>-57888.325453565718</v>
      </c>
      <c r="AY266">
        <f t="shared" si="208"/>
        <v>-2.403594487844078</v>
      </c>
      <c r="BA266">
        <f t="shared" si="237"/>
        <v>7.7275820132310935</v>
      </c>
      <c r="BB266">
        <f t="shared" ref="BB266:BB329" si="253">20*LOG(BA266)</f>
        <v>17.760872458995948</v>
      </c>
      <c r="BC266">
        <f t="shared" ref="BC266:BC329" si="254">AV266-AY266</f>
        <v>0.54358518192148764</v>
      </c>
      <c r="BD266">
        <f t="shared" si="238"/>
        <v>-148.8548632344592</v>
      </c>
      <c r="BF266">
        <f t="shared" si="239"/>
        <v>-6.3272414925643696</v>
      </c>
      <c r="BG266">
        <f t="shared" si="240"/>
        <v>-130.51514264888158</v>
      </c>
      <c r="BH266">
        <f t="shared" ref="BH266:BH329" si="255">IF(BG266&gt;180,BG266-180,BG266+180)</f>
        <v>49.484857351118421</v>
      </c>
      <c r="BI266">
        <f t="shared" ref="BI266:BI329" si="256">IF(BH266&gt;180,BH266-360,BH266)</f>
        <v>49.484857351118421</v>
      </c>
      <c r="BJ266">
        <f t="shared" si="241"/>
        <v>0</v>
      </c>
      <c r="BK266">
        <f t="shared" ref="BK266:BK329" si="257">IF(BJ266&gt;0,BI266,0)</f>
        <v>0</v>
      </c>
      <c r="BM266">
        <f t="shared" ref="BM266:BM329" si="258">20*LOG(J266*F266*C266)</f>
        <v>-24.088113951560317</v>
      </c>
      <c r="BN266">
        <f t="shared" si="242"/>
        <v>-161.6602794144224</v>
      </c>
      <c r="BQ266" s="75">
        <f t="shared" ref="BQ266:BQ329" si="259">20*LOG(BA266*7)</f>
        <v>34.662833259281086</v>
      </c>
      <c r="BR266" s="80"/>
      <c r="BS266" s="80"/>
      <c r="BT266" s="80">
        <v>36307.805</v>
      </c>
      <c r="BU266" s="80">
        <v>-1.4274800000000001</v>
      </c>
      <c r="BV266" s="80">
        <v>-146.52500000000001</v>
      </c>
      <c r="BY266" s="80"/>
      <c r="BZ266" s="80"/>
      <c r="CA266" s="80"/>
      <c r="CC266" s="80"/>
    </row>
    <row r="267" spans="1:81">
      <c r="A267">
        <f t="shared" si="211"/>
        <v>265000</v>
      </c>
      <c r="B267">
        <f t="shared" si="243"/>
        <v>265</v>
      </c>
      <c r="C267">
        <f t="shared" si="212"/>
        <v>1.0468586233164943</v>
      </c>
      <c r="D267">
        <f t="shared" si="213"/>
        <v>0.30033030984056286</v>
      </c>
      <c r="F267">
        <f t="shared" si="214"/>
        <v>6.3903914771078979E-3</v>
      </c>
      <c r="G267">
        <f t="shared" si="215"/>
        <v>2.4619434482061928E-2</v>
      </c>
      <c r="H267">
        <f t="shared" si="216"/>
        <v>-3.1169732155179384</v>
      </c>
      <c r="J267">
        <f t="shared" si="217"/>
        <v>9</v>
      </c>
      <c r="M267">
        <f t="shared" si="218"/>
        <v>1.5927248636869649E-2</v>
      </c>
      <c r="N267">
        <f t="shared" si="219"/>
        <v>-1.5707963250000001</v>
      </c>
      <c r="O267">
        <f t="shared" si="220"/>
        <v>34.094790882972376</v>
      </c>
      <c r="P267">
        <f t="shared" si="221"/>
        <v>1.5414621263383528</v>
      </c>
      <c r="Q267">
        <f t="shared" si="222"/>
        <v>13.951075526573465</v>
      </c>
      <c r="R267">
        <f t="shared" si="223"/>
        <v>1.4990557431636635</v>
      </c>
      <c r="S267">
        <f t="shared" si="224"/>
        <v>0.98442680009053452</v>
      </c>
      <c r="T267">
        <f t="shared" si="225"/>
        <v>-0.17671326704651025</v>
      </c>
      <c r="U267">
        <f t="shared" si="226"/>
        <v>0.96337128398146255</v>
      </c>
      <c r="V267">
        <f t="shared" si="227"/>
        <v>-0.27149414983267067</v>
      </c>
      <c r="X267">
        <f t="shared" si="244"/>
        <v>-7.2785677160103468</v>
      </c>
      <c r="Y267">
        <f t="shared" si="228"/>
        <v>-102.85330278252886</v>
      </c>
      <c r="Z267">
        <f t="shared" si="245"/>
        <v>77.146697217471143</v>
      </c>
      <c r="AC267">
        <v>1</v>
      </c>
      <c r="AD267">
        <f t="shared" si="229"/>
        <v>34.080122730906005</v>
      </c>
      <c r="AE267">
        <f t="shared" si="230"/>
        <v>-3.1777148162889633E-4</v>
      </c>
      <c r="AF267">
        <f t="shared" si="231"/>
        <v>1.1415542380452E-3</v>
      </c>
      <c r="AG267">
        <f t="shared" si="246"/>
        <v>27480.845897083804</v>
      </c>
      <c r="AH267">
        <f t="shared" si="247"/>
        <v>-8525.7702111446524</v>
      </c>
      <c r="AJ267">
        <f t="shared" si="232"/>
        <v>55000</v>
      </c>
      <c r="AK267">
        <f t="shared" si="233"/>
        <v>9821.6789114193762</v>
      </c>
      <c r="AL267">
        <v>1</v>
      </c>
      <c r="AM267">
        <f t="shared" si="234"/>
        <v>13.915189842332625</v>
      </c>
      <c r="AN267">
        <f t="shared" si="248"/>
        <v>984.78167007937225</v>
      </c>
      <c r="AO267">
        <f t="shared" si="249"/>
        <v>-3881.744980984462</v>
      </c>
      <c r="AQ267">
        <f t="shared" si="235"/>
        <v>0.16211627653812397</v>
      </c>
      <c r="AR267">
        <f t="shared" si="236"/>
        <v>-22.640348599931698</v>
      </c>
      <c r="AT267">
        <f t="shared" si="209"/>
        <v>-188571.31725027499</v>
      </c>
      <c r="AU267">
        <f t="shared" si="210"/>
        <v>-623558.0970522305</v>
      </c>
      <c r="AV267">
        <f t="shared" si="250"/>
        <v>-1.8644642967927292</v>
      </c>
      <c r="AW267">
        <f t="shared" si="251"/>
        <v>-60382.971607826541</v>
      </c>
      <c r="AX267">
        <f t="shared" si="252"/>
        <v>-56777.409414517315</v>
      </c>
      <c r="AY267">
        <f t="shared" ref="AY267:AY330" si="260">ATAN2(AW267,AX267)</f>
        <v>-2.3869593661865145</v>
      </c>
      <c r="BA267">
        <f t="shared" si="237"/>
        <v>7.8597382866330197</v>
      </c>
      <c r="BB267">
        <f t="shared" si="253"/>
        <v>17.908161703069496</v>
      </c>
      <c r="BC267">
        <f t="shared" si="254"/>
        <v>0.52249506939378532</v>
      </c>
      <c r="BD267">
        <f t="shared" si="238"/>
        <v>-150.0632376731333</v>
      </c>
      <c r="BF267">
        <f t="shared" si="239"/>
        <v>-6.4986781322945699</v>
      </c>
      <c r="BG267">
        <f t="shared" si="240"/>
        <v>-131.44498874831729</v>
      </c>
      <c r="BH267">
        <f t="shared" si="255"/>
        <v>48.555011251682714</v>
      </c>
      <c r="BI267">
        <f t="shared" si="256"/>
        <v>48.555011251682714</v>
      </c>
      <c r="BJ267">
        <f t="shared" si="241"/>
        <v>0</v>
      </c>
      <c r="BK267">
        <f t="shared" si="257"/>
        <v>0</v>
      </c>
      <c r="BM267">
        <f t="shared" si="258"/>
        <v>-24.406839835364064</v>
      </c>
      <c r="BN267">
        <f t="shared" si="242"/>
        <v>-161.38175107518398</v>
      </c>
      <c r="BQ267" s="75">
        <f t="shared" si="259"/>
        <v>34.810122503354634</v>
      </c>
      <c r="BR267" s="80"/>
      <c r="BS267" s="80"/>
      <c r="BT267" s="80">
        <v>37153.523000000001</v>
      </c>
      <c r="BU267" s="80">
        <v>-1.30297</v>
      </c>
      <c r="BV267" s="80">
        <v>-145.744</v>
      </c>
      <c r="BY267" s="80"/>
      <c r="BZ267" s="80"/>
      <c r="CA267" s="80"/>
      <c r="CC267" s="80"/>
    </row>
    <row r="268" spans="1:81">
      <c r="A268">
        <f t="shared" si="211"/>
        <v>270000</v>
      </c>
      <c r="B268">
        <f t="shared" si="243"/>
        <v>270</v>
      </c>
      <c r="C268">
        <f t="shared" si="212"/>
        <v>1.0486021551217883</v>
      </c>
      <c r="D268">
        <f t="shared" si="213"/>
        <v>0.30565342775665549</v>
      </c>
      <c r="F268">
        <f t="shared" si="214"/>
        <v>6.1545254278428455E-3</v>
      </c>
      <c r="G268">
        <f t="shared" si="215"/>
        <v>2.4158025773339701E-2</v>
      </c>
      <c r="H268">
        <f t="shared" si="216"/>
        <v>-3.1174346242266604</v>
      </c>
      <c r="J268">
        <f t="shared" si="217"/>
        <v>9</v>
      </c>
      <c r="M268">
        <f t="shared" si="218"/>
        <v>1.5632299588038728E-2</v>
      </c>
      <c r="N268">
        <f t="shared" si="219"/>
        <v>-1.5707963250000001</v>
      </c>
      <c r="O268">
        <f t="shared" si="220"/>
        <v>34.737540547765242</v>
      </c>
      <c r="P268">
        <f t="shared" si="221"/>
        <v>1.5420050492931503</v>
      </c>
      <c r="Q268">
        <f t="shared" si="222"/>
        <v>14.212963390963726</v>
      </c>
      <c r="R268">
        <f t="shared" si="223"/>
        <v>1.5003798440179368</v>
      </c>
      <c r="S268">
        <f t="shared" si="224"/>
        <v>0.98384788457900529</v>
      </c>
      <c r="T268">
        <f t="shared" si="225"/>
        <v>-0.17997658453563414</v>
      </c>
      <c r="U268">
        <f t="shared" si="226"/>
        <v>0.96205445702975734</v>
      </c>
      <c r="V268">
        <f t="shared" si="227"/>
        <v>-0.27636200408376999</v>
      </c>
      <c r="X268">
        <f t="shared" si="244"/>
        <v>-7.4463597692534709</v>
      </c>
      <c r="Y268">
        <f t="shared" si="228"/>
        <v>-102.93365660251909</v>
      </c>
      <c r="Z268">
        <f t="shared" si="245"/>
        <v>77.066343397480907</v>
      </c>
      <c r="AC268">
        <v>1</v>
      </c>
      <c r="AD268">
        <f t="shared" si="229"/>
        <v>34.723143914508007</v>
      </c>
      <c r="AE268">
        <f t="shared" si="230"/>
        <v>-3.2987598448909282E-4</v>
      </c>
      <c r="AF268">
        <f t="shared" si="231"/>
        <v>1.1630929972536001E-3</v>
      </c>
      <c r="AG268">
        <f t="shared" si="246"/>
        <v>27405.770405685162</v>
      </c>
      <c r="AH268">
        <f t="shared" si="247"/>
        <v>-8632.5904437271838</v>
      </c>
      <c r="AJ268">
        <f t="shared" si="232"/>
        <v>55000</v>
      </c>
      <c r="AK268">
        <f t="shared" si="233"/>
        <v>10006.993607861252</v>
      </c>
      <c r="AL268">
        <v>1</v>
      </c>
      <c r="AM268">
        <f t="shared" si="234"/>
        <v>14.177740594074752</v>
      </c>
      <c r="AN268">
        <f t="shared" si="248"/>
        <v>974.59625107589761</v>
      </c>
      <c r="AO268">
        <f t="shared" si="249"/>
        <v>-3810.579223850571</v>
      </c>
      <c r="AQ268">
        <f t="shared" si="235"/>
        <v>0.15616785923118071</v>
      </c>
      <c r="AR268">
        <f t="shared" si="236"/>
        <v>-22.221124690004704</v>
      </c>
      <c r="AT268">
        <f t="shared" si="209"/>
        <v>-187545.96815296769</v>
      </c>
      <c r="AU268">
        <f t="shared" si="210"/>
        <v>-610335.17457958718</v>
      </c>
      <c r="AV268">
        <f t="shared" si="250"/>
        <v>-1.8689218233168701</v>
      </c>
      <c r="AW268">
        <f t="shared" si="251"/>
        <v>-57295.561337435203</v>
      </c>
      <c r="AX268">
        <f t="shared" si="252"/>
        <v>-55725.116911362187</v>
      </c>
      <c r="AY268">
        <f t="shared" si="260"/>
        <v>-2.3700887915729596</v>
      </c>
      <c r="BA268">
        <f t="shared" si="237"/>
        <v>7.9887017892866581</v>
      </c>
      <c r="BB268">
        <f t="shared" si="253"/>
        <v>18.049524193144574</v>
      </c>
      <c r="BC268">
        <f t="shared" si="254"/>
        <v>0.50116696825608953</v>
      </c>
      <c r="BD268">
        <f t="shared" si="238"/>
        <v>-151.28524785474778</v>
      </c>
      <c r="BF268">
        <f t="shared" si="239"/>
        <v>-6.6695192920959192</v>
      </c>
      <c r="BG268">
        <f t="shared" si="240"/>
        <v>-132.38844351081121</v>
      </c>
      <c r="BH268">
        <f t="shared" si="255"/>
        <v>47.611556489188786</v>
      </c>
      <c r="BI268">
        <f t="shared" si="256"/>
        <v>47.611556489188786</v>
      </c>
      <c r="BJ268">
        <f t="shared" si="241"/>
        <v>0</v>
      </c>
      <c r="BK268">
        <f t="shared" si="257"/>
        <v>0</v>
      </c>
      <c r="BM268">
        <f t="shared" si="258"/>
        <v>-24.719043485240491</v>
      </c>
      <c r="BN268">
        <f t="shared" si="242"/>
        <v>-161.10319565606346</v>
      </c>
      <c r="BQ268" s="75">
        <f t="shared" si="259"/>
        <v>34.951484993429709</v>
      </c>
      <c r="BR268" s="80"/>
      <c r="BS268" s="80"/>
      <c r="BT268" s="80">
        <v>38018.94</v>
      </c>
      <c r="BU268" s="80">
        <v>-1.18652</v>
      </c>
      <c r="BV268" s="80">
        <v>-144.86799999999999</v>
      </c>
      <c r="BY268" s="80"/>
      <c r="BZ268" s="80"/>
      <c r="CA268" s="80"/>
      <c r="CC268" s="80"/>
    </row>
    <row r="269" spans="1:81">
      <c r="A269">
        <f t="shared" si="211"/>
        <v>275000</v>
      </c>
      <c r="B269">
        <f t="shared" si="243"/>
        <v>275</v>
      </c>
      <c r="C269">
        <f t="shared" si="212"/>
        <v>1.0503753005505359</v>
      </c>
      <c r="D269">
        <f t="shared" si="213"/>
        <v>0.31095872360143129</v>
      </c>
      <c r="F269">
        <f t="shared" si="214"/>
        <v>5.9315045042334751E-3</v>
      </c>
      <c r="G269">
        <f t="shared" si="215"/>
        <v>2.3713689246708237E-2</v>
      </c>
      <c r="H269">
        <f t="shared" si="216"/>
        <v>-3.1178789607532922</v>
      </c>
      <c r="J269">
        <f t="shared" si="217"/>
        <v>9</v>
      </c>
      <c r="M269">
        <f t="shared" si="218"/>
        <v>1.5348075959165298E-2</v>
      </c>
      <c r="N269">
        <f t="shared" si="219"/>
        <v>-1.5707963250000001</v>
      </c>
      <c r="O269">
        <f t="shared" si="220"/>
        <v>35.38030007994243</v>
      </c>
      <c r="P269">
        <f t="shared" si="221"/>
        <v>1.5425282456623919</v>
      </c>
      <c r="Q269">
        <f t="shared" si="222"/>
        <v>14.474875272418542</v>
      </c>
      <c r="R269">
        <f t="shared" si="223"/>
        <v>1.5016560298427897</v>
      </c>
      <c r="S269">
        <f t="shared" si="224"/>
        <v>0.98325919711292042</v>
      </c>
      <c r="T269">
        <f t="shared" si="225"/>
        <v>-0.18323603147519726</v>
      </c>
      <c r="U269">
        <f t="shared" si="226"/>
        <v>0.96071855335240997</v>
      </c>
      <c r="V269">
        <f t="shared" si="227"/>
        <v>-0.28121645414910956</v>
      </c>
      <c r="X269">
        <f t="shared" si="244"/>
        <v>-7.6110729567944899</v>
      </c>
      <c r="Y269">
        <f t="shared" si="228"/>
        <v>-103.01693919763196</v>
      </c>
      <c r="Z269">
        <f t="shared" si="245"/>
        <v>76.983060802368044</v>
      </c>
      <c r="AC269">
        <v>1</v>
      </c>
      <c r="AD269">
        <f t="shared" si="229"/>
        <v>35.366165098110002</v>
      </c>
      <c r="AE269">
        <f t="shared" si="230"/>
        <v>-3.4220673973919948E-4</v>
      </c>
      <c r="AF269">
        <f t="shared" si="231"/>
        <v>1.184631756462E-3</v>
      </c>
      <c r="AG269">
        <f t="shared" si="246"/>
        <v>27329.712236726547</v>
      </c>
      <c r="AH269">
        <f t="shared" si="247"/>
        <v>-8738.9280812959332</v>
      </c>
      <c r="AJ269">
        <f t="shared" si="232"/>
        <v>55000</v>
      </c>
      <c r="AK269">
        <f t="shared" si="233"/>
        <v>10192.308304303126</v>
      </c>
      <c r="AL269">
        <v>1</v>
      </c>
      <c r="AM269">
        <f t="shared" si="234"/>
        <v>14.440291345816878</v>
      </c>
      <c r="AN269">
        <f t="shared" si="248"/>
        <v>964.95779796093927</v>
      </c>
      <c r="AO269">
        <f t="shared" si="249"/>
        <v>-3741.9634346707385</v>
      </c>
      <c r="AQ269">
        <f t="shared" si="235"/>
        <v>0.15054092163287505</v>
      </c>
      <c r="AR269">
        <f t="shared" si="236"/>
        <v>-21.817143067644412</v>
      </c>
      <c r="AT269">
        <f t="shared" si="209"/>
        <v>-186544.20413941058</v>
      </c>
      <c r="AU269">
        <f t="shared" si="210"/>
        <v>-597571.80815365689</v>
      </c>
      <c r="AV269">
        <f t="shared" si="250"/>
        <v>-1.8733808508300185</v>
      </c>
      <c r="AW269">
        <f t="shared" si="251"/>
        <v>-54378.461148004972</v>
      </c>
      <c r="AX269">
        <f t="shared" si="252"/>
        <v>-54727.190233303219</v>
      </c>
      <c r="AY269">
        <f t="shared" si="260"/>
        <v>-2.3529982497286372</v>
      </c>
      <c r="BA269">
        <f t="shared" si="237"/>
        <v>8.1142441370687699</v>
      </c>
      <c r="BB269">
        <f t="shared" si="253"/>
        <v>18.18496140773275</v>
      </c>
      <c r="BC269">
        <f t="shared" si="254"/>
        <v>0.47961739889861876</v>
      </c>
      <c r="BD269">
        <f t="shared" si="238"/>
        <v>-152.51994723066616</v>
      </c>
      <c r="BF269">
        <f t="shared" si="239"/>
        <v>-6.8400010965033999</v>
      </c>
      <c r="BG269">
        <f t="shared" si="240"/>
        <v>-133.34463043309688</v>
      </c>
      <c r="BH269">
        <f t="shared" si="255"/>
        <v>46.655369566903119</v>
      </c>
      <c r="BI269">
        <f t="shared" si="256"/>
        <v>46.655369566903119</v>
      </c>
      <c r="BJ269">
        <f t="shared" si="241"/>
        <v>0</v>
      </c>
      <c r="BK269">
        <f t="shared" si="257"/>
        <v>0</v>
      </c>
      <c r="BM269">
        <f t="shared" si="258"/>
        <v>-25.02496250423615</v>
      </c>
      <c r="BN269">
        <f t="shared" si="242"/>
        <v>-160.82468320243075</v>
      </c>
      <c r="BQ269" s="75">
        <f t="shared" si="259"/>
        <v>35.086922208017889</v>
      </c>
      <c r="BR269" s="80"/>
      <c r="BS269" s="80"/>
      <c r="BT269" s="80">
        <v>38904.514000000003</v>
      </c>
      <c r="BU269" s="80">
        <v>-1.0515600000000001</v>
      </c>
      <c r="BV269" s="80">
        <v>-144.06</v>
      </c>
      <c r="BY269" s="80"/>
      <c r="BZ269" s="80"/>
      <c r="CA269" s="80"/>
      <c r="CC269" s="80"/>
    </row>
    <row r="270" spans="1:81">
      <c r="A270">
        <f t="shared" si="211"/>
        <v>280000</v>
      </c>
      <c r="B270">
        <f t="shared" si="243"/>
        <v>280</v>
      </c>
      <c r="C270">
        <f t="shared" si="212"/>
        <v>1.0521779098868278</v>
      </c>
      <c r="D270">
        <f t="shared" si="213"/>
        <v>0.31624598959232403</v>
      </c>
      <c r="F270">
        <f t="shared" si="214"/>
        <v>5.720411030105288E-3</v>
      </c>
      <c r="G270">
        <f t="shared" si="215"/>
        <v>2.3285489717517992E-2</v>
      </c>
      <c r="H270">
        <f t="shared" si="216"/>
        <v>-3.1183071602824821</v>
      </c>
      <c r="J270">
        <f t="shared" si="217"/>
        <v>9</v>
      </c>
      <c r="M270">
        <f t="shared" si="218"/>
        <v>1.5074003174180204E-2</v>
      </c>
      <c r="N270">
        <f t="shared" si="219"/>
        <v>-1.5707963250000001</v>
      </c>
      <c r="O270">
        <f t="shared" si="220"/>
        <v>36.023068951312794</v>
      </c>
      <c r="P270">
        <f t="shared" si="221"/>
        <v>1.5430327711112763</v>
      </c>
      <c r="Q270">
        <f t="shared" si="222"/>
        <v>14.736809890398707</v>
      </c>
      <c r="R270">
        <f t="shared" si="223"/>
        <v>1.5028868513163507</v>
      </c>
      <c r="S270">
        <f t="shared" si="224"/>
        <v>0.98266079271343942</v>
      </c>
      <c r="T270">
        <f t="shared" si="225"/>
        <v>-0.18649154561510053</v>
      </c>
      <c r="U270">
        <f t="shared" si="226"/>
        <v>0.95936384079252579</v>
      </c>
      <c r="V270">
        <f t="shared" si="227"/>
        <v>-0.28605732747329393</v>
      </c>
      <c r="X270">
        <f t="shared" si="244"/>
        <v>-7.7728261750528729</v>
      </c>
      <c r="Y270">
        <f t="shared" si="228"/>
        <v>-103.10299597344886</v>
      </c>
      <c r="Z270">
        <f t="shared" si="245"/>
        <v>76.897004026551144</v>
      </c>
      <c r="AC270">
        <v>1</v>
      </c>
      <c r="AD270">
        <f t="shared" si="229"/>
        <v>36.009186281712005</v>
      </c>
      <c r="AE270">
        <f t="shared" si="230"/>
        <v>-3.5476374737921637E-4</v>
      </c>
      <c r="AF270">
        <f t="shared" si="231"/>
        <v>1.2061705156703999E-3</v>
      </c>
      <c r="AG270">
        <f t="shared" si="246"/>
        <v>27252.691135118654</v>
      </c>
      <c r="AH270">
        <f t="shared" si="247"/>
        <v>-8844.7418459184682</v>
      </c>
      <c r="AJ270">
        <f t="shared" si="232"/>
        <v>55000</v>
      </c>
      <c r="AK270">
        <f t="shared" si="233"/>
        <v>10377.623000745001</v>
      </c>
      <c r="AL270">
        <v>1</v>
      </c>
      <c r="AM270">
        <f t="shared" si="234"/>
        <v>14.702842097559001</v>
      </c>
      <c r="AN270">
        <f t="shared" si="248"/>
        <v>955.82789560570359</v>
      </c>
      <c r="AO270">
        <f t="shared" si="249"/>
        <v>-3675.7636207877686</v>
      </c>
      <c r="AQ270">
        <f t="shared" si="235"/>
        <v>0.1452127089722019</v>
      </c>
      <c r="AR270">
        <f t="shared" si="236"/>
        <v>-21.42758733593811</v>
      </c>
      <c r="AT270">
        <f t="shared" si="209"/>
        <v>-185564.04126073114</v>
      </c>
      <c r="AU270">
        <f t="shared" si="210"/>
        <v>-585243.78836070688</v>
      </c>
      <c r="AV270">
        <f t="shared" si="250"/>
        <v>-1.8778404093851859</v>
      </c>
      <c r="AW270">
        <f t="shared" si="251"/>
        <v>-51619.765956954638</v>
      </c>
      <c r="AX270">
        <f t="shared" si="252"/>
        <v>-53779.761347114763</v>
      </c>
      <c r="AY270">
        <f t="shared" si="260"/>
        <v>-2.3357039516024596</v>
      </c>
      <c r="BA270">
        <f t="shared" si="237"/>
        <v>8.2361405570057027</v>
      </c>
      <c r="BB270">
        <f t="shared" si="253"/>
        <v>18.31447499255535</v>
      </c>
      <c r="BC270">
        <f t="shared" si="254"/>
        <v>0.45786354221727366</v>
      </c>
      <c r="BD270">
        <f t="shared" si="238"/>
        <v>-153.76635140806391</v>
      </c>
      <c r="BF270">
        <f t="shared" si="239"/>
        <v>-7.0103465171301629</v>
      </c>
      <c r="BG270">
        <f t="shared" si="240"/>
        <v>-134.31263060954743</v>
      </c>
      <c r="BH270">
        <f t="shared" si="255"/>
        <v>45.687369390452574</v>
      </c>
      <c r="BI270">
        <f t="shared" si="256"/>
        <v>45.687369390452574</v>
      </c>
      <c r="BJ270">
        <f t="shared" si="241"/>
        <v>0</v>
      </c>
      <c r="BK270">
        <f t="shared" si="257"/>
        <v>0</v>
      </c>
      <c r="BM270">
        <f t="shared" si="258"/>
        <v>-25.324821509685513</v>
      </c>
      <c r="BN270">
        <f t="shared" si="242"/>
        <v>-160.54627920148351</v>
      </c>
      <c r="BQ270" s="75">
        <f t="shared" si="259"/>
        <v>35.216435792840485</v>
      </c>
      <c r="BR270" s="80"/>
      <c r="BS270" s="80"/>
      <c r="BT270" s="80">
        <v>39810.716999999997</v>
      </c>
      <c r="BU270" s="80">
        <v>-0.92721699999999996</v>
      </c>
      <c r="BV270" s="80">
        <v>-143.22999999999999</v>
      </c>
      <c r="BY270" s="80"/>
      <c r="BZ270" s="80"/>
      <c r="CA270" s="80"/>
      <c r="CC270" s="80"/>
    </row>
    <row r="271" spans="1:81">
      <c r="A271">
        <f t="shared" si="211"/>
        <v>285000</v>
      </c>
      <c r="B271">
        <f t="shared" si="243"/>
        <v>285</v>
      </c>
      <c r="C271">
        <f t="shared" si="212"/>
        <v>1.0540098319596525</v>
      </c>
      <c r="D271">
        <f t="shared" si="213"/>
        <v>0.32151502338852994</v>
      </c>
      <c r="F271">
        <f t="shared" si="214"/>
        <v>5.5204079751701484E-3</v>
      </c>
      <c r="G271">
        <f t="shared" si="215"/>
        <v>2.2872559406682626E-2</v>
      </c>
      <c r="H271">
        <f t="shared" si="216"/>
        <v>-3.1187200905933175</v>
      </c>
      <c r="J271">
        <f t="shared" si="217"/>
        <v>9</v>
      </c>
      <c r="M271">
        <f t="shared" si="218"/>
        <v>1.4809546978141953E-2</v>
      </c>
      <c r="N271">
        <f t="shared" si="219"/>
        <v>-1.5707963250000001</v>
      </c>
      <c r="O271">
        <f t="shared" si="220"/>
        <v>36.66584667071551</v>
      </c>
      <c r="P271">
        <f t="shared" si="221"/>
        <v>1.5435196073184865</v>
      </c>
      <c r="Q271">
        <f t="shared" si="222"/>
        <v>14.998766053709662</v>
      </c>
      <c r="R271">
        <f t="shared" si="223"/>
        <v>1.5040746814978376</v>
      </c>
      <c r="S271">
        <f t="shared" si="224"/>
        <v>0.98205272712750979</v>
      </c>
      <c r="T271">
        <f t="shared" si="225"/>
        <v>-0.18974306518881151</v>
      </c>
      <c r="U271">
        <f t="shared" si="226"/>
        <v>0.95799058886938038</v>
      </c>
      <c r="V271">
        <f t="shared" si="227"/>
        <v>-0.29088445500984283</v>
      </c>
      <c r="X271">
        <f t="shared" si="244"/>
        <v>-7.9317316468365826</v>
      </c>
      <c r="Y271">
        <f t="shared" si="228"/>
        <v>-103.19168280638839</v>
      </c>
      <c r="Z271">
        <f t="shared" si="245"/>
        <v>76.808317193611614</v>
      </c>
      <c r="AC271">
        <v>1</v>
      </c>
      <c r="AD271">
        <f t="shared" si="229"/>
        <v>36.652207465314</v>
      </c>
      <c r="AE271">
        <f t="shared" si="230"/>
        <v>-3.6754700740914353E-4</v>
      </c>
      <c r="AF271">
        <f t="shared" si="231"/>
        <v>1.2277092748788001E-3</v>
      </c>
      <c r="AG271">
        <f t="shared" si="246"/>
        <v>27174.726918366116</v>
      </c>
      <c r="AH271">
        <f t="shared" si="247"/>
        <v>-8949.9931138753527</v>
      </c>
      <c r="AJ271">
        <f t="shared" si="232"/>
        <v>55000</v>
      </c>
      <c r="AK271">
        <f t="shared" si="233"/>
        <v>10562.937697186877</v>
      </c>
      <c r="AL271">
        <v>1</v>
      </c>
      <c r="AM271">
        <f t="shared" si="234"/>
        <v>14.965392849301125</v>
      </c>
      <c r="AN271">
        <f t="shared" si="248"/>
        <v>947.17143821948252</v>
      </c>
      <c r="AO271">
        <f t="shared" si="249"/>
        <v>-3611.8549714052278</v>
      </c>
      <c r="AQ271">
        <f t="shared" si="235"/>
        <v>0.14016244466069913</v>
      </c>
      <c r="AR271">
        <f t="shared" si="236"/>
        <v>-21.051698375813707</v>
      </c>
      <c r="AT271">
        <f t="shared" si="209"/>
        <v>-184603.67934104853</v>
      </c>
      <c r="AU271">
        <f t="shared" si="210"/>
        <v>-573328.60744508612</v>
      </c>
      <c r="AV271">
        <f t="shared" si="250"/>
        <v>-1.88229958840774</v>
      </c>
      <c r="AW271">
        <f t="shared" si="251"/>
        <v>-49008.593531145103</v>
      </c>
      <c r="AX271">
        <f t="shared" si="252"/>
        <v>-52879.309049153773</v>
      </c>
      <c r="AY271">
        <f t="shared" si="260"/>
        <v>-2.3182228084462042</v>
      </c>
      <c r="BA271">
        <f t="shared" si="237"/>
        <v>8.3541716725670057</v>
      </c>
      <c r="BB271">
        <f t="shared" si="253"/>
        <v>18.438067909562406</v>
      </c>
      <c r="BC271">
        <f t="shared" si="254"/>
        <v>0.43592322003846418</v>
      </c>
      <c r="BD271">
        <f t="shared" si="238"/>
        <v>-155.02343927150341</v>
      </c>
      <c r="BF271">
        <f t="shared" si="239"/>
        <v>-7.1807651681491649</v>
      </c>
      <c r="BG271">
        <f t="shared" si="240"/>
        <v>-135.29148423807845</v>
      </c>
      <c r="BH271">
        <f t="shared" si="255"/>
        <v>44.708515761921547</v>
      </c>
      <c r="BI271">
        <f t="shared" si="256"/>
        <v>44.708515761921547</v>
      </c>
      <c r="BJ271">
        <f t="shared" si="241"/>
        <v>0</v>
      </c>
      <c r="BK271">
        <f t="shared" si="257"/>
        <v>0</v>
      </c>
      <c r="BM271">
        <f t="shared" si="258"/>
        <v>-25.618833077711574</v>
      </c>
      <c r="BN271">
        <f t="shared" si="242"/>
        <v>-160.26804496657508</v>
      </c>
      <c r="BQ271" s="75">
        <f t="shared" si="259"/>
        <v>35.340028709847545</v>
      </c>
      <c r="BR271" s="80"/>
      <c r="BS271" s="80"/>
      <c r="BT271" s="80">
        <v>40738.027999999998</v>
      </c>
      <c r="BU271" s="80">
        <v>-0.80365399999999998</v>
      </c>
      <c r="BV271" s="80">
        <v>-142.31399999999999</v>
      </c>
      <c r="BY271" s="80"/>
      <c r="BZ271" s="80"/>
      <c r="CA271" s="80"/>
      <c r="CC271" s="80"/>
    </row>
    <row r="272" spans="1:81">
      <c r="A272">
        <f t="shared" si="211"/>
        <v>290000</v>
      </c>
      <c r="B272">
        <f t="shared" si="243"/>
        <v>290</v>
      </c>
      <c r="C272">
        <f t="shared" si="212"/>
        <v>1.0558709141973901</v>
      </c>
      <c r="D272">
        <f t="shared" si="213"/>
        <v>0.32676562809137527</v>
      </c>
      <c r="F272">
        <f t="shared" si="214"/>
        <v>5.3307305840344576E-3</v>
      </c>
      <c r="G272">
        <f t="shared" si="215"/>
        <v>2.2474091948458345E-2</v>
      </c>
      <c r="H272">
        <f t="shared" si="216"/>
        <v>-3.1191185580515417</v>
      </c>
      <c r="J272">
        <f t="shared" si="217"/>
        <v>9</v>
      </c>
      <c r="M272">
        <f t="shared" si="218"/>
        <v>1.4554209961277436E-2</v>
      </c>
      <c r="N272">
        <f t="shared" si="219"/>
        <v>-1.5707963250000001</v>
      </c>
      <c r="O272">
        <f t="shared" si="220"/>
        <v>37.308632780831374</v>
      </c>
      <c r="P272">
        <f t="shared" si="221"/>
        <v>1.5439896683447492</v>
      </c>
      <c r="Q272">
        <f t="shared" si="222"/>
        <v>15.260742652851272</v>
      </c>
      <c r="R272">
        <f t="shared" si="223"/>
        <v>1.5052217310017217</v>
      </c>
      <c r="S272">
        <f t="shared" si="224"/>
        <v>0.98143505681414556</v>
      </c>
      <c r="T272">
        <f t="shared" si="225"/>
        <v>-0.19299052891912513</v>
      </c>
      <c r="U272">
        <f t="shared" si="226"/>
        <v>0.95659906864833411</v>
      </c>
      <c r="V272">
        <f t="shared" si="227"/>
        <v>-0.29569767123308832</v>
      </c>
      <c r="X272">
        <f t="shared" si="244"/>
        <v>-8.0878954172301931</v>
      </c>
      <c r="Y272">
        <f t="shared" si="228"/>
        <v>-103.28286515371865</v>
      </c>
      <c r="Z272">
        <f t="shared" si="245"/>
        <v>76.717134846281354</v>
      </c>
      <c r="AC272">
        <v>1</v>
      </c>
      <c r="AD272">
        <f t="shared" si="229"/>
        <v>37.295228648916009</v>
      </c>
      <c r="AE272">
        <f t="shared" si="230"/>
        <v>-3.8055651982898085E-4</v>
      </c>
      <c r="AF272">
        <f t="shared" si="231"/>
        <v>1.2492480340872002E-3</v>
      </c>
      <c r="AG272">
        <f t="shared" si="246"/>
        <v>27095.839465545363</v>
      </c>
      <c r="AH272">
        <f t="shared" si="247"/>
        <v>-9054.6457230311153</v>
      </c>
      <c r="AJ272">
        <f t="shared" si="232"/>
        <v>55000</v>
      </c>
      <c r="AK272">
        <f t="shared" si="233"/>
        <v>10748.252393628751</v>
      </c>
      <c r="AL272">
        <v>1</v>
      </c>
      <c r="AM272">
        <f t="shared" si="234"/>
        <v>15.227943601043251</v>
      </c>
      <c r="AN272">
        <f t="shared" si="248"/>
        <v>938.95629353064624</v>
      </c>
      <c r="AO272">
        <f t="shared" si="249"/>
        <v>-3550.1210881005422</v>
      </c>
      <c r="AQ272">
        <f t="shared" si="235"/>
        <v>0.13537112745941285</v>
      </c>
      <c r="AR272">
        <f t="shared" si="236"/>
        <v>-20.688769409622065</v>
      </c>
      <c r="AT272">
        <f t="shared" si="209"/>
        <v>-183661.48311170129</v>
      </c>
      <c r="AU272">
        <f t="shared" si="210"/>
        <v>-561805.31226307747</v>
      </c>
      <c r="AV272">
        <f t="shared" si="250"/>
        <v>-1.8867575319009364</v>
      </c>
      <c r="AW272">
        <f t="shared" si="251"/>
        <v>-46534.980823189755</v>
      </c>
      <c r="AX272">
        <f t="shared" si="252"/>
        <v>-52022.621559940344</v>
      </c>
      <c r="AY272">
        <f t="shared" si="260"/>
        <v>-2.3005723952577624</v>
      </c>
      <c r="BA272">
        <f t="shared" si="237"/>
        <v>8.4681253155514078</v>
      </c>
      <c r="BB272">
        <f t="shared" si="253"/>
        <v>18.555745526035288</v>
      </c>
      <c r="BC272">
        <f t="shared" si="254"/>
        <v>0.41381486335682593</v>
      </c>
      <c r="BD272">
        <f t="shared" si="238"/>
        <v>-156.29015480277857</v>
      </c>
      <c r="BF272">
        <f t="shared" si="239"/>
        <v>-7.3514530768967399</v>
      </c>
      <c r="BG272">
        <f t="shared" si="240"/>
        <v>-136.28019278330092</v>
      </c>
      <c r="BH272">
        <f t="shared" si="255"/>
        <v>43.719807216699081</v>
      </c>
      <c r="BI272">
        <f t="shared" si="256"/>
        <v>43.719807216699081</v>
      </c>
      <c r="BJ272">
        <f t="shared" si="241"/>
        <v>0</v>
      </c>
      <c r="BK272">
        <f t="shared" si="257"/>
        <v>0</v>
      </c>
      <c r="BM272">
        <f t="shared" si="258"/>
        <v>-25.907198602932027</v>
      </c>
      <c r="BN272">
        <f t="shared" si="242"/>
        <v>-159.99003798052237</v>
      </c>
      <c r="BQ272" s="75">
        <f t="shared" si="259"/>
        <v>35.457706326320427</v>
      </c>
      <c r="BR272" s="80"/>
      <c r="BS272" s="80"/>
      <c r="BT272" s="80">
        <v>41686.938000000002</v>
      </c>
      <c r="BU272" s="80">
        <v>-0.666377</v>
      </c>
      <c r="BV272" s="80">
        <v>-141.465</v>
      </c>
      <c r="BY272" s="80"/>
      <c r="BZ272" s="80"/>
      <c r="CA272" s="80"/>
      <c r="CC272" s="80"/>
    </row>
    <row r="273" spans="1:81">
      <c r="A273">
        <f t="shared" si="211"/>
        <v>295000</v>
      </c>
      <c r="B273">
        <f t="shared" si="243"/>
        <v>295</v>
      </c>
      <c r="C273">
        <f t="shared" si="212"/>
        <v>1.0577610026821114</v>
      </c>
      <c r="D273">
        <f t="shared" si="213"/>
        <v>0.33199761224135016</v>
      </c>
      <c r="F273">
        <f t="shared" si="214"/>
        <v>5.1506790031952271E-3</v>
      </c>
      <c r="G273">
        <f t="shared" si="215"/>
        <v>2.2089337028856487E-2</v>
      </c>
      <c r="H273">
        <f t="shared" si="216"/>
        <v>-3.1195033129711436</v>
      </c>
      <c r="J273">
        <f t="shared" si="217"/>
        <v>9</v>
      </c>
      <c r="M273">
        <f t="shared" si="218"/>
        <v>1.4307528436510024E-2</v>
      </c>
      <c r="N273">
        <f t="shared" si="219"/>
        <v>-1.5707963250000001</v>
      </c>
      <c r="O273">
        <f t="shared" si="220"/>
        <v>37.951426855318005</v>
      </c>
      <c r="P273">
        <f t="shared" si="221"/>
        <v>1.5444438063548496</v>
      </c>
      <c r="Q273">
        <f t="shared" si="222"/>
        <v>15.522738653139646</v>
      </c>
      <c r="R273">
        <f t="shared" si="223"/>
        <v>1.5063300616445816</v>
      </c>
      <c r="S273">
        <f t="shared" si="224"/>
        <v>0.98080783893060319</v>
      </c>
      <c r="T273">
        <f t="shared" si="225"/>
        <v>-0.19623387602378242</v>
      </c>
      <c r="U273">
        <f t="shared" si="226"/>
        <v>0.95518955261179173</v>
      </c>
      <c r="V273">
        <f t="shared" si="227"/>
        <v>-0.30049681414812912</v>
      </c>
      <c r="X273">
        <f t="shared" si="244"/>
        <v>-8.2414178038394841</v>
      </c>
      <c r="Y273">
        <f t="shared" si="228"/>
        <v>-103.37641725206137</v>
      </c>
      <c r="Z273">
        <f t="shared" si="245"/>
        <v>76.623582747938627</v>
      </c>
      <c r="AC273">
        <v>1</v>
      </c>
      <c r="AD273">
        <f t="shared" si="229"/>
        <v>37.938249832518004</v>
      </c>
      <c r="AE273">
        <f t="shared" si="230"/>
        <v>-3.9379228463872835E-4</v>
      </c>
      <c r="AF273">
        <f t="shared" si="231"/>
        <v>1.2707867932956001E-3</v>
      </c>
      <c r="AG273">
        <f t="shared" si="246"/>
        <v>27016.048706422294</v>
      </c>
      <c r="AH273">
        <f t="shared" si="247"/>
        <v>-9158.6657993430181</v>
      </c>
      <c r="AJ273">
        <f t="shared" si="232"/>
        <v>55000</v>
      </c>
      <c r="AK273">
        <f t="shared" si="233"/>
        <v>10933.567090070626</v>
      </c>
      <c r="AL273">
        <v>1</v>
      </c>
      <c r="AM273">
        <f t="shared" si="234"/>
        <v>15.490494352785378</v>
      </c>
      <c r="AN273">
        <f t="shared" si="248"/>
        <v>931.15300600769683</v>
      </c>
      <c r="AO273">
        <f t="shared" si="249"/>
        <v>-3490.4532910707312</v>
      </c>
      <c r="AQ273">
        <f t="shared" si="235"/>
        <v>0.13082135250104179</v>
      </c>
      <c r="AR273">
        <f t="shared" si="236"/>
        <v>-20.338141566574464</v>
      </c>
      <c r="AT273">
        <f t="shared" si="209"/>
        <v>-182735.96555697397</v>
      </c>
      <c r="AU273">
        <f t="shared" si="210"/>
        <v>-550654.37220766267</v>
      </c>
      <c r="AV273">
        <f t="shared" si="250"/>
        <v>-1.8912134341372004</v>
      </c>
      <c r="AW273">
        <f t="shared" si="251"/>
        <v>-44189.792343276546</v>
      </c>
      <c r="AX273">
        <f t="shared" si="252"/>
        <v>-51206.76378382204</v>
      </c>
      <c r="AY273">
        <f t="shared" si="260"/>
        <v>-2.2827709030225942</v>
      </c>
      <c r="BA273">
        <f t="shared" si="237"/>
        <v>8.577798336678109</v>
      </c>
      <c r="BB273">
        <f t="shared" si="253"/>
        <v>18.667516635922116</v>
      </c>
      <c r="BC273">
        <f t="shared" si="254"/>
        <v>0.39155746888539378</v>
      </c>
      <c r="BD273">
        <f t="shared" si="238"/>
        <v>-157.56540957040664</v>
      </c>
      <c r="BF273">
        <f t="shared" si="239"/>
        <v>-7.522592446451716</v>
      </c>
      <c r="BG273">
        <f t="shared" si="240"/>
        <v>-137.27772177337883</v>
      </c>
      <c r="BH273">
        <f t="shared" si="255"/>
        <v>42.722278226621171</v>
      </c>
      <c r="BI273">
        <f t="shared" si="256"/>
        <v>42.722278226621171</v>
      </c>
      <c r="BJ273">
        <f t="shared" si="241"/>
        <v>0</v>
      </c>
      <c r="BK273">
        <f t="shared" si="257"/>
        <v>0</v>
      </c>
      <c r="BM273">
        <f t="shared" si="258"/>
        <v>-26.19010908237383</v>
      </c>
      <c r="BN273">
        <f t="shared" si="242"/>
        <v>-159.71231220297221</v>
      </c>
      <c r="BQ273" s="75">
        <f t="shared" si="259"/>
        <v>35.569477436207251</v>
      </c>
      <c r="BR273" s="80"/>
      <c r="BS273" s="80"/>
      <c r="BT273" s="80">
        <v>42657.951999999997</v>
      </c>
      <c r="BU273" s="80">
        <v>-0.55182299999999995</v>
      </c>
      <c r="BV273" s="80">
        <v>-140.39099999999999</v>
      </c>
      <c r="BY273" s="80"/>
      <c r="BZ273" s="80"/>
      <c r="CA273" s="80"/>
      <c r="CC273" s="80"/>
    </row>
    <row r="274" spans="1:81">
      <c r="A274">
        <f t="shared" si="211"/>
        <v>300000</v>
      </c>
      <c r="B274">
        <f t="shared" si="243"/>
        <v>300</v>
      </c>
      <c r="C274">
        <f t="shared" si="212"/>
        <v>1.0596799422036423</v>
      </c>
      <c r="D274">
        <f t="shared" si="213"/>
        <v>0.33721078981187996</v>
      </c>
      <c r="F274">
        <f t="shared" si="214"/>
        <v>4.9796117721316122E-3</v>
      </c>
      <c r="G274">
        <f t="shared" si="215"/>
        <v>2.1717595578312269E-2</v>
      </c>
      <c r="H274">
        <f t="shared" si="216"/>
        <v>-3.119875054421688</v>
      </c>
      <c r="J274">
        <f t="shared" si="217"/>
        <v>9</v>
      </c>
      <c r="M274">
        <f t="shared" si="218"/>
        <v>1.4069069629234857E-2</v>
      </c>
      <c r="N274">
        <f t="shared" si="219"/>
        <v>-1.5707963250000001</v>
      </c>
      <c r="O274">
        <f t="shared" si="220"/>
        <v>38.594228496231167</v>
      </c>
      <c r="P274">
        <f t="shared" si="221"/>
        <v>1.5448828167683928</v>
      </c>
      <c r="Q274">
        <f t="shared" si="222"/>
        <v>15.784753088511644</v>
      </c>
      <c r="R274">
        <f t="shared" si="223"/>
        <v>1.507401598740792</v>
      </c>
      <c r="S274">
        <f t="shared" si="224"/>
        <v>0.98017113131846101</v>
      </c>
      <c r="T274">
        <f t="shared" si="225"/>
        <v>-0.19947304622094605</v>
      </c>
      <c r="U274">
        <f t="shared" si="226"/>
        <v>0.95376231453130467</v>
      </c>
      <c r="V274">
        <f t="shared" si="227"/>
        <v>-0.30528172529886738</v>
      </c>
      <c r="X274">
        <f t="shared" si="244"/>
        <v>-8.3923938063695331</v>
      </c>
      <c r="Y274">
        <f t="shared" si="228"/>
        <v>-103.47222139435505</v>
      </c>
      <c r="Z274">
        <f t="shared" si="245"/>
        <v>76.527778605644954</v>
      </c>
      <c r="AC274">
        <v>1</v>
      </c>
      <c r="AD274">
        <f t="shared" si="229"/>
        <v>38.581271016120006</v>
      </c>
      <c r="AE274">
        <f t="shared" si="230"/>
        <v>-4.0725430183838617E-4</v>
      </c>
      <c r="AF274">
        <f t="shared" si="231"/>
        <v>1.292325552504E-3</v>
      </c>
      <c r="AG274">
        <f t="shared" si="246"/>
        <v>26935.374610718674</v>
      </c>
      <c r="AH274">
        <f t="shared" si="247"/>
        <v>-9262.0216002473408</v>
      </c>
      <c r="AJ274">
        <f t="shared" si="232"/>
        <v>55000</v>
      </c>
      <c r="AK274">
        <f t="shared" si="233"/>
        <v>11118.8817865125</v>
      </c>
      <c r="AL274">
        <v>1</v>
      </c>
      <c r="AM274">
        <f t="shared" si="234"/>
        <v>15.753045104527502</v>
      </c>
      <c r="AN274">
        <f t="shared" si="248"/>
        <v>923.73453402536404</v>
      </c>
      <c r="AO274">
        <f t="shared" si="249"/>
        <v>-3432.7499925987549</v>
      </c>
      <c r="AQ274">
        <f t="shared" si="235"/>
        <v>0.1264971530139487</v>
      </c>
      <c r="AR274">
        <f t="shared" si="236"/>
        <v>-19.999199891505292</v>
      </c>
      <c r="AT274">
        <f t="shared" si="209"/>
        <v>-181825.77317916616</v>
      </c>
      <c r="AU274">
        <f t="shared" si="210"/>
        <v>-539857.5603559243</v>
      </c>
      <c r="AV274">
        <f t="shared" si="250"/>
        <v>-1.895666535778427</v>
      </c>
      <c r="AW274">
        <f t="shared" si="251"/>
        <v>-41964.638998195878</v>
      </c>
      <c r="AX274">
        <f t="shared" si="252"/>
        <v>-50429.048578885922</v>
      </c>
      <c r="AY274">
        <f t="shared" si="260"/>
        <v>-2.2648370803519859</v>
      </c>
      <c r="BA274">
        <f t="shared" si="237"/>
        <v>8.6829983853437191</v>
      </c>
      <c r="BB274">
        <f t="shared" si="253"/>
        <v>18.773394405259808</v>
      </c>
      <c r="BC274">
        <f t="shared" si="254"/>
        <v>0.36917054457355891</v>
      </c>
      <c r="BD274">
        <f t="shared" si="238"/>
        <v>-158.84808585121925</v>
      </c>
      <c r="BF274">
        <f t="shared" si="239"/>
        <v>-7.6943514262395309</v>
      </c>
      <c r="BG274">
        <f t="shared" si="240"/>
        <v>-138.28300419741714</v>
      </c>
      <c r="BH274">
        <f t="shared" si="255"/>
        <v>41.716995802582858</v>
      </c>
      <c r="BI274">
        <f t="shared" si="256"/>
        <v>41.716995802582858</v>
      </c>
      <c r="BJ274">
        <f t="shared" si="241"/>
        <v>0</v>
      </c>
      <c r="BK274">
        <f t="shared" si="257"/>
        <v>0</v>
      </c>
      <c r="BM274">
        <f t="shared" si="258"/>
        <v>-26.467745831499339</v>
      </c>
      <c r="BN274">
        <f t="shared" si="242"/>
        <v>-159.43491834619786</v>
      </c>
      <c r="BQ274" s="75">
        <f t="shared" si="259"/>
        <v>35.675355205544946</v>
      </c>
      <c r="BR274" s="80"/>
      <c r="BS274" s="80"/>
      <c r="BT274" s="80">
        <v>43651.582999999999</v>
      </c>
      <c r="BU274" s="80">
        <v>-0.43071199999999998</v>
      </c>
      <c r="BV274" s="80">
        <v>-139.065</v>
      </c>
      <c r="BY274" s="80"/>
      <c r="BZ274" s="80"/>
      <c r="CA274" s="80"/>
      <c r="CC274" s="80"/>
    </row>
    <row r="275" spans="1:81">
      <c r="A275">
        <f t="shared" si="211"/>
        <v>305000</v>
      </c>
      <c r="B275">
        <f t="shared" si="243"/>
        <v>305</v>
      </c>
      <c r="C275">
        <f t="shared" si="212"/>
        <v>1.0616275763133605</v>
      </c>
      <c r="D275">
        <f t="shared" si="213"/>
        <v>0.34240498019990867</v>
      </c>
      <c r="F275">
        <f t="shared" si="214"/>
        <v>4.8169400645021237E-3</v>
      </c>
      <c r="G275">
        <f t="shared" si="215"/>
        <v>2.1358215452658518E-2</v>
      </c>
      <c r="H275">
        <f t="shared" si="216"/>
        <v>-3.1202344345473416</v>
      </c>
      <c r="J275">
        <f t="shared" si="217"/>
        <v>9</v>
      </c>
      <c r="M275">
        <f t="shared" si="218"/>
        <v>1.3838429143509693E-2</v>
      </c>
      <c r="N275">
        <f t="shared" si="219"/>
        <v>-1.5707963250000001</v>
      </c>
      <c r="O275">
        <f t="shared" si="220"/>
        <v>39.237037331699405</v>
      </c>
      <c r="P275">
        <f t="shared" si="221"/>
        <v>1.5453074429047382</v>
      </c>
      <c r="Q275">
        <f t="shared" si="222"/>
        <v>16.046785055934439</v>
      </c>
      <c r="R275">
        <f t="shared" si="223"/>
        <v>1.5084381422003781</v>
      </c>
      <c r="S275">
        <f t="shared" si="224"/>
        <v>0.97952499248961</v>
      </c>
      <c r="T275">
        <f t="shared" si="225"/>
        <v>-0.20270797973453231</v>
      </c>
      <c r="U275">
        <f t="shared" si="226"/>
        <v>0.95231762934090847</v>
      </c>
      <c r="V275">
        <f t="shared" si="227"/>
        <v>-0.31005224977415563</v>
      </c>
      <c r="X275">
        <f t="shared" si="244"/>
        <v>-8.5409134798891078</v>
      </c>
      <c r="Y275">
        <f t="shared" si="228"/>
        <v>-103.57016727651843</v>
      </c>
      <c r="Z275">
        <f t="shared" si="245"/>
        <v>76.429832723481567</v>
      </c>
      <c r="AC275">
        <v>1</v>
      </c>
      <c r="AD275">
        <f t="shared" si="229"/>
        <v>39.224292199722008</v>
      </c>
      <c r="AE275">
        <f t="shared" si="230"/>
        <v>-4.2094257142795416E-4</v>
      </c>
      <c r="AF275">
        <f t="shared" si="231"/>
        <v>1.3138643117124001E-3</v>
      </c>
      <c r="AG275">
        <f t="shared" si="246"/>
        <v>26853.837177535392</v>
      </c>
      <c r="AH275">
        <f t="shared" si="247"/>
        <v>-9364.683372960526</v>
      </c>
      <c r="AJ275">
        <f t="shared" si="232"/>
        <v>55000</v>
      </c>
      <c r="AK275">
        <f t="shared" si="233"/>
        <v>11304.196482954376</v>
      </c>
      <c r="AL275">
        <v>1</v>
      </c>
      <c r="AM275">
        <f t="shared" si="234"/>
        <v>16.015595856269627</v>
      </c>
      <c r="AN275">
        <f t="shared" si="248"/>
        <v>916.67601661576668</v>
      </c>
      <c r="AO275">
        <f t="shared" si="249"/>
        <v>-3376.9161302988441</v>
      </c>
      <c r="AQ275">
        <f t="shared" si="235"/>
        <v>0.12238386005601445</v>
      </c>
      <c r="AR275">
        <f t="shared" si="236"/>
        <v>-19.671369746103483</v>
      </c>
      <c r="AT275">
        <f t="shared" si="209"/>
        <v>-180929.67293359153</v>
      </c>
      <c r="AU275">
        <f t="shared" si="210"/>
        <v>-529397.8463203439</v>
      </c>
      <c r="AV275">
        <f t="shared" si="250"/>
        <v>-1.9001161203759933</v>
      </c>
      <c r="AW275">
        <f t="shared" si="251"/>
        <v>-39851.80605513211</v>
      </c>
      <c r="AX275">
        <f t="shared" si="252"/>
        <v>-49687.011483848844</v>
      </c>
      <c r="AY275">
        <f t="shared" si="260"/>
        <v>-2.2467901652871691</v>
      </c>
      <c r="BA275">
        <f t="shared" si="237"/>
        <v>8.7835456280994588</v>
      </c>
      <c r="BB275">
        <f t="shared" si="253"/>
        <v>18.873397233575229</v>
      </c>
      <c r="BC275">
        <f t="shared" si="254"/>
        <v>0.34667404491117582</v>
      </c>
      <c r="BD275">
        <f t="shared" si="238"/>
        <v>-160.13704033716414</v>
      </c>
      <c r="BF275">
        <f t="shared" si="239"/>
        <v>-7.8668839057239959</v>
      </c>
      <c r="BG275">
        <f t="shared" si="240"/>
        <v>-139.29494446026484</v>
      </c>
      <c r="BH275">
        <f t="shared" si="255"/>
        <v>40.705055539735156</v>
      </c>
      <c r="BI275">
        <f t="shared" si="256"/>
        <v>40.705055539735156</v>
      </c>
      <c r="BJ275">
        <f t="shared" si="241"/>
        <v>0</v>
      </c>
      <c r="BK275">
        <f t="shared" si="257"/>
        <v>0</v>
      </c>
      <c r="BM275">
        <f t="shared" si="258"/>
        <v>-26.740281139299221</v>
      </c>
      <c r="BN275">
        <f t="shared" si="242"/>
        <v>-159.15790412310071</v>
      </c>
      <c r="BQ275" s="75">
        <f t="shared" si="259"/>
        <v>35.775358033860364</v>
      </c>
      <c r="BR275" s="80"/>
      <c r="BS275" s="80"/>
      <c r="BT275" s="80">
        <v>44668.358999999997</v>
      </c>
      <c r="BU275" s="80">
        <v>-0.21105299999999999</v>
      </c>
      <c r="BV275" s="80">
        <v>-136.58699999999999</v>
      </c>
      <c r="BY275" s="80"/>
      <c r="BZ275" s="80"/>
      <c r="CA275" s="80"/>
      <c r="CC275" s="80"/>
    </row>
    <row r="276" spans="1:81">
      <c r="A276">
        <f t="shared" si="211"/>
        <v>310000</v>
      </c>
      <c r="B276">
        <f t="shared" si="243"/>
        <v>310</v>
      </c>
      <c r="C276">
        <f t="shared" si="212"/>
        <v>1.063603747377688</v>
      </c>
      <c r="D276">
        <f t="shared" si="213"/>
        <v>0.34758000821336965</v>
      </c>
      <c r="F276">
        <f t="shared" si="214"/>
        <v>4.6621225821224278E-3</v>
      </c>
      <c r="G276">
        <f t="shared" si="215"/>
        <v>2.1010587545301242E-2</v>
      </c>
      <c r="H276">
        <f t="shared" si="216"/>
        <v>-3.1205820624546989</v>
      </c>
      <c r="J276">
        <f t="shared" si="217"/>
        <v>9</v>
      </c>
      <c r="M276">
        <f t="shared" si="218"/>
        <v>1.3615228673453087E-2</v>
      </c>
      <c r="N276">
        <f t="shared" si="219"/>
        <v>-1.5707963250000001</v>
      </c>
      <c r="O276">
        <f t="shared" si="220"/>
        <v>39.879853013823478</v>
      </c>
      <c r="P276">
        <f t="shared" si="221"/>
        <v>1.5457183801791226</v>
      </c>
      <c r="Q276">
        <f t="shared" si="222"/>
        <v>16.308833710352328</v>
      </c>
      <c r="R276">
        <f t="shared" si="223"/>
        <v>1.5094413765628338</v>
      </c>
      <c r="S276">
        <f t="shared" si="224"/>
        <v>0.97886948161216081</v>
      </c>
      <c r="T276">
        <f t="shared" si="225"/>
        <v>-0.20593861729939869</v>
      </c>
      <c r="U276">
        <f t="shared" si="226"/>
        <v>0.95085577301178703</v>
      </c>
      <c r="V276">
        <f t="shared" si="227"/>
        <v>-0.31480823621208215</v>
      </c>
      <c r="X276">
        <f t="shared" si="244"/>
        <v>-8.6870622755978939</v>
      </c>
      <c r="Y276">
        <f t="shared" si="228"/>
        <v>-103.67015140615179</v>
      </c>
      <c r="Z276">
        <f t="shared" si="245"/>
        <v>76.329848593848212</v>
      </c>
      <c r="AC276">
        <v>1</v>
      </c>
      <c r="AD276">
        <f t="shared" si="229"/>
        <v>39.867313383324003</v>
      </c>
      <c r="AE276">
        <f t="shared" si="230"/>
        <v>-4.3485709340743237E-4</v>
      </c>
      <c r="AF276">
        <f t="shared" si="231"/>
        <v>1.3354030709208E-3</v>
      </c>
      <c r="AG276">
        <f t="shared" si="246"/>
        <v>26771.456424940519</v>
      </c>
      <c r="AH276">
        <f t="shared" si="247"/>
        <v>-9466.6232259871158</v>
      </c>
      <c r="AJ276">
        <f t="shared" si="232"/>
        <v>55000</v>
      </c>
      <c r="AK276">
        <f t="shared" si="233"/>
        <v>11489.511179396251</v>
      </c>
      <c r="AL276">
        <v>1</v>
      </c>
      <c r="AM276">
        <f t="shared" si="234"/>
        <v>16.278146608011753</v>
      </c>
      <c r="AN276">
        <f t="shared" si="248"/>
        <v>909.95456606388598</v>
      </c>
      <c r="AO276">
        <f t="shared" si="249"/>
        <v>-3322.8626536213997</v>
      </c>
      <c r="AQ276">
        <f t="shared" si="235"/>
        <v>0.11846797795382116</v>
      </c>
      <c r="AR276">
        <f t="shared" si="236"/>
        <v>-19.354113558315763</v>
      </c>
      <c r="AT276">
        <f t="shared" si="209"/>
        <v>-180046.54062000263</v>
      </c>
      <c r="AU276">
        <f t="shared" si="210"/>
        <v>-519259.29948143434</v>
      </c>
      <c r="AV276">
        <f t="shared" si="250"/>
        <v>-1.90456151120753</v>
      </c>
      <c r="AW276">
        <f t="shared" si="251"/>
        <v>-37844.189078120929</v>
      </c>
      <c r="AX276">
        <f t="shared" si="252"/>
        <v>-48978.388433047978</v>
      </c>
      <c r="AY276">
        <f t="shared" si="260"/>
        <v>-2.2286498082078374</v>
      </c>
      <c r="BA276">
        <f t="shared" si="237"/>
        <v>8.8792743753310059</v>
      </c>
      <c r="BB276">
        <f t="shared" si="253"/>
        <v>18.967549523531666</v>
      </c>
      <c r="BC276">
        <f t="shared" si="254"/>
        <v>0.32408829700030739</v>
      </c>
      <c r="BD276">
        <f t="shared" si="238"/>
        <v>-161.43110837108199</v>
      </c>
      <c r="BF276">
        <f t="shared" si="239"/>
        <v>-8.0403293450555982</v>
      </c>
      <c r="BG276">
        <f t="shared" si="240"/>
        <v>-140.31242284176591</v>
      </c>
      <c r="BH276">
        <f t="shared" si="255"/>
        <v>39.687577158234092</v>
      </c>
      <c r="BI276">
        <f t="shared" si="256"/>
        <v>39.687577158234092</v>
      </c>
      <c r="BJ276">
        <f t="shared" si="241"/>
        <v>0</v>
      </c>
      <c r="BK276">
        <f t="shared" si="257"/>
        <v>0</v>
      </c>
      <c r="BM276">
        <f t="shared" si="258"/>
        <v>-27.007878868587266</v>
      </c>
      <c r="BN276">
        <f t="shared" si="242"/>
        <v>-158.88131447068392</v>
      </c>
      <c r="BQ276" s="75">
        <f t="shared" si="259"/>
        <v>35.869510323816797</v>
      </c>
      <c r="BR276" s="80"/>
      <c r="BS276" s="80"/>
      <c r="BT276" s="80">
        <v>45708.819000000003</v>
      </c>
      <c r="BU276" s="80">
        <v>0.52166999999999997</v>
      </c>
      <c r="BV276" s="80">
        <v>-135.751</v>
      </c>
      <c r="BY276" s="80"/>
      <c r="BZ276" s="80"/>
      <c r="CA276" s="80"/>
      <c r="CC276" s="80"/>
    </row>
    <row r="277" spans="1:81">
      <c r="A277">
        <f t="shared" si="211"/>
        <v>315000</v>
      </c>
      <c r="B277">
        <f t="shared" si="243"/>
        <v>315</v>
      </c>
      <c r="C277">
        <f t="shared" si="212"/>
        <v>1.0656082966312519</v>
      </c>
      <c r="D277">
        <f t="shared" si="213"/>
        <v>0.35273570405562343</v>
      </c>
      <c r="F277">
        <f t="shared" si="214"/>
        <v>4.5146610183961879E-3</v>
      </c>
      <c r="G277">
        <f t="shared" si="215"/>
        <v>2.0674142281023686E-2</v>
      </c>
      <c r="H277">
        <f t="shared" si="216"/>
        <v>-3.1209185077189767</v>
      </c>
      <c r="J277">
        <f t="shared" si="217"/>
        <v>9</v>
      </c>
      <c r="M277">
        <f t="shared" si="218"/>
        <v>1.3399113932604624E-2</v>
      </c>
      <c r="N277">
        <f t="shared" si="219"/>
        <v>-1.5707963250000001</v>
      </c>
      <c r="O277">
        <f t="shared" si="220"/>
        <v>40.522675216775617</v>
      </c>
      <c r="P277">
        <f t="shared" si="221"/>
        <v>1.5461162798997461</v>
      </c>
      <c r="Q277">
        <f t="shared" si="222"/>
        <v>16.570898260111576</v>
      </c>
      <c r="R277">
        <f t="shared" si="223"/>
        <v>1.5104128800839001</v>
      </c>
      <c r="S277">
        <f t="shared" si="224"/>
        <v>0.97820465849627358</v>
      </c>
      <c r="T277">
        <f t="shared" si="225"/>
        <v>-0.20916490016638639</v>
      </c>
      <c r="U277">
        <f t="shared" si="226"/>
        <v>0.94937702242835009</v>
      </c>
      <c r="V277">
        <f t="shared" si="227"/>
        <v>-0.31954953680242448</v>
      </c>
      <c r="X277">
        <f t="shared" si="244"/>
        <v>-8.8309213524516057</v>
      </c>
      <c r="Y277">
        <f t="shared" si="228"/>
        <v>-103.77207656655713</v>
      </c>
      <c r="Z277">
        <f t="shared" si="245"/>
        <v>76.227923433442868</v>
      </c>
      <c r="AC277">
        <v>1</v>
      </c>
      <c r="AD277">
        <f t="shared" si="229"/>
        <v>40.510334566926005</v>
      </c>
      <c r="AE277">
        <f t="shared" si="230"/>
        <v>-4.4899786777682075E-4</v>
      </c>
      <c r="AF277">
        <f t="shared" si="231"/>
        <v>1.3569418301292002E-3</v>
      </c>
      <c r="AG277">
        <f t="shared" si="246"/>
        <v>26688.252379729634</v>
      </c>
      <c r="AH277">
        <f t="shared" si="247"/>
        <v>-9567.8150123444175</v>
      </c>
      <c r="AJ277">
        <f t="shared" si="232"/>
        <v>55000</v>
      </c>
      <c r="AK277">
        <f t="shared" si="233"/>
        <v>11674.825875838125</v>
      </c>
      <c r="AL277">
        <v>1</v>
      </c>
      <c r="AM277">
        <f t="shared" si="234"/>
        <v>16.540697359753874</v>
      </c>
      <c r="AN277">
        <f t="shared" si="248"/>
        <v>903.54908312975431</v>
      </c>
      <c r="AO277">
        <f t="shared" si="249"/>
        <v>-3270.5060578942362</v>
      </c>
      <c r="AQ277">
        <f t="shared" si="235"/>
        <v>0.114737073469159</v>
      </c>
      <c r="AR277">
        <f t="shared" si="236"/>
        <v>-19.046927881247743</v>
      </c>
      <c r="AT277">
        <f t="shared" si="209"/>
        <v>-179175.35054718709</v>
      </c>
      <c r="AU277">
        <f t="shared" si="210"/>
        <v>-509427.00144725945</v>
      </c>
      <c r="AV277">
        <f t="shared" si="250"/>
        <v>-1.9090020684129381</v>
      </c>
      <c r="AW277">
        <f t="shared" si="251"/>
        <v>-35935.23684594006</v>
      </c>
      <c r="AX277">
        <f t="shared" si="252"/>
        <v>-48301.096061003969</v>
      </c>
      <c r="AY277">
        <f t="shared" si="260"/>
        <v>-2.2104359869449048</v>
      </c>
      <c r="BA277">
        <f t="shared" si="237"/>
        <v>8.970034586438036</v>
      </c>
      <c r="BB277">
        <f t="shared" si="253"/>
        <v>19.055882351785364</v>
      </c>
      <c r="BC277">
        <f t="shared" si="254"/>
        <v>0.30143391853196677</v>
      </c>
      <c r="BD277">
        <f t="shared" si="238"/>
        <v>-162.72910864629313</v>
      </c>
      <c r="BF277">
        <f t="shared" si="239"/>
        <v>-8.2148126551358818</v>
      </c>
      <c r="BG277">
        <f t="shared" si="240"/>
        <v>-141.33430039812751</v>
      </c>
      <c r="BH277">
        <f t="shared" si="255"/>
        <v>38.66569960187249</v>
      </c>
      <c r="BI277">
        <f t="shared" si="256"/>
        <v>38.66569960187249</v>
      </c>
      <c r="BJ277">
        <f t="shared" si="241"/>
        <v>0</v>
      </c>
      <c r="BK277">
        <f t="shared" si="257"/>
        <v>0</v>
      </c>
      <c r="BM277">
        <f t="shared" si="258"/>
        <v>-27.270695006921244</v>
      </c>
      <c r="BN277">
        <f t="shared" si="242"/>
        <v>-158.60519175183438</v>
      </c>
      <c r="BQ277" s="75">
        <f t="shared" si="259"/>
        <v>35.957843152070495</v>
      </c>
      <c r="BR277" s="80"/>
      <c r="BS277" s="80"/>
      <c r="BT277" s="80">
        <v>46773.514000000003</v>
      </c>
      <c r="BU277" s="80">
        <v>0.78233600000000003</v>
      </c>
      <c r="BV277" s="80">
        <v>-137.57599999999999</v>
      </c>
      <c r="BY277" s="80"/>
      <c r="BZ277" s="80"/>
      <c r="CA277" s="80"/>
      <c r="CC277" s="80"/>
    </row>
    <row r="278" spans="1:81">
      <c r="A278">
        <f t="shared" si="211"/>
        <v>320000</v>
      </c>
      <c r="B278">
        <f t="shared" si="243"/>
        <v>320</v>
      </c>
      <c r="C278">
        <f t="shared" si="212"/>
        <v>1.0676410642296741</v>
      </c>
      <c r="D278">
        <f t="shared" si="213"/>
        <v>0.35787190330694141</v>
      </c>
      <c r="F278">
        <f t="shared" si="214"/>
        <v>4.3740960196646779E-3</v>
      </c>
      <c r="G278">
        <f t="shared" si="215"/>
        <v>2.0348346448273977E-2</v>
      </c>
      <c r="H278">
        <f t="shared" si="216"/>
        <v>-3.1212443035517263</v>
      </c>
      <c r="J278">
        <f t="shared" si="217"/>
        <v>9</v>
      </c>
      <c r="M278">
        <f t="shared" si="218"/>
        <v>1.3189752777407679E-2</v>
      </c>
      <c r="N278">
        <f t="shared" si="219"/>
        <v>-1.5707963250000001</v>
      </c>
      <c r="O278">
        <f t="shared" si="220"/>
        <v>41.165503635076746</v>
      </c>
      <c r="P278">
        <f t="shared" si="221"/>
        <v>1.5465017527093983</v>
      </c>
      <c r="Q278">
        <f t="shared" si="222"/>
        <v>16.832977962811391</v>
      </c>
      <c r="R278">
        <f t="shared" si="223"/>
        <v>1.5113541329778504</v>
      </c>
      <c r="S278">
        <f t="shared" si="224"/>
        <v>0.97753058357991607</v>
      </c>
      <c r="T278">
        <f t="shared" si="225"/>
        <v>-0.21238677010721774</v>
      </c>
      <c r="U278">
        <f t="shared" si="226"/>
        <v>0.9478816552658077</v>
      </c>
      <c r="V278">
        <f t="shared" si="227"/>
        <v>-0.3242760072873026</v>
      </c>
      <c r="X278">
        <f t="shared" si="244"/>
        <v>-8.9725678626010925</v>
      </c>
      <c r="Y278">
        <f t="shared" si="228"/>
        <v>-103.87585133017491</v>
      </c>
      <c r="Z278">
        <f t="shared" si="245"/>
        <v>76.12414866982509</v>
      </c>
      <c r="AC278">
        <v>1</v>
      </c>
      <c r="AD278">
        <f t="shared" si="229"/>
        <v>41.153355750528</v>
      </c>
      <c r="AE278">
        <f t="shared" si="230"/>
        <v>-4.6336489453611935E-4</v>
      </c>
      <c r="AF278">
        <f t="shared" si="231"/>
        <v>1.3784805893376001E-3</v>
      </c>
      <c r="AG278">
        <f t="shared" si="246"/>
        <v>26604.245067365344</v>
      </c>
      <c r="AH278">
        <f t="shared" si="247"/>
        <v>-9668.2342232015417</v>
      </c>
      <c r="AJ278">
        <f t="shared" si="232"/>
        <v>55000</v>
      </c>
      <c r="AK278">
        <f t="shared" si="233"/>
        <v>11860.140572280001</v>
      </c>
      <c r="AL278">
        <v>1</v>
      </c>
      <c r="AM278">
        <f t="shared" si="234"/>
        <v>16.803248111496004</v>
      </c>
      <c r="AN278">
        <f t="shared" si="248"/>
        <v>897.44009212296476</v>
      </c>
      <c r="AO278">
        <f t="shared" si="249"/>
        <v>-3219.7679608660051</v>
      </c>
      <c r="AQ278">
        <f t="shared" si="235"/>
        <v>0.11117967699076038</v>
      </c>
      <c r="AR278">
        <f t="shared" si="236"/>
        <v>-18.749340727721833</v>
      </c>
      <c r="AT278">
        <f t="shared" ref="AT278:AT341" si="261">-AR278*AH278+AG278*AQ278</f>
        <v>-178315.16631305401</v>
      </c>
      <c r="AU278">
        <f t="shared" ref="AU278:AU341" si="262">AQ278*AH278+AG278*AR278</f>
        <v>-499886.96672985231</v>
      </c>
      <c r="AV278">
        <f t="shared" si="250"/>
        <v>-1.91343718639683</v>
      </c>
      <c r="AW278">
        <f t="shared" si="251"/>
        <v>-34118.900396528246</v>
      </c>
      <c r="AX278">
        <f t="shared" si="252"/>
        <v>-47653.214256862178</v>
      </c>
      <c r="AY278">
        <f t="shared" si="260"/>
        <v>-2.1921689153435606</v>
      </c>
      <c r="BA278">
        <f t="shared" si="237"/>
        <v>9.0556932255288451</v>
      </c>
      <c r="BB278">
        <f t="shared" si="253"/>
        <v>19.138434035018484</v>
      </c>
      <c r="BC278">
        <f t="shared" si="254"/>
        <v>0.27873172894673059</v>
      </c>
      <c r="BD278">
        <f t="shared" si="238"/>
        <v>-164.02984829671934</v>
      </c>
      <c r="BF278">
        <f t="shared" si="239"/>
        <v>-8.3904441379377044</v>
      </c>
      <c r="BG278">
        <f t="shared" si="240"/>
        <v>-142.35942423459952</v>
      </c>
      <c r="BH278">
        <f t="shared" si="255"/>
        <v>37.640575765400484</v>
      </c>
      <c r="BI278">
        <f t="shared" si="256"/>
        <v>37.640575765400484</v>
      </c>
      <c r="BJ278">
        <f t="shared" si="241"/>
        <v>0</v>
      </c>
      <c r="BK278">
        <f t="shared" si="257"/>
        <v>0</v>
      </c>
      <c r="BM278">
        <f t="shared" si="258"/>
        <v>-27.528878172956187</v>
      </c>
      <c r="BN278">
        <f t="shared" si="242"/>
        <v>-158.32957593788018</v>
      </c>
      <c r="BQ278" s="75">
        <f t="shared" si="259"/>
        <v>36.040394835303623</v>
      </c>
      <c r="BR278" s="80"/>
      <c r="BS278" s="80"/>
      <c r="BT278" s="80">
        <v>47863.008999999998</v>
      </c>
      <c r="BU278" s="80">
        <v>0.81724300000000005</v>
      </c>
      <c r="BV278" s="80">
        <v>-138.25</v>
      </c>
      <c r="BY278" s="80"/>
      <c r="BZ278" s="80"/>
      <c r="CA278" s="80"/>
      <c r="CC278" s="80"/>
    </row>
    <row r="279" spans="1:81">
      <c r="A279">
        <f t="shared" si="211"/>
        <v>325000</v>
      </c>
      <c r="B279">
        <f t="shared" si="243"/>
        <v>325</v>
      </c>
      <c r="C279">
        <f t="shared" si="212"/>
        <v>1.0697018893019681</v>
      </c>
      <c r="D279">
        <f t="shared" si="213"/>
        <v>0.36298844690311766</v>
      </c>
      <c r="F279">
        <f t="shared" si="214"/>
        <v>4.2400035829060368E-3</v>
      </c>
      <c r="G279">
        <f t="shared" si="215"/>
        <v>2.0032700332293985E-2</v>
      </c>
      <c r="H279">
        <f t="shared" si="216"/>
        <v>-3.1215599496677062</v>
      </c>
      <c r="J279">
        <f t="shared" si="217"/>
        <v>9</v>
      </c>
      <c r="M279">
        <f t="shared" si="218"/>
        <v>1.2986833503909096E-2</v>
      </c>
      <c r="N279">
        <f t="shared" si="219"/>
        <v>-1.5707963250000001</v>
      </c>
      <c r="O279">
        <f t="shared" si="220"/>
        <v>41.808337982032668</v>
      </c>
      <c r="P279">
        <f t="shared" si="221"/>
        <v>1.5468753717098407</v>
      </c>
      <c r="Q279">
        <f t="shared" si="222"/>
        <v>17.095072121535484</v>
      </c>
      <c r="R279">
        <f t="shared" si="223"/>
        <v>1.5122665249053442</v>
      </c>
      <c r="S279">
        <f t="shared" si="224"/>
        <v>0.97684731791455759</v>
      </c>
      <c r="T279">
        <f t="shared" si="225"/>
        <v>-0.21560416941924751</v>
      </c>
      <c r="U279">
        <f t="shared" si="226"/>
        <v>0.94636994986931744</v>
      </c>
      <c r="V279">
        <f t="shared" si="227"/>
        <v>-0.32898750696006385</v>
      </c>
      <c r="X279">
        <f t="shared" si="244"/>
        <v>-9.1120752132562028</v>
      </c>
      <c r="Y279">
        <f t="shared" si="228"/>
        <v>-103.98138961624089</v>
      </c>
      <c r="Z279">
        <f t="shared" si="245"/>
        <v>76.018610383759111</v>
      </c>
      <c r="AC279">
        <v>1</v>
      </c>
      <c r="AD279">
        <f t="shared" si="229"/>
        <v>41.796376934130009</v>
      </c>
      <c r="AE279">
        <f t="shared" si="230"/>
        <v>-4.7795817368532823E-4</v>
      </c>
      <c r="AF279">
        <f t="shared" si="231"/>
        <v>1.400019348546E-3</v>
      </c>
      <c r="AG279">
        <f t="shared" si="246"/>
        <v>26519.454502102864</v>
      </c>
      <c r="AH279">
        <f t="shared" si="247"/>
        <v>-9767.8578907917999</v>
      </c>
      <c r="AJ279">
        <f t="shared" si="232"/>
        <v>55000</v>
      </c>
      <c r="AK279">
        <f t="shared" si="233"/>
        <v>12045.455268721877</v>
      </c>
      <c r="AL279">
        <v>1</v>
      </c>
      <c r="AM279">
        <f t="shared" si="234"/>
        <v>17.065798863238125</v>
      </c>
      <c r="AN279">
        <f t="shared" si="248"/>
        <v>891.60959343158936</v>
      </c>
      <c r="AO279">
        <f t="shared" si="249"/>
        <v>-3170.574717315149</v>
      </c>
      <c r="AQ279">
        <f t="shared" si="235"/>
        <v>0.10778519428296182</v>
      </c>
      <c r="AR279">
        <f t="shared" si="236"/>
        <v>-18.460909150814288</v>
      </c>
      <c r="AT279">
        <f t="shared" si="261"/>
        <v>-177465.13256418455</v>
      </c>
      <c r="AU279">
        <f t="shared" si="262"/>
        <v>-490626.07075296127</v>
      </c>
      <c r="AV279">
        <f t="shared" si="250"/>
        <v>-1.9178662914685942</v>
      </c>
      <c r="AW279">
        <f t="shared" si="251"/>
        <v>-32389.587458860246</v>
      </c>
      <c r="AX279">
        <f t="shared" si="252"/>
        <v>-47032.970678366401</v>
      </c>
      <c r="AY279">
        <f t="shared" si="260"/>
        <v>-2.173868946647187</v>
      </c>
      <c r="BA279">
        <f t="shared" si="237"/>
        <v>9.1361354422432601</v>
      </c>
      <c r="BB279">
        <f t="shared" si="253"/>
        <v>19.215250586386702</v>
      </c>
      <c r="BC279">
        <f t="shared" si="254"/>
        <v>0.25600265517859278</v>
      </c>
      <c r="BD279">
        <f t="shared" si="238"/>
        <v>-165.33212829736323</v>
      </c>
      <c r="BF279">
        <f t="shared" si="239"/>
        <v>-8.5673194961106844</v>
      </c>
      <c r="BG279">
        <f t="shared" si="240"/>
        <v>-143.38663307143884</v>
      </c>
      <c r="BH279">
        <f t="shared" si="255"/>
        <v>36.613366928561163</v>
      </c>
      <c r="BI279">
        <f t="shared" si="256"/>
        <v>36.613366928561163</v>
      </c>
      <c r="BJ279">
        <f t="shared" si="241"/>
        <v>0</v>
      </c>
      <c r="BK279">
        <f t="shared" si="257"/>
        <v>0</v>
      </c>
      <c r="BM279">
        <f t="shared" si="258"/>
        <v>-27.782570082497386</v>
      </c>
      <c r="BN279">
        <f t="shared" si="242"/>
        <v>-158.05450477407564</v>
      </c>
      <c r="BQ279" s="75">
        <f t="shared" si="259"/>
        <v>36.117211386671841</v>
      </c>
      <c r="BR279" s="80"/>
      <c r="BS279" s="80"/>
      <c r="BT279" s="80">
        <v>48977.881999999998</v>
      </c>
      <c r="BU279" s="80">
        <v>0.86195100000000002</v>
      </c>
      <c r="BV279" s="80">
        <v>-138.07900000000001</v>
      </c>
      <c r="BY279" s="80"/>
      <c r="BZ279" s="80"/>
      <c r="CA279" s="80"/>
      <c r="CC279" s="80"/>
    </row>
    <row r="280" spans="1:81">
      <c r="A280">
        <f>A279+5000</f>
        <v>330000</v>
      </c>
      <c r="B280">
        <f t="shared" si="243"/>
        <v>330</v>
      </c>
      <c r="C280">
        <f t="shared" si="212"/>
        <v>1.0717906100025063</v>
      </c>
      <c r="D280">
        <f t="shared" si="213"/>
        <v>0.36808518111129218</v>
      </c>
      <c r="F280">
        <f t="shared" si="214"/>
        <v>4.1119918366595539E-3</v>
      </c>
      <c r="G280">
        <f t="shared" si="215"/>
        <v>1.9726735116170641E-2</v>
      </c>
      <c r="H280">
        <f t="shared" si="216"/>
        <v>-3.1218659148838297</v>
      </c>
      <c r="J280">
        <f t="shared" si="217"/>
        <v>9</v>
      </c>
      <c r="M280">
        <f t="shared" si="218"/>
        <v>1.2790063299304414E-2</v>
      </c>
      <c r="N280">
        <f t="shared" si="219"/>
        <v>-1.5707963250000001</v>
      </c>
      <c r="O280">
        <f t="shared" si="220"/>
        <v>42.451177988312118</v>
      </c>
      <c r="P280">
        <f t="shared" si="221"/>
        <v>1.5472376753025403</v>
      </c>
      <c r="Q280">
        <f t="shared" si="222"/>
        <v>17.357180081424119</v>
      </c>
      <c r="R280">
        <f t="shared" si="223"/>
        <v>1.5131513617861128</v>
      </c>
      <c r="S280">
        <f t="shared" si="224"/>
        <v>0.97615492315080565</v>
      </c>
      <c r="T280">
        <f t="shared" si="225"/>
        <v>-0.2188170409300681</v>
      </c>
      <c r="U280">
        <f t="shared" si="226"/>
        <v>0.94484218513478735</v>
      </c>
      <c r="V280">
        <f t="shared" si="227"/>
        <v>-0.33368389866243359</v>
      </c>
      <c r="X280">
        <f t="shared" si="244"/>
        <v>-9.2495133072853388</v>
      </c>
      <c r="Y280">
        <f t="shared" si="228"/>
        <v>-104.08861028808096</v>
      </c>
      <c r="Z280">
        <f t="shared" si="245"/>
        <v>75.911389711919043</v>
      </c>
      <c r="AC280">
        <v>1</v>
      </c>
      <c r="AD280">
        <f t="shared" si="229"/>
        <v>42.439398117732004</v>
      </c>
      <c r="AE280">
        <f t="shared" si="230"/>
        <v>-4.9277770522444732E-4</v>
      </c>
      <c r="AF280">
        <f t="shared" si="231"/>
        <v>1.4215581077544001E-3</v>
      </c>
      <c r="AG280">
        <f t="shared" si="246"/>
        <v>26433.90067730756</v>
      </c>
      <c r="AH280">
        <f t="shared" si="247"/>
        <v>-9866.6644995969691</v>
      </c>
      <c r="AJ280">
        <f t="shared" si="232"/>
        <v>55000</v>
      </c>
      <c r="AK280">
        <f t="shared" si="233"/>
        <v>12230.769965163752</v>
      </c>
      <c r="AL280">
        <v>1</v>
      </c>
      <c r="AM280">
        <f t="shared" si="234"/>
        <v>17.328349614980251</v>
      </c>
      <c r="AN280">
        <f t="shared" si="248"/>
        <v>886.04093142820921</v>
      </c>
      <c r="AO280">
        <f t="shared" si="249"/>
        <v>-3122.8570678070005</v>
      </c>
      <c r="AQ280">
        <f t="shared" si="235"/>
        <v>0.10454382752164927</v>
      </c>
      <c r="AR280">
        <f t="shared" si="236"/>
        <v>-18.181217044290026</v>
      </c>
      <c r="AT280">
        <f t="shared" si="261"/>
        <v>-176624.4676172309</v>
      </c>
      <c r="AU280">
        <f t="shared" si="262"/>
        <v>-481631.98441299371</v>
      </c>
      <c r="AV280">
        <f t="shared" si="250"/>
        <v>-1.922288839694787</v>
      </c>
      <c r="AW280">
        <f t="shared" si="251"/>
        <v>-30742.121631885286</v>
      </c>
      <c r="AX280">
        <f t="shared" si="252"/>
        <v>-46438.726976538441</v>
      </c>
      <c r="AY280">
        <f t="shared" si="260"/>
        <v>-2.1555564731699404</v>
      </c>
      <c r="BA280">
        <f t="shared" si="237"/>
        <v>9.2112655557284615</v>
      </c>
      <c r="BB280">
        <f t="shared" si="253"/>
        <v>19.2863860591176</v>
      </c>
      <c r="BC280">
        <f t="shared" si="254"/>
        <v>0.23326763347515334</v>
      </c>
      <c r="BD280">
        <f t="shared" si="238"/>
        <v>-166.63474908959708</v>
      </c>
      <c r="BF280">
        <f t="shared" si="239"/>
        <v>-8.7455199189328319</v>
      </c>
      <c r="BG280">
        <f t="shared" si="240"/>
        <v>-144.4147630194924</v>
      </c>
      <c r="BH280">
        <f t="shared" si="255"/>
        <v>35.585236980507602</v>
      </c>
      <c r="BI280">
        <f t="shared" si="256"/>
        <v>35.585236980507602</v>
      </c>
      <c r="BJ280">
        <f t="shared" si="241"/>
        <v>0</v>
      </c>
      <c r="BK280">
        <f t="shared" si="257"/>
        <v>0</v>
      </c>
      <c r="BM280">
        <f t="shared" si="258"/>
        <v>-28.031905978050432</v>
      </c>
      <c r="BN280">
        <f t="shared" si="242"/>
        <v>-157.78001392989532</v>
      </c>
      <c r="BQ280" s="75">
        <f t="shared" si="259"/>
        <v>36.188346859402735</v>
      </c>
      <c r="BR280" s="80"/>
      <c r="BS280" s="80"/>
      <c r="BT280" s="80">
        <v>50118.722999999998</v>
      </c>
      <c r="BU280" s="80">
        <v>0.950021</v>
      </c>
      <c r="BV280" s="80">
        <v>-137.59100000000001</v>
      </c>
      <c r="BY280" s="80"/>
      <c r="BZ280" s="80"/>
      <c r="CA280" s="80"/>
      <c r="CC280" s="80"/>
    </row>
    <row r="281" spans="1:81">
      <c r="A281">
        <f t="shared" si="211"/>
        <v>335000</v>
      </c>
      <c r="B281">
        <f t="shared" si="243"/>
        <v>335</v>
      </c>
      <c r="C281">
        <f t="shared" si="212"/>
        <v>1.0739070635625345</v>
      </c>
      <c r="D281">
        <f t="shared" si="213"/>
        <v>0.37316195750307002</v>
      </c>
      <c r="F281">
        <f t="shared" si="214"/>
        <v>3.989698159225832E-3</v>
      </c>
      <c r="G281">
        <f t="shared" si="215"/>
        <v>1.9430010520956002E-2</v>
      </c>
      <c r="H281">
        <f t="shared" si="216"/>
        <v>-3.1221626394790443</v>
      </c>
      <c r="J281">
        <f t="shared" si="217"/>
        <v>9</v>
      </c>
      <c r="M281">
        <f t="shared" si="218"/>
        <v>1.2599166832150618E-2</v>
      </c>
      <c r="N281">
        <f t="shared" si="219"/>
        <v>-1.5707963250000001</v>
      </c>
      <c r="O281">
        <f t="shared" si="220"/>
        <v>43.094023400652169</v>
      </c>
      <c r="P281">
        <f t="shared" si="221"/>
        <v>1.5475891697753443</v>
      </c>
      <c r="Q281">
        <f t="shared" si="222"/>
        <v>17.619301226551336</v>
      </c>
      <c r="R281">
        <f t="shared" si="223"/>
        <v>1.5140098720063724</v>
      </c>
      <c r="S281">
        <f t="shared" si="224"/>
        <v>0.97545346152398638</v>
      </c>
      <c r="T281">
        <f t="shared" si="225"/>
        <v>-0.22202532800196817</v>
      </c>
      <c r="U281">
        <f t="shared" si="226"/>
        <v>0.94329864039139821</v>
      </c>
      <c r="V281">
        <f t="shared" si="227"/>
        <v>-0.33836504877996543</v>
      </c>
      <c r="X281">
        <f t="shared" si="244"/>
        <v>-9.3849487646007308</v>
      </c>
      <c r="Y281">
        <f t="shared" si="228"/>
        <v>-104.19743678599271</v>
      </c>
      <c r="Z281">
        <f t="shared" si="245"/>
        <v>75.802563214007293</v>
      </c>
      <c r="AC281">
        <v>1</v>
      </c>
      <c r="AD281">
        <f t="shared" si="229"/>
        <v>43.082419301334006</v>
      </c>
      <c r="AE281">
        <f t="shared" si="230"/>
        <v>-5.0782348915347664E-4</v>
      </c>
      <c r="AF281">
        <f t="shared" si="231"/>
        <v>1.4430968669628002E-3</v>
      </c>
      <c r="AG281">
        <f t="shared" si="246"/>
        <v>26347.603555970549</v>
      </c>
      <c r="AH281">
        <f t="shared" si="247"/>
        <v>-9964.6339049228882</v>
      </c>
      <c r="AJ281">
        <f t="shared" si="232"/>
        <v>55000</v>
      </c>
      <c r="AK281">
        <f t="shared" si="233"/>
        <v>12416.084661605628</v>
      </c>
      <c r="AL281">
        <v>1</v>
      </c>
      <c r="AM281">
        <f t="shared" si="234"/>
        <v>17.590900366722376</v>
      </c>
      <c r="AN281">
        <f t="shared" si="248"/>
        <v>880.71867594951027</v>
      </c>
      <c r="AO281">
        <f t="shared" si="249"/>
        <v>-3076.5498181338548</v>
      </c>
      <c r="AQ281">
        <f t="shared" si="235"/>
        <v>0.10144650451707526</v>
      </c>
      <c r="AR281">
        <f t="shared" si="236"/>
        <v>-17.909873139967054</v>
      </c>
      <c r="AT281">
        <f t="shared" si="261"/>
        <v>-175792.45684022858</v>
      </c>
      <c r="AU281">
        <f t="shared" si="262"/>
        <v>-472893.11450802413</v>
      </c>
      <c r="AV281">
        <f t="shared" si="250"/>
        <v>-1.9267043149415595</v>
      </c>
      <c r="AW281">
        <f t="shared" si="251"/>
        <v>-29171.705754407383</v>
      </c>
      <c r="AX281">
        <f t="shared" si="252"/>
        <v>-45868.966517268302</v>
      </c>
      <c r="AY281">
        <f t="shared" si="260"/>
        <v>-2.137251823791015</v>
      </c>
      <c r="BA281">
        <f t="shared" si="237"/>
        <v>9.2810078239124945</v>
      </c>
      <c r="BB281">
        <f t="shared" si="253"/>
        <v>19.351902775667277</v>
      </c>
      <c r="BC281">
        <f t="shared" si="254"/>
        <v>0.2105475088494555</v>
      </c>
      <c r="BD281">
        <f t="shared" si="238"/>
        <v>-167.93651634214831</v>
      </c>
      <c r="BF281">
        <f t="shared" si="239"/>
        <v>-8.925112249585931</v>
      </c>
      <c r="BG281">
        <f t="shared" si="240"/>
        <v>-145.44265347793365</v>
      </c>
      <c r="BH281">
        <f t="shared" si="255"/>
        <v>34.557346522066354</v>
      </c>
      <c r="BI281">
        <f t="shared" si="256"/>
        <v>34.557346522066354</v>
      </c>
      <c r="BJ281">
        <f t="shared" si="241"/>
        <v>0</v>
      </c>
      <c r="BK281">
        <f t="shared" si="257"/>
        <v>0</v>
      </c>
      <c r="BM281">
        <f t="shared" si="258"/>
        <v>-28.277015025253206</v>
      </c>
      <c r="BN281">
        <f t="shared" si="242"/>
        <v>-157.50613713578534</v>
      </c>
      <c r="BQ281" s="75">
        <f t="shared" si="259"/>
        <v>36.253863575952408</v>
      </c>
      <c r="BR281" s="80"/>
      <c r="BS281" s="80"/>
      <c r="BT281" s="80">
        <v>51286.137999999999</v>
      </c>
      <c r="BU281" s="80">
        <v>1.0492999999999999</v>
      </c>
      <c r="BV281" s="80">
        <v>-137.08699999999999</v>
      </c>
      <c r="BY281" s="80"/>
      <c r="BZ281" s="80"/>
      <c r="CA281" s="80"/>
      <c r="CC281" s="80"/>
    </row>
    <row r="282" spans="1:81">
      <c r="A282">
        <f t="shared" si="211"/>
        <v>340000</v>
      </c>
      <c r="B282">
        <f t="shared" si="243"/>
        <v>340</v>
      </c>
      <c r="C282">
        <f t="shared" si="212"/>
        <v>1.0760510863412027</v>
      </c>
      <c r="D282">
        <f t="shared" si="213"/>
        <v>0.37821863292502217</v>
      </c>
      <c r="F282">
        <f t="shared" si="214"/>
        <v>3.8727865943070502E-3</v>
      </c>
      <c r="G282">
        <f t="shared" si="215"/>
        <v>1.9142112659509825E-2</v>
      </c>
      <c r="H282">
        <f t="shared" si="216"/>
        <v>-3.1224505373404905</v>
      </c>
      <c r="J282">
        <f t="shared" si="217"/>
        <v>9</v>
      </c>
      <c r="M282">
        <f t="shared" si="218"/>
        <v>1.2413884966971933E-2</v>
      </c>
      <c r="N282">
        <f t="shared" si="219"/>
        <v>-1.5707963250000001</v>
      </c>
      <c r="O282">
        <f t="shared" si="220"/>
        <v>43.736873980677686</v>
      </c>
      <c r="P282">
        <f t="shared" si="221"/>
        <v>1.5479303316612099</v>
      </c>
      <c r="Q282">
        <f t="shared" si="222"/>
        <v>17.881434977076122</v>
      </c>
      <c r="R282">
        <f t="shared" si="223"/>
        <v>1.5148432120827213</v>
      </c>
      <c r="S282">
        <f t="shared" si="224"/>
        <v>0.97474299583968249</v>
      </c>
      <c r="T282">
        <f t="shared" si="225"/>
        <v>-0.22522897453624477</v>
      </c>
      <c r="U282">
        <f t="shared" si="226"/>
        <v>0.94173959528591922</v>
      </c>
      <c r="V282">
        <f t="shared" si="227"/>
        <v>-0.34303082723582734</v>
      </c>
      <c r="X282">
        <f t="shared" si="244"/>
        <v>-9.5184451261514269</v>
      </c>
      <c r="Y282">
        <f t="shared" si="228"/>
        <v>-104.30779679213018</v>
      </c>
      <c r="Z282">
        <f t="shared" si="245"/>
        <v>75.692203207869824</v>
      </c>
      <c r="AC282">
        <v>1</v>
      </c>
      <c r="AD282">
        <f t="shared" si="229"/>
        <v>43.725440484936009</v>
      </c>
      <c r="AE282">
        <f t="shared" si="230"/>
        <v>-5.2309552547241613E-4</v>
      </c>
      <c r="AF282">
        <f t="shared" si="231"/>
        <v>1.4646356261712001E-3</v>
      </c>
      <c r="AG282">
        <f t="shared" si="246"/>
        <v>26260.583061427464</v>
      </c>
      <c r="AH282">
        <f t="shared" si="247"/>
        <v>-10061.74725809029</v>
      </c>
      <c r="AJ282">
        <f t="shared" si="232"/>
        <v>55000</v>
      </c>
      <c r="AK282">
        <f t="shared" si="233"/>
        <v>12601.399358047502</v>
      </c>
      <c r="AL282">
        <v>1</v>
      </c>
      <c r="AM282">
        <f t="shared" si="234"/>
        <v>17.853451118464502</v>
      </c>
      <c r="AN282">
        <f t="shared" si="248"/>
        <v>875.6285157801683</v>
      </c>
      <c r="AO282">
        <f t="shared" si="249"/>
        <v>-3031.5915463673573</v>
      </c>
      <c r="AQ282">
        <f t="shared" si="235"/>
        <v>9.8484815167673156E-2</v>
      </c>
      <c r="AR282">
        <f t="shared" si="236"/>
        <v>-17.646509181743678</v>
      </c>
      <c r="AT282">
        <f t="shared" si="261"/>
        <v>-174968.44670527457</v>
      </c>
      <c r="AU282">
        <f t="shared" si="262"/>
        <v>-464398.54943039914</v>
      </c>
      <c r="AV282">
        <f t="shared" si="250"/>
        <v>-1.9311122270874599</v>
      </c>
      <c r="AW282">
        <f t="shared" si="251"/>
        <v>-27673.888981929151</v>
      </c>
      <c r="AX282">
        <f t="shared" si="252"/>
        <v>-45322.283415657672</v>
      </c>
      <c r="AY282">
        <f t="shared" si="260"/>
        <v>-2.1189751608336107</v>
      </c>
      <c r="BA282">
        <f t="shared" si="237"/>
        <v>9.3453069849086106</v>
      </c>
      <c r="BB282">
        <f t="shared" si="253"/>
        <v>19.411871442626737</v>
      </c>
      <c r="BC282">
        <f t="shared" si="254"/>
        <v>0.18786293374615082</v>
      </c>
      <c r="BD282">
        <f t="shared" si="238"/>
        <v>-169.23624675710036</v>
      </c>
      <c r="BF282">
        <f t="shared" si="239"/>
        <v>-9.1061492365867576</v>
      </c>
      <c r="BG282">
        <f t="shared" si="240"/>
        <v>-146.46915306491982</v>
      </c>
      <c r="BH282">
        <f t="shared" si="255"/>
        <v>33.530846935080177</v>
      </c>
      <c r="BI282">
        <f t="shared" si="256"/>
        <v>33.530846935080177</v>
      </c>
      <c r="BJ282">
        <f t="shared" si="241"/>
        <v>0</v>
      </c>
      <c r="BK282">
        <f t="shared" si="257"/>
        <v>0</v>
      </c>
      <c r="BM282">
        <f t="shared" si="258"/>
        <v>-28.518020679213492</v>
      </c>
      <c r="BN282">
        <f t="shared" si="242"/>
        <v>-157.23290630781946</v>
      </c>
      <c r="BQ282" s="75">
        <f t="shared" si="259"/>
        <v>36.313832242911872</v>
      </c>
      <c r="BR282" s="80"/>
      <c r="BS282" s="80"/>
      <c r="BT282" s="80">
        <v>52480.745999999999</v>
      </c>
      <c r="BU282" s="80">
        <v>1.1752400000000001</v>
      </c>
      <c r="BV282" s="80">
        <v>-136.553</v>
      </c>
      <c r="BY282" s="80"/>
      <c r="BZ282" s="80"/>
      <c r="CA282" s="80"/>
      <c r="CC282" s="80"/>
    </row>
    <row r="283" spans="1:81">
      <c r="A283">
        <f t="shared" si="211"/>
        <v>345000</v>
      </c>
      <c r="B283">
        <f t="shared" si="243"/>
        <v>345</v>
      </c>
      <c r="C283">
        <f t="shared" si="212"/>
        <v>1.0782225138760899</v>
      </c>
      <c r="D283">
        <f t="shared" si="213"/>
        <v>0.38325506946665455</v>
      </c>
      <c r="F283">
        <f t="shared" si="214"/>
        <v>3.7609455294733518E-3</v>
      </c>
      <c r="G283">
        <f t="shared" si="215"/>
        <v>1.8862652081752293E-2</v>
      </c>
      <c r="H283">
        <f t="shared" si="216"/>
        <v>-3.1227299979182481</v>
      </c>
      <c r="J283">
        <f t="shared" si="217"/>
        <v>9</v>
      </c>
      <c r="M283">
        <f t="shared" si="218"/>
        <v>1.2233973590639007E-2</v>
      </c>
      <c r="N283">
        <f t="shared" si="219"/>
        <v>-1.5707963250000001</v>
      </c>
      <c r="O283">
        <f t="shared" si="220"/>
        <v>44.379729503823327</v>
      </c>
      <c r="P283">
        <f t="shared" si="221"/>
        <v>1.5482616098920821</v>
      </c>
      <c r="Q283">
        <f t="shared" si="222"/>
        <v>18.143580786639941</v>
      </c>
      <c r="R283">
        <f t="shared" si="223"/>
        <v>1.5156524718371889</v>
      </c>
      <c r="S283">
        <f t="shared" si="224"/>
        <v>0.97402358945922762</v>
      </c>
      <c r="T283">
        <f t="shared" si="225"/>
        <v>-0.22842792497736825</v>
      </c>
      <c r="U283">
        <f t="shared" si="226"/>
        <v>0.94016532966887945</v>
      </c>
      <c r="V283">
        <f t="shared" si="227"/>
        <v>-0.34768110748296011</v>
      </c>
      <c r="X283">
        <f t="shared" si="244"/>
        <v>-9.6500630421470763</v>
      </c>
      <c r="Y283">
        <f t="shared" si="228"/>
        <v>-104.41962192421003</v>
      </c>
      <c r="Z283">
        <f t="shared" si="245"/>
        <v>75.580378075789966</v>
      </c>
      <c r="AC283">
        <v>1</v>
      </c>
      <c r="AD283">
        <f t="shared" si="229"/>
        <v>44.368461668538004</v>
      </c>
      <c r="AE283">
        <f t="shared" si="230"/>
        <v>-5.3859381418126556E-4</v>
      </c>
      <c r="AF283">
        <f t="shared" si="231"/>
        <v>1.4861743853796E-3</v>
      </c>
      <c r="AG283">
        <f t="shared" si="246"/>
        <v>26172.859068285517</v>
      </c>
      <c r="AH283">
        <f t="shared" si="247"/>
        <v>-10157.986937556221</v>
      </c>
      <c r="AJ283">
        <f t="shared" si="232"/>
        <v>55000</v>
      </c>
      <c r="AK283">
        <f t="shared" si="233"/>
        <v>12786.714054489377</v>
      </c>
      <c r="AL283">
        <v>1</v>
      </c>
      <c r="AM283">
        <f t="shared" si="234"/>
        <v>18.116001870206627</v>
      </c>
      <c r="AN283">
        <f t="shared" si="248"/>
        <v>870.75716277274523</v>
      </c>
      <c r="AO283">
        <f t="shared" si="249"/>
        <v>-2987.9243347974916</v>
      </c>
      <c r="AQ283">
        <f t="shared" si="235"/>
        <v>9.5650954312739886E-2</v>
      </c>
      <c r="AR283">
        <f t="shared" si="236"/>
        <v>-17.390778258370801</v>
      </c>
      <c r="AT283">
        <f t="shared" si="261"/>
        <v>-174151.83943549296</v>
      </c>
      <c r="AU283">
        <f t="shared" si="262"/>
        <v>-456138.00958861643</v>
      </c>
      <c r="AV283">
        <f t="shared" si="250"/>
        <v>-1.9355121103892252</v>
      </c>
      <c r="AW283">
        <f t="shared" si="251"/>
        <v>-26244.537148384996</v>
      </c>
      <c r="AX283">
        <f t="shared" si="252"/>
        <v>-44797.37272410556</v>
      </c>
      <c r="AY283">
        <f t="shared" si="260"/>
        <v>-2.1007463778845779</v>
      </c>
      <c r="BA283">
        <f t="shared" si="237"/>
        <v>9.4041285624720903</v>
      </c>
      <c r="BB283">
        <f t="shared" si="253"/>
        <v>19.466371153402054</v>
      </c>
      <c r="BC283">
        <f t="shared" si="254"/>
        <v>0.16523426749535264</v>
      </c>
      <c r="BD283">
        <f t="shared" si="238"/>
        <v>-170.53277383076272</v>
      </c>
      <c r="BF283">
        <f t="shared" si="239"/>
        <v>-9.2886698700556884</v>
      </c>
      <c r="BG283">
        <f t="shared" si="240"/>
        <v>-147.49312549229552</v>
      </c>
      <c r="BH283">
        <f t="shared" si="255"/>
        <v>32.506874507704481</v>
      </c>
      <c r="BI283">
        <f t="shared" si="256"/>
        <v>32.506874507704481</v>
      </c>
      <c r="BJ283">
        <f t="shared" si="241"/>
        <v>0</v>
      </c>
      <c r="BK283">
        <f t="shared" si="257"/>
        <v>0</v>
      </c>
      <c r="BM283">
        <f t="shared" si="258"/>
        <v>-28.755041023457743</v>
      </c>
      <c r="BN283">
        <f t="shared" si="242"/>
        <v>-156.9603516615328</v>
      </c>
      <c r="BQ283" s="75">
        <f t="shared" si="259"/>
        <v>36.368331953687189</v>
      </c>
      <c r="BR283" s="80"/>
      <c r="BS283" s="80"/>
      <c r="BT283" s="80">
        <v>53703.18</v>
      </c>
      <c r="BU283" s="80">
        <v>1.3152900000000001</v>
      </c>
      <c r="BV283" s="80">
        <v>-136.001</v>
      </c>
      <c r="BY283" s="80"/>
      <c r="BZ283" s="80"/>
      <c r="CA283" s="80"/>
      <c r="CC283" s="80"/>
    </row>
    <row r="284" spans="1:81">
      <c r="A284">
        <f t="shared" si="211"/>
        <v>350000</v>
      </c>
      <c r="B284">
        <f t="shared" si="243"/>
        <v>350</v>
      </c>
      <c r="C284">
        <f t="shared" si="212"/>
        <v>1.0804211809331969</v>
      </c>
      <c r="D284">
        <f t="shared" si="213"/>
        <v>0.38827113442593242</v>
      </c>
      <c r="F284">
        <f t="shared" si="214"/>
        <v>3.6538856073128471E-3</v>
      </c>
      <c r="G284">
        <f t="shared" si="215"/>
        <v>1.8591261991644716E-2</v>
      </c>
      <c r="H284">
        <f t="shared" si="216"/>
        <v>-3.1230013880083556</v>
      </c>
      <c r="J284">
        <f t="shared" si="217"/>
        <v>9</v>
      </c>
      <c r="M284">
        <f t="shared" si="218"/>
        <v>1.2059202539344161E-2</v>
      </c>
      <c r="N284">
        <f t="shared" si="219"/>
        <v>-1.5707963250000001</v>
      </c>
      <c r="O284">
        <f t="shared" si="220"/>
        <v>45.022589758347912</v>
      </c>
      <c r="P284">
        <f t="shared" si="221"/>
        <v>1.5485834277683759</v>
      </c>
      <c r="Q284">
        <f t="shared" si="222"/>
        <v>18.405738139986113</v>
      </c>
      <c r="R284">
        <f t="shared" si="223"/>
        <v>1.5164386791319093</v>
      </c>
      <c r="S284">
        <f t="shared" si="224"/>
        <v>0.97329530628516836</v>
      </c>
      <c r="T284">
        <f t="shared" si="225"/>
        <v>-0.23162212431700066</v>
      </c>
      <c r="U284">
        <f t="shared" si="226"/>
        <v>0.93857612348265396</v>
      </c>
      <c r="V284">
        <f t="shared" si="227"/>
        <v>-0.3523157664946448</v>
      </c>
      <c r="X284">
        <f t="shared" si="244"/>
        <v>-9.7798604459607734</v>
      </c>
      <c r="Y284">
        <f t="shared" si="228"/>
        <v>-104.53284745521701</v>
      </c>
      <c r="Z284">
        <f t="shared" si="245"/>
        <v>75.467152544782991</v>
      </c>
      <c r="AC284">
        <v>1</v>
      </c>
      <c r="AD284">
        <f t="shared" si="229"/>
        <v>45.011482852140006</v>
      </c>
      <c r="AE284">
        <f t="shared" si="230"/>
        <v>-5.5431835528002549E-4</v>
      </c>
      <c r="AF284">
        <f t="shared" si="231"/>
        <v>1.5077131445880001E-3</v>
      </c>
      <c r="AG284">
        <f t="shared" si="246"/>
        <v>26084.451393563373</v>
      </c>
      <c r="AH284">
        <f t="shared" si="247"/>
        <v>-10253.336485360542</v>
      </c>
      <c r="AJ284">
        <f t="shared" si="232"/>
        <v>55000</v>
      </c>
      <c r="AK284">
        <f t="shared" si="233"/>
        <v>12972.028750931251</v>
      </c>
      <c r="AL284">
        <v>1</v>
      </c>
      <c r="AM284">
        <f t="shared" si="234"/>
        <v>18.378552621948753</v>
      </c>
      <c r="AN284">
        <f t="shared" si="248"/>
        <v>866.09226540811267</v>
      </c>
      <c r="AO284">
        <f t="shared" si="249"/>
        <v>-2945.4935243345535</v>
      </c>
      <c r="AQ284">
        <f t="shared" si="235"/>
        <v>9.293767025805709E-2</v>
      </c>
      <c r="AR284">
        <f t="shared" si="236"/>
        <v>-17.142353279098629</v>
      </c>
      <c r="AT284">
        <f t="shared" si="261"/>
        <v>-173342.08817904457</v>
      </c>
      <c r="AU284">
        <f t="shared" si="262"/>
        <v>-448101.80208526121</v>
      </c>
      <c r="AV284">
        <f t="shared" si="250"/>
        <v>-1.9399035219851648</v>
      </c>
      <c r="AW284">
        <f t="shared" si="251"/>
        <v>-24879.806043929613</v>
      </c>
      <c r="AX284">
        <f t="shared" si="252"/>
        <v>-44293.021636511636</v>
      </c>
      <c r="AY284">
        <f t="shared" si="260"/>
        <v>-2.0825850000664148</v>
      </c>
      <c r="BA284">
        <f t="shared" si="237"/>
        <v>9.4574589327328304</v>
      </c>
      <c r="BB284">
        <f t="shared" si="253"/>
        <v>19.515489282507389</v>
      </c>
      <c r="BC284">
        <f t="shared" si="254"/>
        <v>0.14268147808124998</v>
      </c>
      <c r="BD284">
        <f t="shared" si="238"/>
        <v>-171.82495348191466</v>
      </c>
      <c r="BF284">
        <f t="shared" si="239"/>
        <v>-9.4726998014090835</v>
      </c>
      <c r="BG284">
        <f t="shared" si="240"/>
        <v>-148.51345529797163</v>
      </c>
      <c r="BH284">
        <f t="shared" si="255"/>
        <v>31.486544702028368</v>
      </c>
      <c r="BI284">
        <f t="shared" si="256"/>
        <v>31.486544702028368</v>
      </c>
      <c r="BJ284">
        <f t="shared" si="241"/>
        <v>0</v>
      </c>
      <c r="BK284">
        <f t="shared" si="257"/>
        <v>0</v>
      </c>
      <c r="BM284">
        <f t="shared" si="258"/>
        <v>-28.98818908391647</v>
      </c>
      <c r="BN284">
        <f t="shared" si="242"/>
        <v>-156.68850181605697</v>
      </c>
      <c r="BQ284" s="75">
        <f t="shared" si="259"/>
        <v>36.41745008279252</v>
      </c>
      <c r="BR284" s="80"/>
      <c r="BS284" s="80"/>
      <c r="BT284" s="80">
        <v>54954.087</v>
      </c>
      <c r="BU284" s="80">
        <v>1.4637500000000001</v>
      </c>
      <c r="BV284" s="80">
        <v>-135.524</v>
      </c>
      <c r="BY284" s="80"/>
      <c r="BZ284" s="80"/>
      <c r="CA284" s="80"/>
      <c r="CC284" s="80"/>
    </row>
    <row r="285" spans="1:81">
      <c r="A285">
        <f t="shared" si="211"/>
        <v>355000</v>
      </c>
      <c r="B285">
        <f t="shared" si="243"/>
        <v>355</v>
      </c>
      <c r="C285">
        <f t="shared" si="212"/>
        <v>1.082646921556381</v>
      </c>
      <c r="D285">
        <f t="shared" si="213"/>
        <v>0.39326670027244864</v>
      </c>
      <c r="F285">
        <f t="shared" si="214"/>
        <v>3.5513378429607089E-3</v>
      </c>
      <c r="G285">
        <f t="shared" si="215"/>
        <v>1.8327596618501689E-2</v>
      </c>
      <c r="H285">
        <f t="shared" si="216"/>
        <v>-3.1232650533814987</v>
      </c>
      <c r="J285">
        <f t="shared" si="217"/>
        <v>9</v>
      </c>
      <c r="M285">
        <f t="shared" si="218"/>
        <v>1.1889354616254809E-2</v>
      </c>
      <c r="N285">
        <f t="shared" si="219"/>
        <v>-1.5707963250000001</v>
      </c>
      <c r="O285">
        <f t="shared" si="220"/>
        <v>45.665454544431974</v>
      </c>
      <c r="P285">
        <f t="shared" si="221"/>
        <v>1.5488961847622176</v>
      </c>
      <c r="Q285">
        <f t="shared" si="222"/>
        <v>18.667906550779318</v>
      </c>
      <c r="R285">
        <f t="shared" si="223"/>
        <v>1.5172028042064918</v>
      </c>
      <c r="S285">
        <f t="shared" si="224"/>
        <v>0.97255821074669713</v>
      </c>
      <c r="T285">
        <f t="shared" si="225"/>
        <v>-0.23481151809786668</v>
      </c>
      <c r="U285">
        <f t="shared" si="226"/>
        <v>0.93697225665152706</v>
      </c>
      <c r="V285">
        <f t="shared" si="227"/>
        <v>-0.35693468475351792</v>
      </c>
      <c r="X285">
        <f t="shared" si="244"/>
        <v>-9.9078927150059535</v>
      </c>
      <c r="Y285">
        <f t="shared" si="228"/>
        <v>-104.64741205659193</v>
      </c>
      <c r="Z285">
        <f t="shared" si="245"/>
        <v>75.352587943408068</v>
      </c>
      <c r="AC285">
        <v>1</v>
      </c>
      <c r="AD285">
        <f t="shared" si="229"/>
        <v>45.654504035742001</v>
      </c>
      <c r="AE285">
        <f t="shared" si="230"/>
        <v>-5.702691487686957E-4</v>
      </c>
      <c r="AF285">
        <f t="shared" si="231"/>
        <v>1.5292519037964001E-3</v>
      </c>
      <c r="AG285">
        <f t="shared" si="246"/>
        <v>25995.379788047881</v>
      </c>
      <c r="AH285">
        <f t="shared" si="247"/>
        <v>-10347.780548361396</v>
      </c>
      <c r="AJ285">
        <f t="shared" si="232"/>
        <v>55000</v>
      </c>
      <c r="AK285">
        <f t="shared" si="233"/>
        <v>13157.343447373127</v>
      </c>
      <c r="AL285">
        <v>1</v>
      </c>
      <c r="AM285">
        <f t="shared" si="234"/>
        <v>18.641103373690878</v>
      </c>
      <c r="AN285">
        <f t="shared" si="248"/>
        <v>861.62233074986591</v>
      </c>
      <c r="AO285">
        <f t="shared" si="249"/>
        <v>-2904.2474892155969</v>
      </c>
      <c r="AQ285">
        <f t="shared" si="235"/>
        <v>9.0338218339872683E-2</v>
      </c>
      <c r="AR285">
        <f t="shared" si="236"/>
        <v>-16.900925578115082</v>
      </c>
      <c r="AT285">
        <f t="shared" si="261"/>
        <v>-172538.69265140226</v>
      </c>
      <c r="AU285">
        <f t="shared" si="262"/>
        <v>-440280.77923114522</v>
      </c>
      <c r="AV285">
        <f t="shared" si="250"/>
        <v>-1.9442860405224802</v>
      </c>
      <c r="AW285">
        <f t="shared" si="251"/>
        <v>-23576.117285838569</v>
      </c>
      <c r="AX285">
        <f t="shared" si="252"/>
        <v>-43808.101589212958</v>
      </c>
      <c r="AY285">
        <f t="shared" si="260"/>
        <v>-2.0645100881932068</v>
      </c>
      <c r="BA285">
        <f t="shared" si="237"/>
        <v>9.5053051547453844</v>
      </c>
      <c r="BB285">
        <f t="shared" si="253"/>
        <v>19.559321277042866</v>
      </c>
      <c r="BC285">
        <f t="shared" si="254"/>
        <v>0.12022404767072659</v>
      </c>
      <c r="BD285">
        <f t="shared" si="238"/>
        <v>-173.11166946461668</v>
      </c>
      <c r="BF285">
        <f t="shared" si="239"/>
        <v>-9.6582518430814304</v>
      </c>
      <c r="BG285">
        <f t="shared" si="240"/>
        <v>-149.52905335416358</v>
      </c>
      <c r="BH285">
        <f t="shared" si="255"/>
        <v>30.47094664583642</v>
      </c>
      <c r="BI285">
        <f t="shared" si="256"/>
        <v>30.47094664583642</v>
      </c>
      <c r="BJ285">
        <f t="shared" si="241"/>
        <v>0</v>
      </c>
      <c r="BK285">
        <f t="shared" si="257"/>
        <v>0</v>
      </c>
      <c r="BM285">
        <f t="shared" si="258"/>
        <v>-29.217573120124293</v>
      </c>
      <c r="BN285">
        <f t="shared" si="242"/>
        <v>-156.4173838895469</v>
      </c>
      <c r="BQ285" s="75">
        <f t="shared" si="259"/>
        <v>36.461282077328001</v>
      </c>
      <c r="BR285" s="80"/>
      <c r="BS285" s="80"/>
      <c r="BT285" s="80">
        <v>56234.133000000002</v>
      </c>
      <c r="BU285" s="80">
        <v>1.62296</v>
      </c>
      <c r="BV285" s="80">
        <v>-134.983</v>
      </c>
      <c r="BY285" s="80"/>
      <c r="BZ285" s="80"/>
      <c r="CA285" s="80"/>
      <c r="CC285" s="80"/>
    </row>
    <row r="286" spans="1:81">
      <c r="A286">
        <f t="shared" si="211"/>
        <v>360000</v>
      </c>
      <c r="B286">
        <f t="shared" si="243"/>
        <v>360</v>
      </c>
      <c r="C286">
        <f t="shared" si="212"/>
        <v>1.0848995691162151</v>
      </c>
      <c r="D286">
        <f t="shared" si="213"/>
        <v>0.39824164460832367</v>
      </c>
      <c r="F286">
        <f t="shared" si="214"/>
        <v>3.4530519250050148E-3</v>
      </c>
      <c r="G286">
        <f t="shared" si="215"/>
        <v>1.8071329727228646E-2</v>
      </c>
      <c r="H286">
        <f t="shared" si="216"/>
        <v>-3.1235213202727716</v>
      </c>
      <c r="J286">
        <f t="shared" si="217"/>
        <v>9</v>
      </c>
      <c r="M286">
        <f t="shared" si="218"/>
        <v>1.1724224691029047E-2</v>
      </c>
      <c r="N286">
        <f t="shared" si="219"/>
        <v>-1.5707963250000001</v>
      </c>
      <c r="O286">
        <f t="shared" si="220"/>
        <v>46.3083236733505</v>
      </c>
      <c r="P286">
        <f t="shared" si="221"/>
        <v>1.5492002581705868</v>
      </c>
      <c r="Q286">
        <f t="shared" si="222"/>
        <v>18.930085559605907</v>
      </c>
      <c r="R286">
        <f t="shared" si="223"/>
        <v>1.517945763656406</v>
      </c>
      <c r="S286">
        <f t="shared" si="224"/>
        <v>0.97181236778506119</v>
      </c>
      <c r="T286">
        <f t="shared" si="225"/>
        <v>-0.23799605241747804</v>
      </c>
      <c r="U286">
        <f t="shared" si="226"/>
        <v>0.9353540089737773</v>
      </c>
      <c r="V286">
        <f t="shared" si="227"/>
        <v>-0.36153774623907325</v>
      </c>
      <c r="X286">
        <f t="shared" si="244"/>
        <v>-10.034212819747196</v>
      </c>
      <c r="Y286">
        <f t="shared" si="228"/>
        <v>-104.76325756266368</v>
      </c>
      <c r="Z286">
        <f t="shared" si="245"/>
        <v>75.236742437336318</v>
      </c>
      <c r="AC286">
        <v>1</v>
      </c>
      <c r="AD286">
        <f t="shared" si="229"/>
        <v>46.29752521934401</v>
      </c>
      <c r="AE286">
        <f t="shared" si="230"/>
        <v>-5.8644619464727607E-4</v>
      </c>
      <c r="AF286">
        <f t="shared" si="231"/>
        <v>1.5507906630048002E-3</v>
      </c>
      <c r="AG286">
        <f t="shared" si="246"/>
        <v>25905.663927871592</v>
      </c>
      <c r="AH286">
        <f t="shared" si="247"/>
        <v>-10441.30482378419</v>
      </c>
      <c r="AJ286">
        <f t="shared" si="232"/>
        <v>55000</v>
      </c>
      <c r="AK286">
        <f t="shared" si="233"/>
        <v>13342.658143815002</v>
      </c>
      <c r="AL286">
        <v>1</v>
      </c>
      <c r="AM286">
        <f t="shared" si="234"/>
        <v>18.903654125433</v>
      </c>
      <c r="AN286">
        <f t="shared" si="248"/>
        <v>857.33665387477743</v>
      </c>
      <c r="AO286">
        <f t="shared" si="249"/>
        <v>-2864.1374300898583</v>
      </c>
      <c r="AQ286">
        <f t="shared" si="235"/>
        <v>8.7846318971417744E-2</v>
      </c>
      <c r="AR286">
        <f t="shared" si="236"/>
        <v>-16.666203635257375</v>
      </c>
      <c r="AT286">
        <f t="shared" si="261"/>
        <v>-171741.1951944083</v>
      </c>
      <c r="AU286">
        <f t="shared" si="262"/>
        <v>-432666.30052247731</v>
      </c>
      <c r="AV286">
        <f t="shared" si="250"/>
        <v>-1.9486592648963732</v>
      </c>
      <c r="AW286">
        <f t="shared" si="251"/>
        <v>-22330.136499216034</v>
      </c>
      <c r="AX286">
        <f t="shared" si="252"/>
        <v>-43341.561154860508</v>
      </c>
      <c r="AY286">
        <f t="shared" si="260"/>
        <v>-2.0465401481289844</v>
      </c>
      <c r="BA286">
        <f t="shared" si="237"/>
        <v>9.5476945725401148</v>
      </c>
      <c r="BB286">
        <f t="shared" si="253"/>
        <v>19.597970352521592</v>
      </c>
      <c r="BC286">
        <f t="shared" si="254"/>
        <v>9.7880883232611238E-2</v>
      </c>
      <c r="BD286">
        <f t="shared" si="238"/>
        <v>-174.39183848935028</v>
      </c>
      <c r="BF286">
        <f t="shared" si="239"/>
        <v>-9.8453265430719803</v>
      </c>
      <c r="BG286">
        <f t="shared" si="240"/>
        <v>-150.53886207612899</v>
      </c>
      <c r="BH286">
        <f t="shared" si="255"/>
        <v>29.461137923871007</v>
      </c>
      <c r="BI286">
        <f t="shared" si="256"/>
        <v>29.461137923871007</v>
      </c>
      <c r="BJ286">
        <f t="shared" si="241"/>
        <v>0</v>
      </c>
      <c r="BK286">
        <f t="shared" si="257"/>
        <v>0</v>
      </c>
      <c r="BM286">
        <f t="shared" si="258"/>
        <v>-29.443296895593573</v>
      </c>
      <c r="BN286">
        <f t="shared" si="242"/>
        <v>-156.14702358677872</v>
      </c>
      <c r="BQ286" s="75">
        <f t="shared" si="259"/>
        <v>36.499931152806731</v>
      </c>
      <c r="BR286" s="80"/>
      <c r="BS286" s="80"/>
      <c r="BT286" s="80">
        <v>57543.993999999999</v>
      </c>
      <c r="BU286" s="80">
        <v>1.78169</v>
      </c>
      <c r="BV286" s="80">
        <v>-134.52199999999999</v>
      </c>
      <c r="BY286" s="80"/>
      <c r="BZ286" s="80"/>
      <c r="CA286" s="80"/>
      <c r="CC286" s="80"/>
    </row>
    <row r="287" spans="1:81">
      <c r="A287">
        <f t="shared" si="211"/>
        <v>365000</v>
      </c>
      <c r="B287">
        <f t="shared" si="243"/>
        <v>365</v>
      </c>
      <c r="C287">
        <f t="shared" si="212"/>
        <v>1.0871789563582464</v>
      </c>
      <c r="D287">
        <f t="shared" si="213"/>
        <v>0.4031958501269266</v>
      </c>
      <c r="F287">
        <f t="shared" si="214"/>
        <v>3.358794679614331E-3</v>
      </c>
      <c r="G287">
        <f t="shared" si="215"/>
        <v>1.782215325381635E-2</v>
      </c>
      <c r="H287">
        <f t="shared" si="216"/>
        <v>-3.1237704967461837</v>
      </c>
      <c r="J287">
        <f t="shared" si="217"/>
        <v>9</v>
      </c>
      <c r="M287">
        <f t="shared" si="218"/>
        <v>1.1563618873343718E-2</v>
      </c>
      <c r="N287">
        <f t="shared" si="219"/>
        <v>-1.5707963250000001</v>
      </c>
      <c r="O287">
        <f t="shared" si="220"/>
        <v>46.951196966713511</v>
      </c>
      <c r="P287">
        <f t="shared" si="221"/>
        <v>1.5494960046327342</v>
      </c>
      <c r="Q287">
        <f t="shared" si="222"/>
        <v>19.192274732137708</v>
      </c>
      <c r="R287">
        <f t="shared" si="223"/>
        <v>1.5186684240865436</v>
      </c>
      <c r="S287">
        <f t="shared" si="224"/>
        <v>0.97105784283895669</v>
      </c>
      <c r="T287">
        <f t="shared" si="225"/>
        <v>-0.24117567393171108</v>
      </c>
      <c r="U287">
        <f t="shared" si="226"/>
        <v>0.93372166001584211</v>
      </c>
      <c r="V287">
        <f t="shared" si="227"/>
        <v>-0.36612483841368954</v>
      </c>
      <c r="X287">
        <f t="shared" si="244"/>
        <v>-10.158871461885685</v>
      </c>
      <c r="Y287">
        <f t="shared" si="228"/>
        <v>-104.88032875432411</v>
      </c>
      <c r="Z287">
        <f t="shared" si="245"/>
        <v>75.119671245675889</v>
      </c>
      <c r="AC287">
        <v>1</v>
      </c>
      <c r="AD287">
        <f t="shared" si="229"/>
        <v>46.940546402946005</v>
      </c>
      <c r="AE287">
        <f t="shared" si="230"/>
        <v>-6.0284949291576661E-4</v>
      </c>
      <c r="AF287">
        <f t="shared" si="231"/>
        <v>1.5723294222132001E-3</v>
      </c>
      <c r="AG287">
        <f t="shared" si="246"/>
        <v>25815.323406314175</v>
      </c>
      <c r="AH287">
        <f t="shared" si="247"/>
        <v>-10533.896008661723</v>
      </c>
      <c r="AJ287">
        <f t="shared" si="232"/>
        <v>55000</v>
      </c>
      <c r="AK287">
        <f t="shared" si="233"/>
        <v>13527.972840256878</v>
      </c>
      <c r="AL287">
        <v>1</v>
      </c>
      <c r="AM287">
        <f t="shared" si="234"/>
        <v>19.166204877175126</v>
      </c>
      <c r="AN287">
        <f t="shared" si="248"/>
        <v>853.22525397265872</v>
      </c>
      <c r="AO287">
        <f t="shared" si="249"/>
        <v>-2825.1171837628785</v>
      </c>
      <c r="AQ287">
        <f t="shared" si="235"/>
        <v>8.5456119684176587E-2</v>
      </c>
      <c r="AR287">
        <f t="shared" si="236"/>
        <v>-16.437911901849787</v>
      </c>
      <c r="AT287">
        <f t="shared" si="261"/>
        <v>-170949.1772069328</v>
      </c>
      <c r="AU287">
        <f t="shared" si="262"/>
        <v>-425250.19774881005</v>
      </c>
      <c r="AV287">
        <f t="shared" si="250"/>
        <v>-1.9530228130901441</v>
      </c>
      <c r="AW287">
        <f t="shared" si="251"/>
        <v>-21138.75355851743</v>
      </c>
      <c r="AX287">
        <f t="shared" si="252"/>
        <v>-42892.4196388032</v>
      </c>
      <c r="AY287">
        <f t="shared" si="260"/>
        <v>-2.0286930465251647</v>
      </c>
      <c r="BA287">
        <f t="shared" si="237"/>
        <v>9.5846742011424784</v>
      </c>
      <c r="BB287">
        <f t="shared" si="253"/>
        <v>19.63154710160914</v>
      </c>
      <c r="BC287">
        <f t="shared" si="254"/>
        <v>7.5670233435020551E-2</v>
      </c>
      <c r="BD287">
        <f t="shared" si="238"/>
        <v>-175.66441498444948</v>
      </c>
      <c r="BF287">
        <f t="shared" si="239"/>
        <v>-10.033912827517639</v>
      </c>
      <c r="BG287">
        <f t="shared" si="240"/>
        <v>-151.54186026414422</v>
      </c>
      <c r="BH287">
        <f t="shared" si="255"/>
        <v>28.458139735855781</v>
      </c>
      <c r="BI287">
        <f t="shared" si="256"/>
        <v>28.458139735855781</v>
      </c>
      <c r="BJ287">
        <f t="shared" si="241"/>
        <v>0</v>
      </c>
      <c r="BK287">
        <f t="shared" si="257"/>
        <v>0</v>
      </c>
      <c r="BM287">
        <f t="shared" si="258"/>
        <v>-29.665459929126783</v>
      </c>
      <c r="BN287">
        <f t="shared" si="242"/>
        <v>-155.87744527969474</v>
      </c>
      <c r="BQ287" s="75">
        <f t="shared" si="259"/>
        <v>36.533507901894275</v>
      </c>
      <c r="BR287" s="80"/>
      <c r="BS287" s="80"/>
      <c r="BT287" s="80">
        <v>58884.366000000002</v>
      </c>
      <c r="BU287" s="80">
        <v>1.9421999999999999</v>
      </c>
      <c r="BV287" s="80">
        <v>-134.059</v>
      </c>
      <c r="BY287" s="80"/>
      <c r="BZ287" s="80"/>
      <c r="CA287" s="80"/>
      <c r="CC287" s="80"/>
    </row>
    <row r="288" spans="1:81">
      <c r="A288">
        <f t="shared" si="211"/>
        <v>370000</v>
      </c>
      <c r="B288">
        <f t="shared" si="243"/>
        <v>370</v>
      </c>
      <c r="C288">
        <f t="shared" si="212"/>
        <v>1.0894849154506354</v>
      </c>
      <c r="D288">
        <f t="shared" si="213"/>
        <v>0.40812920456950535</v>
      </c>
      <c r="F288">
        <f t="shared" si="214"/>
        <v>3.2683486801928113E-3</v>
      </c>
      <c r="G288">
        <f t="shared" si="215"/>
        <v>1.7579776053943067E-2</v>
      </c>
      <c r="H288">
        <f t="shared" si="216"/>
        <v>-3.1240128739460573</v>
      </c>
      <c r="J288">
        <f t="shared" si="217"/>
        <v>9</v>
      </c>
      <c r="M288">
        <f t="shared" si="218"/>
        <v>1.1407353753433666E-2</v>
      </c>
      <c r="N288">
        <f t="shared" si="219"/>
        <v>-1.5707963250000001</v>
      </c>
      <c r="O288">
        <f t="shared" si="220"/>
        <v>47.594074255768248</v>
      </c>
      <c r="P288">
        <f t="shared" si="221"/>
        <v>1.5497837615246979</v>
      </c>
      <c r="Q288">
        <f t="shared" si="222"/>
        <v>19.454473657444034</v>
      </c>
      <c r="R288">
        <f t="shared" si="223"/>
        <v>1.5193716054704556</v>
      </c>
      <c r="S288">
        <f t="shared" si="224"/>
        <v>0.97029470182991073</v>
      </c>
      <c r="T288">
        <f t="shared" si="225"/>
        <v>-0.24435032985823746</v>
      </c>
      <c r="U288">
        <f t="shared" si="226"/>
        <v>0.9320754890086026</v>
      </c>
      <c r="V288">
        <f t="shared" si="227"/>
        <v>-0.37069585220722345</v>
      </c>
      <c r="X288">
        <f t="shared" si="244"/>
        <v>-10.281917202654681</v>
      </c>
      <c r="Y288">
        <f t="shared" si="228"/>
        <v>-104.99857316015641</v>
      </c>
      <c r="Z288">
        <f t="shared" si="245"/>
        <v>75.001426839843589</v>
      </c>
      <c r="AC288">
        <v>1</v>
      </c>
      <c r="AD288">
        <f t="shared" si="229"/>
        <v>47.583567586548007</v>
      </c>
      <c r="AE288">
        <f t="shared" si="230"/>
        <v>-6.1947904357416742E-4</v>
      </c>
      <c r="AF288">
        <f t="shared" si="231"/>
        <v>1.5938681814216E-3</v>
      </c>
      <c r="AG288">
        <f t="shared" si="246"/>
        <v>25724.377725830898</v>
      </c>
      <c r="AH288">
        <f t="shared" si="247"/>
        <v>-10625.541752789788</v>
      </c>
      <c r="AJ288">
        <f t="shared" si="232"/>
        <v>55000</v>
      </c>
      <c r="AK288">
        <f t="shared" si="233"/>
        <v>13713.28753669875</v>
      </c>
      <c r="AL288">
        <v>1</v>
      </c>
      <c r="AM288">
        <f t="shared" si="234"/>
        <v>19.428755628917251</v>
      </c>
      <c r="AN288">
        <f t="shared" si="248"/>
        <v>849.27881640551402</v>
      </c>
      <c r="AO288">
        <f t="shared" si="249"/>
        <v>-2787.1430480600607</v>
      </c>
      <c r="AQ288">
        <f t="shared" si="235"/>
        <v>8.3162160735040513E-2</v>
      </c>
      <c r="AR288">
        <f t="shared" si="236"/>
        <v>-16.21578972172555</v>
      </c>
      <c r="AT288">
        <f t="shared" si="261"/>
        <v>-170162.25590740988</v>
      </c>
      <c r="AU288">
        <f t="shared" si="262"/>
        <v>-418024.74293545674</v>
      </c>
      <c r="AV288">
        <f t="shared" si="250"/>
        <v>-1.9573763211066355</v>
      </c>
      <c r="AW288">
        <f t="shared" si="251"/>
        <v>-19999.064670655578</v>
      </c>
      <c r="AX288">
        <f t="shared" si="252"/>
        <v>-42459.761299022815</v>
      </c>
      <c r="AY288">
        <f t="shared" si="260"/>
        <v>-2.0109859339484011</v>
      </c>
      <c r="BA288">
        <f t="shared" si="237"/>
        <v>9.6163099132932288</v>
      </c>
      <c r="BB288">
        <f t="shared" si="253"/>
        <v>19.660169025503279</v>
      </c>
      <c r="BC288">
        <f t="shared" si="254"/>
        <v>5.3609612841765575E-2</v>
      </c>
      <c r="BD288">
        <f t="shared" si="238"/>
        <v>-176.92839543932666</v>
      </c>
      <c r="BF288">
        <f t="shared" si="239"/>
        <v>-10.223988703156849</v>
      </c>
      <c r="BG288">
        <f t="shared" si="240"/>
        <v>-152.53706752091537</v>
      </c>
      <c r="BH288">
        <f t="shared" si="255"/>
        <v>27.462932479084628</v>
      </c>
      <c r="BI288">
        <f t="shared" si="256"/>
        <v>27.462932479084628</v>
      </c>
      <c r="BJ288">
        <f t="shared" si="241"/>
        <v>0</v>
      </c>
      <c r="BK288">
        <f t="shared" si="257"/>
        <v>0</v>
      </c>
      <c r="BM288">
        <f t="shared" si="258"/>
        <v>-29.884157728660128</v>
      </c>
      <c r="BN288">
        <f t="shared" si="242"/>
        <v>-155.60867208158871</v>
      </c>
      <c r="BQ288" s="75">
        <f t="shared" si="259"/>
        <v>36.562129825788418</v>
      </c>
      <c r="BR288" s="80"/>
      <c r="BS288" s="80"/>
      <c r="BT288" s="80">
        <v>60255.959000000003</v>
      </c>
      <c r="BU288" s="80">
        <v>2.1075200000000001</v>
      </c>
      <c r="BV288" s="80">
        <v>-133.65100000000001</v>
      </c>
      <c r="BY288" s="80"/>
      <c r="BZ288" s="80"/>
      <c r="CA288" s="80"/>
      <c r="CC288" s="80"/>
    </row>
    <row r="289" spans="1:81">
      <c r="A289">
        <f t="shared" si="211"/>
        <v>375000</v>
      </c>
      <c r="B289">
        <f t="shared" si="243"/>
        <v>375</v>
      </c>
      <c r="C289">
        <f t="shared" si="212"/>
        <v>1.0918172780311579</v>
      </c>
      <c r="D289">
        <f t="shared" si="213"/>
        <v>0.41304160067981555</v>
      </c>
      <c r="F289">
        <f t="shared" si="214"/>
        <v>3.1815109869996103E-3</v>
      </c>
      <c r="G289">
        <f t="shared" si="215"/>
        <v>1.7343922753866859E-2</v>
      </c>
      <c r="H289">
        <f t="shared" si="216"/>
        <v>-3.1242487272461332</v>
      </c>
      <c r="J289">
        <f t="shared" si="217"/>
        <v>9</v>
      </c>
      <c r="M289">
        <f t="shared" si="218"/>
        <v>1.1255255703387885E-2</v>
      </c>
      <c r="N289">
        <f t="shared" si="219"/>
        <v>-1.5707963250000001</v>
      </c>
      <c r="O289">
        <f t="shared" si="220"/>
        <v>48.23695538075718</v>
      </c>
      <c r="P289">
        <f t="shared" si="221"/>
        <v>1.5500638482423745</v>
      </c>
      <c r="Q289">
        <f t="shared" si="222"/>
        <v>19.716681946438065</v>
      </c>
      <c r="R289">
        <f t="shared" si="223"/>
        <v>1.5200560842425355</v>
      </c>
      <c r="S289">
        <f t="shared" si="224"/>
        <v>0.96952301114765826</v>
      </c>
      <c r="T289">
        <f t="shared" si="225"/>
        <v>-0.24751996797980866</v>
      </c>
      <c r="U289">
        <f t="shared" si="226"/>
        <v>0.93041577474583192</v>
      </c>
      <c r="V289">
        <f t="shared" si="227"/>
        <v>-0.37525068200020939</v>
      </c>
      <c r="X289">
        <f t="shared" si="244"/>
        <v>-10.403396582067273</v>
      </c>
      <c r="Y289">
        <f t="shared" si="228"/>
        <v>-105.11794087341546</v>
      </c>
      <c r="Z289">
        <f t="shared" si="245"/>
        <v>74.882059126584537</v>
      </c>
      <c r="AC289">
        <v>1</v>
      </c>
      <c r="AD289">
        <f t="shared" si="229"/>
        <v>48.226588770150009</v>
      </c>
      <c r="AE289">
        <f t="shared" si="230"/>
        <v>-6.363348466224784E-4</v>
      </c>
      <c r="AF289">
        <f t="shared" si="231"/>
        <v>1.6154069406300001E-3</v>
      </c>
      <c r="AG289">
        <f t="shared" si="246"/>
        <v>25632.84629031059</v>
      </c>
      <c r="AH289">
        <f t="shared" si="247"/>
        <v>-10716.2306148636</v>
      </c>
      <c r="AJ289">
        <f t="shared" si="232"/>
        <v>55000</v>
      </c>
      <c r="AK289">
        <f t="shared" si="233"/>
        <v>13898.602233140626</v>
      </c>
      <c r="AL289">
        <v>1</v>
      </c>
      <c r="AM289">
        <f t="shared" si="234"/>
        <v>19.691306380659377</v>
      </c>
      <c r="AN289">
        <f t="shared" si="248"/>
        <v>845.48864009973465</v>
      </c>
      <c r="AO289">
        <f t="shared" si="249"/>
        <v>-2750.1736204302997</v>
      </c>
      <c r="AQ289">
        <f t="shared" si="235"/>
        <v>8.095934390158524E-2</v>
      </c>
      <c r="AR289">
        <f t="shared" si="236"/>
        <v>-15.999590338550783</v>
      </c>
      <c r="AT289">
        <f t="shared" si="261"/>
        <v>-169380.08139326004</v>
      </c>
      <c r="AU289">
        <f t="shared" si="262"/>
        <v>-410982.61885568802</v>
      </c>
      <c r="AV289">
        <f t="shared" si="250"/>
        <v>-1.9617194419824209</v>
      </c>
      <c r="AW289">
        <f t="shared" si="251"/>
        <v>-18908.356106321957</v>
      </c>
      <c r="AX289">
        <f t="shared" si="252"/>
        <v>-42042.730120541877</v>
      </c>
      <c r="AY289">
        <f t="shared" si="260"/>
        <v>-1.9934351762273284</v>
      </c>
      <c r="BA289">
        <f t="shared" si="237"/>
        <v>9.6426854472201633</v>
      </c>
      <c r="BB289">
        <f t="shared" si="253"/>
        <v>19.683959998581013</v>
      </c>
      <c r="BC289">
        <f t="shared" si="254"/>
        <v>3.1715734244907479E-2</v>
      </c>
      <c r="BD289">
        <f t="shared" si="238"/>
        <v>-178.18282228153183</v>
      </c>
      <c r="BF289">
        <f t="shared" si="239"/>
        <v>-10.415522010496797</v>
      </c>
      <c r="BG289">
        <f t="shared" si="240"/>
        <v>-153.52354819707571</v>
      </c>
      <c r="BH289">
        <f t="shared" si="255"/>
        <v>26.476451802924288</v>
      </c>
      <c r="BI289">
        <f t="shared" si="256"/>
        <v>26.476451802924288</v>
      </c>
      <c r="BJ289">
        <f t="shared" si="241"/>
        <v>0</v>
      </c>
      <c r="BK289">
        <f t="shared" si="257"/>
        <v>0</v>
      </c>
      <c r="BM289">
        <f t="shared" si="258"/>
        <v>-30.099482009077811</v>
      </c>
      <c r="BN289">
        <f t="shared" si="242"/>
        <v>-155.34072591554389</v>
      </c>
      <c r="BQ289" s="75">
        <f t="shared" si="259"/>
        <v>36.585920798866155</v>
      </c>
      <c r="BR289" s="80"/>
      <c r="BS289" s="80"/>
      <c r="BT289" s="80">
        <v>61659.5</v>
      </c>
      <c r="BU289" s="80">
        <v>2.2781099999999999</v>
      </c>
      <c r="BV289" s="80">
        <v>-133.24799999999999</v>
      </c>
      <c r="BY289" s="80"/>
      <c r="BZ289" s="80"/>
      <c r="CA289" s="80"/>
      <c r="CC289" s="80"/>
    </row>
    <row r="290" spans="1:81">
      <c r="A290">
        <f t="shared" si="211"/>
        <v>380000</v>
      </c>
      <c r="B290">
        <f t="shared" si="243"/>
        <v>380</v>
      </c>
      <c r="C290">
        <f t="shared" si="212"/>
        <v>1.0941758752535495</v>
      </c>
      <c r="D290">
        <f t="shared" si="213"/>
        <v>0.41793293615683635</v>
      </c>
      <c r="F290">
        <f t="shared" si="214"/>
        <v>3.0980920030188701E-3</v>
      </c>
      <c r="G290">
        <f t="shared" si="215"/>
        <v>1.7114332693959875E-2</v>
      </c>
      <c r="H290">
        <f t="shared" si="216"/>
        <v>-3.1244783173060404</v>
      </c>
      <c r="J290">
        <f t="shared" si="217"/>
        <v>9</v>
      </c>
      <c r="M290">
        <f t="shared" si="218"/>
        <v>1.1107160233606465E-2</v>
      </c>
      <c r="N290">
        <f t="shared" si="219"/>
        <v>-1.5707963250000001</v>
      </c>
      <c r="O290">
        <f t="shared" si="220"/>
        <v>48.879840190326497</v>
      </c>
      <c r="P290">
        <f t="shared" si="221"/>
        <v>1.5503365673833986</v>
      </c>
      <c r="Q290">
        <f t="shared" si="222"/>
        <v>19.978899230445364</v>
      </c>
      <c r="R290">
        <f t="shared" si="223"/>
        <v>1.520722596147573</v>
      </c>
      <c r="S290">
        <f t="shared" si="224"/>
        <v>0.96874283763551983</v>
      </c>
      <c r="T290">
        <f t="shared" si="225"/>
        <v>-0.25068453664739448</v>
      </c>
      <c r="U290">
        <f t="shared" si="226"/>
        <v>0.92874279548484717</v>
      </c>
      <c r="V290">
        <f t="shared" si="227"/>
        <v>-0.37978922560570672</v>
      </c>
      <c r="X290">
        <f t="shared" si="244"/>
        <v>-10.523354229875688</v>
      </c>
      <c r="Y290">
        <f t="shared" si="228"/>
        <v>-105.2383843834241</v>
      </c>
      <c r="Z290">
        <f t="shared" si="245"/>
        <v>74.761615616575895</v>
      </c>
      <c r="AC290">
        <v>1</v>
      </c>
      <c r="AD290">
        <f t="shared" si="229"/>
        <v>48.869609953752004</v>
      </c>
      <c r="AE290">
        <f t="shared" si="230"/>
        <v>-6.5341690206069966E-4</v>
      </c>
      <c r="AF290">
        <f t="shared" si="231"/>
        <v>1.6369456998384E-3</v>
      </c>
      <c r="AG290">
        <f t="shared" si="246"/>
        <v>25540.748397565367</v>
      </c>
      <c r="AH290">
        <f t="shared" si="247"/>
        <v>-10805.952021496611</v>
      </c>
      <c r="AJ290">
        <f t="shared" si="232"/>
        <v>55000</v>
      </c>
      <c r="AK290">
        <f t="shared" si="233"/>
        <v>14083.916929582501</v>
      </c>
      <c r="AL290">
        <v>1</v>
      </c>
      <c r="AM290">
        <f t="shared" si="234"/>
        <v>19.953857132401502</v>
      </c>
      <c r="AN290">
        <f t="shared" si="248"/>
        <v>841.84658971810052</v>
      </c>
      <c r="AO290">
        <f t="shared" si="249"/>
        <v>-2714.1696490518984</v>
      </c>
      <c r="AQ290">
        <f t="shared" si="235"/>
        <v>7.8842904132145147E-2</v>
      </c>
      <c r="AR290">
        <f t="shared" si="236"/>
        <v>-15.789079981503386</v>
      </c>
      <c r="AT290">
        <f t="shared" si="261"/>
        <v>-168602.33396632571</v>
      </c>
      <c r="AU290">
        <f t="shared" si="262"/>
        <v>-404116.89187590143</v>
      </c>
      <c r="AV290">
        <f t="shared" si="250"/>
        <v>-1.9660518448770394</v>
      </c>
      <c r="AW290">
        <f t="shared" si="251"/>
        <v>-17864.089408677293</v>
      </c>
      <c r="AX290">
        <f t="shared" si="252"/>
        <v>-41640.525083750152</v>
      </c>
      <c r="AY290">
        <f t="shared" si="260"/>
        <v>-1.9760562946528422</v>
      </c>
      <c r="BA290">
        <f t="shared" si="237"/>
        <v>9.6639012586865096</v>
      </c>
      <c r="BB290">
        <f t="shared" si="253"/>
        <v>19.703049677555487</v>
      </c>
      <c r="BC290">
        <f t="shared" si="254"/>
        <v>1.0004449775802726E-2</v>
      </c>
      <c r="BD290">
        <f t="shared" si="238"/>
        <v>-179.4267872508409</v>
      </c>
      <c r="BF290">
        <f t="shared" si="239"/>
        <v>-10.608471217744</v>
      </c>
      <c r="BG290">
        <f t="shared" si="240"/>
        <v>-154.50041482851449</v>
      </c>
      <c r="BH290">
        <f t="shared" si="255"/>
        <v>25.499585171485506</v>
      </c>
      <c r="BI290">
        <f t="shared" si="256"/>
        <v>25.499585171485506</v>
      </c>
      <c r="BJ290">
        <f t="shared" si="241"/>
        <v>0</v>
      </c>
      <c r="BK290">
        <f t="shared" si="257"/>
        <v>0</v>
      </c>
      <c r="BM290">
        <f t="shared" si="258"/>
        <v>-30.311520895299488</v>
      </c>
      <c r="BN290">
        <f t="shared" si="242"/>
        <v>-155.07362757767359</v>
      </c>
      <c r="BQ290" s="75">
        <f t="shared" si="259"/>
        <v>36.605010477840622</v>
      </c>
      <c r="BR290" s="80"/>
      <c r="BS290" s="80"/>
      <c r="BT290" s="80">
        <v>63095.733999999997</v>
      </c>
      <c r="BU290" s="80">
        <v>2.4499300000000002</v>
      </c>
      <c r="BV290" s="80">
        <v>-132.86600000000001</v>
      </c>
      <c r="BY290" s="80"/>
      <c r="BZ290" s="80"/>
      <c r="CA290" s="80"/>
      <c r="CC290" s="80"/>
    </row>
    <row r="291" spans="1:81">
      <c r="A291">
        <f t="shared" si="211"/>
        <v>385000</v>
      </c>
      <c r="B291">
        <f t="shared" si="243"/>
        <v>385</v>
      </c>
      <c r="C291">
        <f t="shared" si="212"/>
        <v>1.0965605378331793</v>
      </c>
      <c r="D291">
        <f t="shared" si="213"/>
        <v>0.42280311360566158</v>
      </c>
      <c r="F291">
        <f t="shared" si="214"/>
        <v>3.0179144339746783E-3</v>
      </c>
      <c r="G291">
        <f t="shared" si="215"/>
        <v>1.6890758956264879E-2</v>
      </c>
      <c r="H291">
        <f t="shared" si="216"/>
        <v>-3.1247018910437352</v>
      </c>
      <c r="J291">
        <f t="shared" si="217"/>
        <v>9</v>
      </c>
      <c r="M291">
        <f t="shared" si="218"/>
        <v>1.0962911399403785E-2</v>
      </c>
      <c r="N291">
        <f t="shared" si="219"/>
        <v>-1.5707963250000001</v>
      </c>
      <c r="O291">
        <f t="shared" si="220"/>
        <v>49.522728540980843</v>
      </c>
      <c r="P291">
        <f t="shared" si="221"/>
        <v>1.5506022058370195</v>
      </c>
      <c r="Q291">
        <f t="shared" si="222"/>
        <v>20.241125159883396</v>
      </c>
      <c r="R291">
        <f t="shared" si="223"/>
        <v>1.5213718388695843</v>
      </c>
      <c r="S291">
        <f t="shared" si="224"/>
        <v>0.9679542485757846</v>
      </c>
      <c r="T291">
        <f t="shared" si="225"/>
        <v>-0.25384398478317566</v>
      </c>
      <c r="U291">
        <f t="shared" si="226"/>
        <v>0.92705682884939755</v>
      </c>
      <c r="V291">
        <f t="shared" si="227"/>
        <v>-0.38431138424983508</v>
      </c>
      <c r="X291">
        <f t="shared" si="244"/>
        <v>-10.641832968927982</v>
      </c>
      <c r="Y291">
        <f t="shared" si="228"/>
        <v>-105.35985842009354</v>
      </c>
      <c r="Z291">
        <f t="shared" si="245"/>
        <v>74.640141579906455</v>
      </c>
      <c r="AC291">
        <v>1</v>
      </c>
      <c r="AD291">
        <f t="shared" si="229"/>
        <v>49.512631137354006</v>
      </c>
      <c r="AE291">
        <f t="shared" si="230"/>
        <v>-6.7072520988883087E-4</v>
      </c>
      <c r="AF291">
        <f t="shared" si="231"/>
        <v>1.6584844590467999E-3</v>
      </c>
      <c r="AG291">
        <f t="shared" si="246"/>
        <v>25448.103232053938</v>
      </c>
      <c r="AH291">
        <f t="shared" si="247"/>
        <v>-10894.696228855129</v>
      </c>
      <c r="AJ291">
        <f t="shared" si="232"/>
        <v>55000</v>
      </c>
      <c r="AK291">
        <f t="shared" si="233"/>
        <v>14269.231626024377</v>
      </c>
      <c r="AL291">
        <v>1</v>
      </c>
      <c r="AM291">
        <f t="shared" si="234"/>
        <v>20.216407884143628</v>
      </c>
      <c r="AN291">
        <f t="shared" si="248"/>
        <v>838.34505212203794</v>
      </c>
      <c r="AO291">
        <f t="shared" si="249"/>
        <v>-2679.0938953283917</v>
      </c>
      <c r="AQ291">
        <f t="shared" si="235"/>
        <v>7.6808383756056531E-2</v>
      </c>
      <c r="AR291">
        <f t="shared" si="236"/>
        <v>-15.58403702218509</v>
      </c>
      <c r="AT291">
        <f t="shared" si="261"/>
        <v>-167828.72169702727</v>
      </c>
      <c r="AU291">
        <f t="shared" si="262"/>
        <v>-397420.98692156817</v>
      </c>
      <c r="AV291">
        <f t="shared" si="250"/>
        <v>-1.9703732142303825</v>
      </c>
      <c r="AW291">
        <f t="shared" si="251"/>
        <v>-16863.887928210599</v>
      </c>
      <c r="AX291">
        <f t="shared" si="252"/>
        <v>-41252.395873464237</v>
      </c>
      <c r="AY291">
        <f t="shared" si="260"/>
        <v>-1.958863915468144</v>
      </c>
      <c r="BA291">
        <f t="shared" si="237"/>
        <v>9.6800732426149896</v>
      </c>
      <c r="BB291">
        <f t="shared" si="253"/>
        <v>19.717572866711656</v>
      </c>
      <c r="BC291">
        <f t="shared" si="254"/>
        <v>-1.1509298762238496E-2</v>
      </c>
      <c r="BD291">
        <f t="shared" si="238"/>
        <v>-180.65943424498491</v>
      </c>
      <c r="BF291">
        <f t="shared" si="239"/>
        <v>-10.80278624510999</v>
      </c>
      <c r="BG291">
        <f t="shared" si="240"/>
        <v>-155.46683104063669</v>
      </c>
      <c r="BH291">
        <f t="shared" si="255"/>
        <v>24.533168959363309</v>
      </c>
      <c r="BI291">
        <f t="shared" si="256"/>
        <v>24.533168959363309</v>
      </c>
      <c r="BJ291">
        <f t="shared" si="241"/>
        <v>0</v>
      </c>
      <c r="BK291">
        <f t="shared" si="257"/>
        <v>0</v>
      </c>
      <c r="BM291">
        <f t="shared" si="258"/>
        <v>-30.520359111821648</v>
      </c>
      <c r="BN291">
        <f t="shared" si="242"/>
        <v>-154.80739679565181</v>
      </c>
      <c r="BQ291" s="75">
        <f t="shared" si="259"/>
        <v>36.619533666996794</v>
      </c>
      <c r="BR291" s="80"/>
      <c r="BS291" s="80"/>
      <c r="BT291" s="80">
        <v>64565.423000000003</v>
      </c>
      <c r="BU291" s="80">
        <v>2.6258699999999999</v>
      </c>
      <c r="BV291" s="80">
        <v>-132.49799999999999</v>
      </c>
      <c r="BY291" s="80"/>
      <c r="BZ291" s="80"/>
      <c r="CA291" s="80"/>
      <c r="CC291" s="80"/>
    </row>
    <row r="292" spans="1:81">
      <c r="A292">
        <f t="shared" si="211"/>
        <v>390000</v>
      </c>
      <c r="B292">
        <f t="shared" si="243"/>
        <v>390</v>
      </c>
      <c r="C292">
        <f t="shared" si="212"/>
        <v>1.0989710960920345</v>
      </c>
      <c r="D292">
        <f t="shared" si="213"/>
        <v>0.42765204048665478</v>
      </c>
      <c r="F292">
        <f t="shared" si="214"/>
        <v>2.9408123417865818E-3</v>
      </c>
      <c r="G292">
        <f t="shared" si="215"/>
        <v>1.6672967468361159E-2</v>
      </c>
      <c r="H292">
        <f t="shared" si="216"/>
        <v>-3.124919682531639</v>
      </c>
      <c r="J292">
        <f t="shared" si="217"/>
        <v>9</v>
      </c>
      <c r="M292">
        <f t="shared" si="218"/>
        <v>1.0822361253257581E-2</v>
      </c>
      <c r="N292">
        <f t="shared" si="219"/>
        <v>-1.5707963250000001</v>
      </c>
      <c r="O292">
        <f t="shared" si="220"/>
        <v>50.16562029657981</v>
      </c>
      <c r="P292">
        <f t="shared" si="221"/>
        <v>1.5508610357902204</v>
      </c>
      <c r="Q292">
        <f t="shared" si="222"/>
        <v>20.503359403042218</v>
      </c>
      <c r="R292">
        <f t="shared" si="223"/>
        <v>1.5220044744595949</v>
      </c>
      <c r="S292">
        <f t="shared" si="224"/>
        <v>0.9671573116751051</v>
      </c>
      <c r="T292">
        <f t="shared" si="225"/>
        <v>-0.25699826188339148</v>
      </c>
      <c r="U292">
        <f t="shared" si="226"/>
        <v>0.92535815173482061</v>
      </c>
      <c r="V292">
        <f t="shared" si="227"/>
        <v>-0.3888170625510397</v>
      </c>
      <c r="X292">
        <f t="shared" si="244"/>
        <v>-10.758873911542546</v>
      </c>
      <c r="Y292">
        <f t="shared" si="228"/>
        <v>-105.48231981040826</v>
      </c>
      <c r="Z292">
        <f t="shared" si="245"/>
        <v>74.517680189591744</v>
      </c>
      <c r="AC292">
        <v>1</v>
      </c>
      <c r="AD292">
        <f t="shared" si="229"/>
        <v>50.155652320956001</v>
      </c>
      <c r="AE292">
        <f t="shared" si="230"/>
        <v>-6.8825977010687257E-4</v>
      </c>
      <c r="AF292">
        <f t="shared" si="231"/>
        <v>1.6800232182552003E-3</v>
      </c>
      <c r="AG292">
        <f t="shared" si="246"/>
        <v>25354.929857839841</v>
      </c>
      <c r="AH292">
        <f t="shared" si="247"/>
        <v>-10982.45428667046</v>
      </c>
      <c r="AJ292">
        <f t="shared" si="232"/>
        <v>55000</v>
      </c>
      <c r="AK292">
        <f t="shared" si="233"/>
        <v>14454.546322466253</v>
      </c>
      <c r="AL292">
        <v>1</v>
      </c>
      <c r="AM292">
        <f t="shared" si="234"/>
        <v>20.47895863588575</v>
      </c>
      <c r="AN292">
        <f t="shared" si="248"/>
        <v>834.97689669023498</v>
      </c>
      <c r="AO292">
        <f t="shared" si="249"/>
        <v>-2644.9110067733204</v>
      </c>
      <c r="AQ292">
        <f t="shared" si="235"/>
        <v>7.4851608993213928E-2</v>
      </c>
      <c r="AR292">
        <f t="shared" si="236"/>
        <v>-15.384251196375258</v>
      </c>
      <c r="AT292">
        <f t="shared" si="261"/>
        <v>-167058.97820307722</v>
      </c>
      <c r="AU292">
        <f t="shared" si="262"/>
        <v>-390888.66437353502</v>
      </c>
      <c r="AV292">
        <f t="shared" si="250"/>
        <v>-1.9746832489820527</v>
      </c>
      <c r="AW292">
        <f t="shared" si="251"/>
        <v>-15905.52454973802</v>
      </c>
      <c r="AX292">
        <f t="shared" si="252"/>
        <v>-40877.638981919779</v>
      </c>
      <c r="AY292">
        <f t="shared" si="260"/>
        <v>-1.9418717288882312</v>
      </c>
      <c r="BA292">
        <f t="shared" si="237"/>
        <v>9.6913313508401213</v>
      </c>
      <c r="BB292">
        <f t="shared" si="253"/>
        <v>19.727668850832437</v>
      </c>
      <c r="BC292">
        <f t="shared" si="254"/>
        <v>-3.2811520093821489E-2</v>
      </c>
      <c r="BD292">
        <f t="shared" si="238"/>
        <v>-181.87996162293283</v>
      </c>
      <c r="BF292">
        <f t="shared" si="239"/>
        <v>-10.998409308951974</v>
      </c>
      <c r="BG292">
        <f t="shared" si="240"/>
        <v>-156.42201390590375</v>
      </c>
      <c r="BH292">
        <f t="shared" si="255"/>
        <v>23.577986094096246</v>
      </c>
      <c r="BI292">
        <f t="shared" si="256"/>
        <v>23.577986094096246</v>
      </c>
      <c r="BJ292">
        <f t="shared" si="241"/>
        <v>0</v>
      </c>
      <c r="BK292">
        <f t="shared" si="257"/>
        <v>0</v>
      </c>
      <c r="BM292">
        <f t="shared" si="258"/>
        <v>-30.726078159784414</v>
      </c>
      <c r="BN292">
        <f t="shared" si="242"/>
        <v>-154.5420522829709</v>
      </c>
      <c r="BQ292" s="75">
        <f t="shared" si="259"/>
        <v>36.629629651117575</v>
      </c>
      <c r="BR292" s="80"/>
      <c r="BS292" s="80"/>
      <c r="BT292" s="80">
        <v>66069.345000000001</v>
      </c>
      <c r="BU292" s="80">
        <v>2.7940900000000002</v>
      </c>
      <c r="BV292" s="80">
        <v>-132.279</v>
      </c>
      <c r="BY292" s="80"/>
      <c r="BZ292" s="80"/>
      <c r="CA292" s="80"/>
      <c r="CC292" s="80"/>
    </row>
    <row r="293" spans="1:81">
      <c r="A293">
        <f t="shared" si="211"/>
        <v>395000</v>
      </c>
      <c r="B293">
        <f t="shared" si="243"/>
        <v>395</v>
      </c>
      <c r="C293">
        <f t="shared" si="212"/>
        <v>1.1014073800030033</v>
      </c>
      <c r="D293">
        <f t="shared" si="213"/>
        <v>0.43247962906295428</v>
      </c>
      <c r="F293">
        <f t="shared" si="214"/>
        <v>2.8666302819843601E-3</v>
      </c>
      <c r="G293">
        <f t="shared" si="215"/>
        <v>1.6460736176627334E-2</v>
      </c>
      <c r="H293">
        <f t="shared" si="216"/>
        <v>-3.1251319138233731</v>
      </c>
      <c r="J293">
        <f t="shared" si="217"/>
        <v>9</v>
      </c>
      <c r="M293">
        <f t="shared" si="218"/>
        <v>1.0685369338659384E-2</v>
      </c>
      <c r="N293">
        <f t="shared" si="219"/>
        <v>-1.5707963250000001</v>
      </c>
      <c r="O293">
        <f t="shared" si="220"/>
        <v>50.80851532787279</v>
      </c>
      <c r="P293">
        <f t="shared" si="221"/>
        <v>1.5511133156574981</v>
      </c>
      <c r="Q293">
        <f t="shared" si="222"/>
        <v>20.765601644957346</v>
      </c>
      <c r="R293">
        <f t="shared" si="223"/>
        <v>1.5226211315800739</v>
      </c>
      <c r="S293">
        <f t="shared" si="224"/>
        <v>0.96635209504990982</v>
      </c>
      <c r="T293">
        <f t="shared" si="225"/>
        <v>-0.26014731802104224</v>
      </c>
      <c r="U293">
        <f t="shared" si="226"/>
        <v>0.92364704021549759</v>
      </c>
      <c r="V293">
        <f t="shared" si="227"/>
        <v>-0.39330616849812949</v>
      </c>
      <c r="X293">
        <f t="shared" si="244"/>
        <v>-10.874516549462047</v>
      </c>
      <c r="Y293">
        <f t="shared" si="228"/>
        <v>-105.60572734582991</v>
      </c>
      <c r="Z293">
        <f t="shared" si="245"/>
        <v>74.394272654170095</v>
      </c>
      <c r="AC293">
        <v>1</v>
      </c>
      <c r="AD293">
        <f t="shared" si="229"/>
        <v>50.79867350455801</v>
      </c>
      <c r="AE293">
        <f t="shared" si="230"/>
        <v>-7.0602058271482444E-4</v>
      </c>
      <c r="AF293">
        <f t="shared" si="231"/>
        <v>1.7015619774636002E-3</v>
      </c>
      <c r="AG293">
        <f t="shared" si="246"/>
        <v>25261.247211785969</v>
      </c>
      <c r="AH293">
        <f t="shared" si="247"/>
        <v>-11069.218004415172</v>
      </c>
      <c r="AJ293">
        <f t="shared" si="232"/>
        <v>55000</v>
      </c>
      <c r="AK293">
        <f t="shared" si="233"/>
        <v>14639.861018908128</v>
      </c>
      <c r="AL293">
        <v>1</v>
      </c>
      <c r="AM293">
        <f t="shared" si="234"/>
        <v>20.741509387627879</v>
      </c>
      <c r="AN293">
        <f t="shared" si="248"/>
        <v>831.73543910841988</v>
      </c>
      <c r="AO293">
        <f t="shared" si="249"/>
        <v>-2611.5873993819591</v>
      </c>
      <c r="AQ293">
        <f t="shared" si="235"/>
        <v>7.29686685316073E-2</v>
      </c>
      <c r="AR293">
        <f t="shared" si="236"/>
        <v>-15.189522884882033</v>
      </c>
      <c r="AT293">
        <f t="shared" si="261"/>
        <v>-166292.86062132067</v>
      </c>
      <c r="AU293">
        <f t="shared" si="262"/>
        <v>-384513.99872355373</v>
      </c>
      <c r="AV293">
        <f t="shared" si="250"/>
        <v>-1.9789816618471345</v>
      </c>
      <c r="AW293">
        <f t="shared" si="251"/>
        <v>-14986.91049254368</v>
      </c>
      <c r="AX293">
        <f t="shared" si="252"/>
        <v>-40515.594164438437</v>
      </c>
      <c r="AY293">
        <f t="shared" si="260"/>
        <v>-1.9250924576994752</v>
      </c>
      <c r="BA293">
        <f t="shared" si="237"/>
        <v>9.6978181329917401</v>
      </c>
      <c r="BB293">
        <f t="shared" si="253"/>
        <v>19.73348070720337</v>
      </c>
      <c r="BC293">
        <f t="shared" si="254"/>
        <v>-5.3889204147659298E-2</v>
      </c>
      <c r="BD293">
        <f t="shared" si="238"/>
        <v>-183.08762396250791</v>
      </c>
      <c r="BF293">
        <f t="shared" si="239"/>
        <v>-11.19527577533429</v>
      </c>
      <c r="BG293">
        <f t="shared" si="240"/>
        <v>-157.36523575182608</v>
      </c>
      <c r="BH293">
        <f t="shared" si="255"/>
        <v>22.634764248173923</v>
      </c>
      <c r="BI293">
        <f t="shared" si="256"/>
        <v>22.634764248173923</v>
      </c>
      <c r="BJ293">
        <f t="shared" si="241"/>
        <v>0</v>
      </c>
      <c r="BK293">
        <f t="shared" si="257"/>
        <v>0</v>
      </c>
      <c r="BM293">
        <f t="shared" si="258"/>
        <v>-30.928756482537661</v>
      </c>
      <c r="BN293">
        <f t="shared" si="242"/>
        <v>-154.27761178931817</v>
      </c>
      <c r="BQ293" s="75">
        <f t="shared" si="259"/>
        <v>36.635441507488508</v>
      </c>
      <c r="BR293" s="80"/>
      <c r="BS293" s="80"/>
      <c r="BT293" s="80">
        <v>67608.297999999995</v>
      </c>
      <c r="BU293" s="80">
        <v>2.9581400000000002</v>
      </c>
      <c r="BV293" s="80">
        <v>-132.03399999999999</v>
      </c>
      <c r="BY293" s="80"/>
      <c r="BZ293" s="80"/>
      <c r="CA293" s="80"/>
      <c r="CC293" s="80"/>
    </row>
    <row r="294" spans="1:81">
      <c r="A294">
        <f t="shared" si="211"/>
        <v>400000</v>
      </c>
      <c r="B294">
        <f t="shared" si="243"/>
        <v>400</v>
      </c>
      <c r="C294">
        <f t="shared" si="212"/>
        <v>1.1038692192334418</v>
      </c>
      <c r="D294">
        <f t="shared" si="213"/>
        <v>0.43728579634641634</v>
      </c>
      <c r="F294">
        <f t="shared" si="214"/>
        <v>2.7952225166703705E-3</v>
      </c>
      <c r="G294">
        <f t="shared" si="215"/>
        <v>1.6253854282696677E-2</v>
      </c>
      <c r="H294">
        <f t="shared" si="216"/>
        <v>-3.1253387957173033</v>
      </c>
      <c r="J294">
        <f t="shared" si="217"/>
        <v>9</v>
      </c>
      <c r="M294">
        <f t="shared" si="218"/>
        <v>1.0551802221926143E-2</v>
      </c>
      <c r="N294">
        <f t="shared" si="219"/>
        <v>-1.5707963250000001</v>
      </c>
      <c r="O294">
        <f t="shared" si="220"/>
        <v>51.451413512068548</v>
      </c>
      <c r="P294">
        <f t="shared" si="221"/>
        <v>1.5513592909409708</v>
      </c>
      <c r="Q294">
        <f t="shared" si="222"/>
        <v>21.027851586366872</v>
      </c>
      <c r="R294">
        <f t="shared" si="223"/>
        <v>1.5232224075819623</v>
      </c>
      <c r="S294">
        <f t="shared" si="224"/>
        <v>0.96553866721183657</v>
      </c>
      <c r="T294">
        <f t="shared" si="225"/>
        <v>-0.26329110384844784</v>
      </c>
      <c r="U294">
        <f t="shared" si="226"/>
        <v>0.92192376945462617</v>
      </c>
      <c r="V294">
        <f t="shared" si="227"/>
        <v>-0.39777861342712784</v>
      </c>
      <c r="X294">
        <f t="shared" si="244"/>
        <v>-10.988798837896789</v>
      </c>
      <c r="Y294">
        <f t="shared" si="228"/>
        <v>-105.73004165967708</v>
      </c>
      <c r="Z294">
        <f t="shared" si="245"/>
        <v>74.269958340322916</v>
      </c>
      <c r="AC294">
        <v>1</v>
      </c>
      <c r="AD294">
        <f t="shared" si="229"/>
        <v>51.441694688160005</v>
      </c>
      <c r="AE294">
        <f t="shared" si="230"/>
        <v>-7.2400764771268658E-4</v>
      </c>
      <c r="AF294">
        <f t="shared" si="231"/>
        <v>1.7231007366720001E-3</v>
      </c>
      <c r="AG294">
        <f t="shared" si="246"/>
        <v>25167.074096985834</v>
      </c>
      <c r="AH294">
        <f t="shared" si="247"/>
        <v>-11154.979919452284</v>
      </c>
      <c r="AJ294">
        <f t="shared" si="232"/>
        <v>55000</v>
      </c>
      <c r="AK294">
        <f t="shared" si="233"/>
        <v>14825.17571535</v>
      </c>
      <c r="AL294">
        <v>1</v>
      </c>
      <c r="AM294">
        <f t="shared" si="234"/>
        <v>21.004060139370004</v>
      </c>
      <c r="AN294">
        <f t="shared" si="248"/>
        <v>828.61440828783691</v>
      </c>
      <c r="AO294">
        <f t="shared" si="249"/>
        <v>-2579.0911486762184</v>
      </c>
      <c r="AQ294">
        <f t="shared" si="235"/>
        <v>7.1155893967366393E-2</v>
      </c>
      <c r="AR294">
        <f t="shared" si="236"/>
        <v>-14.999662448320835</v>
      </c>
      <c r="AT294">
        <f t="shared" si="261"/>
        <v>-165530.14775366741</v>
      </c>
      <c r="AU294">
        <f t="shared" si="262"/>
        <v>-378291.35883502307</v>
      </c>
      <c r="AV294">
        <f t="shared" si="250"/>
        <v>-1.9832681786433883</v>
      </c>
      <c r="AW294">
        <f t="shared" si="251"/>
        <v>-14106.085077850788</v>
      </c>
      <c r="AX294">
        <f t="shared" si="252"/>
        <v>-40165.641211334034</v>
      </c>
      <c r="AY294">
        <f t="shared" si="260"/>
        <v>-1.9085378353136258</v>
      </c>
      <c r="BA294">
        <f t="shared" si="237"/>
        <v>9.6996872272080683</v>
      </c>
      <c r="BB294">
        <f t="shared" si="253"/>
        <v>19.735154607618391</v>
      </c>
      <c r="BC294">
        <f t="shared" si="254"/>
        <v>-7.4730343329762583E-2</v>
      </c>
      <c r="BD294">
        <f t="shared" si="238"/>
        <v>-184.28173327925163</v>
      </c>
      <c r="BF294">
        <f t="shared" si="239"/>
        <v>-11.393315012974304</v>
      </c>
      <c r="BG294">
        <f t="shared" si="240"/>
        <v>-158.29582542667231</v>
      </c>
      <c r="BH294">
        <f t="shared" si="255"/>
        <v>21.704174573327691</v>
      </c>
      <c r="BI294">
        <f t="shared" si="256"/>
        <v>21.704174573327691</v>
      </c>
      <c r="BJ294">
        <f t="shared" si="241"/>
        <v>0</v>
      </c>
      <c r="BK294">
        <f t="shared" si="257"/>
        <v>0</v>
      </c>
      <c r="BM294">
        <f t="shared" si="258"/>
        <v>-31.128469620592696</v>
      </c>
      <c r="BN294">
        <f t="shared" si="242"/>
        <v>-154.01409214742068</v>
      </c>
      <c r="BQ294" s="75">
        <f t="shared" si="259"/>
        <v>36.637115407903529</v>
      </c>
      <c r="BR294" s="80"/>
      <c r="BS294" s="80"/>
      <c r="BT294" s="80">
        <v>69183.096999999994</v>
      </c>
      <c r="BU294" s="80">
        <v>3.15646</v>
      </c>
      <c r="BV294" s="80">
        <v>-131.40799999999999</v>
      </c>
      <c r="BY294" s="80"/>
      <c r="BZ294" s="80"/>
      <c r="CA294" s="80"/>
      <c r="CC294" s="80"/>
    </row>
    <row r="295" spans="1:81">
      <c r="A295">
        <f t="shared" si="211"/>
        <v>405000</v>
      </c>
      <c r="B295">
        <f t="shared" si="243"/>
        <v>405</v>
      </c>
      <c r="C295">
        <f t="shared" si="212"/>
        <v>1.1063564431880137</v>
      </c>
      <c r="D295">
        <f t="shared" si="213"/>
        <v>0.44207046404208189</v>
      </c>
      <c r="F295">
        <f t="shared" si="214"/>
        <v>2.7264522955549233E-3</v>
      </c>
      <c r="G295">
        <f t="shared" si="215"/>
        <v>1.6052121537527816E-2</v>
      </c>
      <c r="H295">
        <f t="shared" si="216"/>
        <v>-3.1255405284624724</v>
      </c>
      <c r="J295">
        <f t="shared" si="217"/>
        <v>9</v>
      </c>
      <c r="M295">
        <f t="shared" si="218"/>
        <v>1.0421533058692487E-2</v>
      </c>
      <c r="N295">
        <f t="shared" si="219"/>
        <v>-1.5707963250000001</v>
      </c>
      <c r="O295">
        <f t="shared" si="220"/>
        <v>52.094314732436764</v>
      </c>
      <c r="P295">
        <f t="shared" si="221"/>
        <v>1.551599195026832</v>
      </c>
      <c r="Q295">
        <f t="shared" si="222"/>
        <v>21.29010894274543</v>
      </c>
      <c r="R295">
        <f t="shared" si="223"/>
        <v>1.5238088704286699</v>
      </c>
      <c r="S295">
        <f t="shared" si="224"/>
        <v>0.96471709705319486</v>
      </c>
      <c r="T295">
        <f t="shared" si="225"/>
        <v>-0.26642957059966255</v>
      </c>
      <c r="U295">
        <f t="shared" si="226"/>
        <v>0.92018861361634041</v>
      </c>
      <c r="V295">
        <f t="shared" si="227"/>
        <v>-0.40223431199697995</v>
      </c>
      <c r="X295">
        <f t="shared" si="244"/>
        <v>-11.101757274120148</v>
      </c>
      <c r="Y295">
        <f t="shared" si="228"/>
        <v>-105.85522511363006</v>
      </c>
      <c r="Z295">
        <f t="shared" si="245"/>
        <v>74.144774886369945</v>
      </c>
      <c r="AC295">
        <v>1</v>
      </c>
      <c r="AD295">
        <f t="shared" si="229"/>
        <v>52.084715871762008</v>
      </c>
      <c r="AE295">
        <f t="shared" si="230"/>
        <v>-7.4222096510045878E-4</v>
      </c>
      <c r="AF295">
        <f t="shared" si="231"/>
        <v>1.7446394958804002E-3</v>
      </c>
      <c r="AG295">
        <f t="shared" si="246"/>
        <v>25072.429176432346</v>
      </c>
      <c r="AH295">
        <f t="shared" si="247"/>
        <v>-11239.733266985941</v>
      </c>
      <c r="AJ295">
        <f t="shared" si="232"/>
        <v>55000</v>
      </c>
      <c r="AK295">
        <f t="shared" si="233"/>
        <v>15010.490411791876</v>
      </c>
      <c r="AL295">
        <v>1</v>
      </c>
      <c r="AM295">
        <f t="shared" si="234"/>
        <v>21.266610891112126</v>
      </c>
      <c r="AN295">
        <f t="shared" si="248"/>
        <v>825.60791610746435</v>
      </c>
      <c r="AO295">
        <f t="shared" si="249"/>
        <v>-2547.3918886875122</v>
      </c>
      <c r="AQ295">
        <f t="shared" si="235"/>
        <v>6.9409841924523444E-2</v>
      </c>
      <c r="AR295">
        <f t="shared" si="236"/>
        <v>-14.81448961116066</v>
      </c>
      <c r="AT295">
        <f t="shared" si="261"/>
        <v>-164770.63837018012</v>
      </c>
      <c r="AU295">
        <f t="shared" si="262"/>
        <v>-372215.38967015367</v>
      </c>
      <c r="AV295">
        <f t="shared" si="250"/>
        <v>-1.9875425376653666</v>
      </c>
      <c r="AW295">
        <f t="shared" si="251"/>
        <v>-13261.206369392254</v>
      </c>
      <c r="AX295">
        <f t="shared" si="252"/>
        <v>-39827.1970038246</v>
      </c>
      <c r="AY295">
        <f t="shared" si="260"/>
        <v>-1.8922185929910325</v>
      </c>
      <c r="BA295">
        <f t="shared" si="237"/>
        <v>9.6971018263934141</v>
      </c>
      <c r="BB295">
        <f t="shared" si="253"/>
        <v>19.732839120635759</v>
      </c>
      <c r="BC295">
        <f t="shared" si="254"/>
        <v>-9.5323944674334138E-2</v>
      </c>
      <c r="BD295">
        <f t="shared" si="238"/>
        <v>-185.46165972261878</v>
      </c>
      <c r="BF295">
        <f t="shared" si="239"/>
        <v>-11.592451236131222</v>
      </c>
      <c r="BG295">
        <f t="shared" si="240"/>
        <v>-159.21316903929298</v>
      </c>
      <c r="BH295">
        <f t="shared" si="255"/>
        <v>20.786830960707022</v>
      </c>
      <c r="BI295">
        <f t="shared" si="256"/>
        <v>20.786830960707022</v>
      </c>
      <c r="BJ295">
        <f t="shared" si="241"/>
        <v>0</v>
      </c>
      <c r="BK295">
        <f t="shared" si="257"/>
        <v>0</v>
      </c>
      <c r="BM295">
        <f t="shared" si="258"/>
        <v>-31.325290356766985</v>
      </c>
      <c r="BN295">
        <f t="shared" si="242"/>
        <v>-153.75150931667423</v>
      </c>
      <c r="BQ295" s="75">
        <f t="shared" si="259"/>
        <v>36.634799920920898</v>
      </c>
      <c r="BR295" s="80"/>
      <c r="BS295" s="80"/>
      <c r="BT295" s="80">
        <v>70794.577999999994</v>
      </c>
      <c r="BU295" s="80">
        <v>3.32565</v>
      </c>
      <c r="BV295" s="80">
        <v>-131.172</v>
      </c>
      <c r="BY295" s="80"/>
      <c r="BZ295" s="80"/>
      <c r="CA295" s="80"/>
      <c r="CC295" s="80"/>
    </row>
    <row r="296" spans="1:81">
      <c r="A296">
        <f t="shared" si="211"/>
        <v>410000</v>
      </c>
      <c r="B296">
        <f t="shared" si="243"/>
        <v>410</v>
      </c>
      <c r="C296">
        <f t="shared" si="212"/>
        <v>1.1088688810507907</v>
      </c>
      <c r="D296">
        <f t="shared" si="213"/>
        <v>0.44683355849125139</v>
      </c>
      <c r="F296">
        <f t="shared" si="214"/>
        <v>2.6601911984125742E-3</v>
      </c>
      <c r="G296">
        <f t="shared" si="215"/>
        <v>1.5855347588070574E-2</v>
      </c>
      <c r="H296">
        <f t="shared" si="216"/>
        <v>-3.1257373024119297</v>
      </c>
      <c r="J296">
        <f t="shared" si="217"/>
        <v>9</v>
      </c>
      <c r="M296">
        <f t="shared" si="218"/>
        <v>1.0294441192123065E-2</v>
      </c>
      <c r="N296">
        <f t="shared" si="219"/>
        <v>-1.5707963250000001</v>
      </c>
      <c r="O296">
        <f t="shared" si="220"/>
        <v>52.737218877938631</v>
      </c>
      <c r="P296">
        <f t="shared" si="221"/>
        <v>1.5518332499235785</v>
      </c>
      <c r="Q296">
        <f t="shared" si="222"/>
        <v>21.552373443408658</v>
      </c>
      <c r="R296">
        <f t="shared" si="223"/>
        <v>1.5243810604800287</v>
      </c>
      <c r="S296">
        <f t="shared" si="224"/>
        <v>0.96388745383246144</v>
      </c>
      <c r="T296">
        <f t="shared" si="225"/>
        <v>-0.2695626700927467</v>
      </c>
      <c r="U296">
        <f t="shared" si="226"/>
        <v>0.91844184578018684</v>
      </c>
      <c r="V296">
        <f t="shared" si="227"/>
        <v>-0.40667318216415838</v>
      </c>
      <c r="X296">
        <f t="shared" si="244"/>
        <v>-11.213426971037325</v>
      </c>
      <c r="Y296">
        <f t="shared" si="228"/>
        <v>-105.98124169259044</v>
      </c>
      <c r="Z296">
        <f t="shared" si="245"/>
        <v>74.018758307409556</v>
      </c>
      <c r="AC296">
        <v>1</v>
      </c>
      <c r="AD296">
        <f t="shared" si="229"/>
        <v>52.72773705536401</v>
      </c>
      <c r="AE296">
        <f t="shared" si="230"/>
        <v>-7.6066053487814137E-4</v>
      </c>
      <c r="AF296">
        <f t="shared" si="231"/>
        <v>1.7661782550888001E-3</v>
      </c>
      <c r="AG296">
        <f t="shared" si="246"/>
        <v>24977.330966923932</v>
      </c>
      <c r="AH296">
        <f t="shared" si="247"/>
        <v>-11323.471951659372</v>
      </c>
      <c r="AJ296">
        <f t="shared" si="232"/>
        <v>55000</v>
      </c>
      <c r="AK296">
        <f t="shared" si="233"/>
        <v>15195.805108233752</v>
      </c>
      <c r="AL296">
        <v>1</v>
      </c>
      <c r="AM296">
        <f t="shared" si="234"/>
        <v>21.529161642854252</v>
      </c>
      <c r="AN296">
        <f t="shared" si="248"/>
        <v>822.71042970803387</v>
      </c>
      <c r="AO296">
        <f t="shared" si="249"/>
        <v>-2516.4607182125906</v>
      </c>
      <c r="AQ296">
        <f t="shared" si="235"/>
        <v>6.7727277691642079E-2</v>
      </c>
      <c r="AR296">
        <f t="shared" si="236"/>
        <v>-14.633832890833101</v>
      </c>
      <c r="AT296">
        <f t="shared" si="261"/>
        <v>-164014.14965422612</v>
      </c>
      <c r="AU296">
        <f t="shared" si="262"/>
        <v>-366280.99535829911</v>
      </c>
      <c r="AV296">
        <f t="shared" si="250"/>
        <v>-1.9918044891013964</v>
      </c>
      <c r="AW296">
        <f t="shared" si="251"/>
        <v>-12450.542603042373</v>
      </c>
      <c r="AX296">
        <f t="shared" si="252"/>
        <v>-39499.712825386487</v>
      </c>
      <c r="AY296">
        <f t="shared" si="260"/>
        <v>-1.8761444558083344</v>
      </c>
      <c r="BA296">
        <f t="shared" si="237"/>
        <v>9.6902331441685465</v>
      </c>
      <c r="BB296">
        <f t="shared" si="253"/>
        <v>19.726684523487581</v>
      </c>
      <c r="BC296">
        <f t="shared" si="254"/>
        <v>-0.11566003329306196</v>
      </c>
      <c r="BD296">
        <f t="shared" si="238"/>
        <v>-186.62683177360731</v>
      </c>
      <c r="BF296">
        <f t="shared" si="239"/>
        <v>-11.792604328771109</v>
      </c>
      <c r="BG296">
        <f t="shared" si="240"/>
        <v>-160.116710197445</v>
      </c>
      <c r="BH296">
        <f t="shared" si="255"/>
        <v>19.883289802554998</v>
      </c>
      <c r="BI296">
        <f t="shared" si="256"/>
        <v>19.883289802554998</v>
      </c>
      <c r="BJ296">
        <f t="shared" si="241"/>
        <v>0</v>
      </c>
      <c r="BK296">
        <f t="shared" si="257"/>
        <v>0</v>
      </c>
      <c r="BM296">
        <f t="shared" si="258"/>
        <v>-31.51928885225869</v>
      </c>
      <c r="BN296">
        <f t="shared" si="242"/>
        <v>-153.48987842383769</v>
      </c>
      <c r="BQ296" s="75">
        <f t="shared" si="259"/>
        <v>36.628645323772716</v>
      </c>
      <c r="BR296" s="80"/>
      <c r="BS296" s="80"/>
      <c r="BT296" s="80">
        <v>72443.596000000005</v>
      </c>
      <c r="BU296" s="80">
        <v>3.4992100000000002</v>
      </c>
      <c r="BV296" s="80">
        <v>-130.929</v>
      </c>
      <c r="BY296" s="80"/>
      <c r="BZ296" s="80"/>
      <c r="CA296" s="80"/>
      <c r="CC296" s="80"/>
    </row>
    <row r="297" spans="1:81">
      <c r="A297">
        <f t="shared" si="211"/>
        <v>415000</v>
      </c>
      <c r="B297">
        <f t="shared" si="243"/>
        <v>415</v>
      </c>
      <c r="C297">
        <f t="shared" si="212"/>
        <v>1.1114063618266041</v>
      </c>
      <c r="D297">
        <f t="shared" si="213"/>
        <v>0.45157501061325306</v>
      </c>
      <c r="F297">
        <f t="shared" si="214"/>
        <v>2.5963185330302721E-3</v>
      </c>
      <c r="G297">
        <f t="shared" si="215"/>
        <v>1.5663351372001266E-2</v>
      </c>
      <c r="H297">
        <f t="shared" si="216"/>
        <v>-3.125929298627999</v>
      </c>
      <c r="J297">
        <f t="shared" si="217"/>
        <v>9</v>
      </c>
      <c r="M297">
        <f t="shared" si="218"/>
        <v>1.0170411780169775E-2</v>
      </c>
      <c r="N297">
        <f t="shared" si="219"/>
        <v>-1.5707963250000001</v>
      </c>
      <c r="O297">
        <f t="shared" si="220"/>
        <v>53.380125842884247</v>
      </c>
      <c r="P297">
        <f t="shared" si="221"/>
        <v>1.5520616669469174</v>
      </c>
      <c r="Q297">
        <f t="shared" si="222"/>
        <v>21.814644830682102</v>
      </c>
      <c r="R297">
        <f t="shared" si="223"/>
        <v>1.5249394921479453</v>
      </c>
      <c r="S297">
        <f t="shared" si="224"/>
        <v>0.96304980715981081</v>
      </c>
      <c r="T297">
        <f t="shared" si="225"/>
        <v>-0.27269035473189673</v>
      </c>
      <c r="U297">
        <f t="shared" si="226"/>
        <v>0.91668373785797808</v>
      </c>
      <c r="V297">
        <f t="shared" si="227"/>
        <v>-0.41109514515620815</v>
      </c>
      <c r="X297">
        <f t="shared" si="244"/>
        <v>-11.323841726110825</v>
      </c>
      <c r="Y297">
        <f t="shared" si="228"/>
        <v>-106.10805690719891</v>
      </c>
      <c r="Z297">
        <f t="shared" si="245"/>
        <v>73.891943092801085</v>
      </c>
      <c r="AC297">
        <v>1</v>
      </c>
      <c r="AD297">
        <f t="shared" si="229"/>
        <v>53.370758238966005</v>
      </c>
      <c r="AE297">
        <f t="shared" si="230"/>
        <v>-7.7932635704573412E-4</v>
      </c>
      <c r="AF297">
        <f t="shared" si="231"/>
        <v>1.7877170142972E-3</v>
      </c>
      <c r="AG297">
        <f t="shared" si="246"/>
        <v>24881.79783320798</v>
      </c>
      <c r="AH297">
        <f t="shared" si="247"/>
        <v>-11406.19052066173</v>
      </c>
      <c r="AJ297">
        <f t="shared" si="232"/>
        <v>55000</v>
      </c>
      <c r="AK297">
        <f t="shared" si="233"/>
        <v>15381.119804675627</v>
      </c>
      <c r="AL297">
        <v>1</v>
      </c>
      <c r="AM297">
        <f t="shared" si="234"/>
        <v>21.791712394596377</v>
      </c>
      <c r="AN297">
        <f t="shared" si="248"/>
        <v>819.9167460950091</v>
      </c>
      <c r="AO297">
        <f t="shared" si="249"/>
        <v>-2486.2701137401141</v>
      </c>
      <c r="AQ297">
        <f t="shared" si="235"/>
        <v>6.6105160230010215E-2</v>
      </c>
      <c r="AR297">
        <f t="shared" si="236"/>
        <v>-14.457529068104384</v>
      </c>
      <c r="AT297">
        <f t="shared" si="261"/>
        <v>-163260.51577622871</v>
      </c>
      <c r="AU297">
        <f t="shared" si="262"/>
        <v>-360483.32349228341</v>
      </c>
      <c r="AV297">
        <f t="shared" si="250"/>
        <v>-1.9960537944897672</v>
      </c>
      <c r="AW297">
        <f t="shared" si="251"/>
        <v>-11672.46433045403</v>
      </c>
      <c r="AX297">
        <f t="shared" si="252"/>
        <v>-39182.671903197319</v>
      </c>
      <c r="AY297">
        <f t="shared" si="260"/>
        <v>-1.8603241468284213</v>
      </c>
      <c r="BA297">
        <f t="shared" si="237"/>
        <v>9.679258902620667</v>
      </c>
      <c r="BB297">
        <f t="shared" si="253"/>
        <v>19.716842132069608</v>
      </c>
      <c r="BC297">
        <f t="shared" si="254"/>
        <v>-0.13572964766134588</v>
      </c>
      <c r="BD297">
        <f t="shared" si="238"/>
        <v>-187.77673597467904</v>
      </c>
      <c r="BF297">
        <f t="shared" si="239"/>
        <v>-11.993690642254309</v>
      </c>
      <c r="BG297">
        <f t="shared" si="240"/>
        <v>-161.00594977572808</v>
      </c>
      <c r="BH297">
        <f t="shared" si="255"/>
        <v>18.994050224271916</v>
      </c>
      <c r="BI297">
        <f t="shared" si="256"/>
        <v>18.994050224271916</v>
      </c>
      <c r="BJ297">
        <f t="shared" si="241"/>
        <v>0</v>
      </c>
      <c r="BK297">
        <f t="shared" si="257"/>
        <v>0</v>
      </c>
      <c r="BM297">
        <f t="shared" si="258"/>
        <v>-31.710532774323919</v>
      </c>
      <c r="BN297">
        <f t="shared" si="242"/>
        <v>-153.22921380104904</v>
      </c>
      <c r="BQ297" s="75">
        <f t="shared" si="259"/>
        <v>36.618802932354747</v>
      </c>
      <c r="BR297" s="80"/>
      <c r="BS297" s="80"/>
      <c r="BT297" s="80">
        <v>74131.024000000005</v>
      </c>
      <c r="BU297" s="80">
        <v>3.6540400000000002</v>
      </c>
      <c r="BV297" s="80">
        <v>-130.88900000000001</v>
      </c>
      <c r="BY297" s="80"/>
      <c r="BZ297" s="80"/>
      <c r="CA297" s="80"/>
      <c r="CC297" s="80"/>
    </row>
    <row r="298" spans="1:81">
      <c r="A298">
        <f t="shared" si="211"/>
        <v>420000</v>
      </c>
      <c r="B298">
        <f t="shared" si="243"/>
        <v>420</v>
      </c>
      <c r="C298">
        <f t="shared" si="212"/>
        <v>1.1139687143816386</v>
      </c>
      <c r="D298">
        <f t="shared" si="213"/>
        <v>0.45629475584598594</v>
      </c>
      <c r="F298">
        <f t="shared" si="214"/>
        <v>2.5347207833549597E-3</v>
      </c>
      <c r="G298">
        <f t="shared" si="215"/>
        <v>1.5475960556442601E-2</v>
      </c>
      <c r="H298">
        <f t="shared" si="216"/>
        <v>-3.1261166894435575</v>
      </c>
      <c r="J298">
        <f t="shared" si="217"/>
        <v>9</v>
      </c>
      <c r="M298">
        <f t="shared" si="218"/>
        <v>1.0049335449453469E-2</v>
      </c>
      <c r="N298">
        <f t="shared" si="219"/>
        <v>-1.5707963250000001</v>
      </c>
      <c r="O298">
        <f t="shared" si="220"/>
        <v>54.023035526614308</v>
      </c>
      <c r="P298">
        <f t="shared" si="221"/>
        <v>1.5522846473557914</v>
      </c>
      <c r="Q298">
        <f t="shared" si="222"/>
        <v>22.076922859129276</v>
      </c>
      <c r="R298">
        <f t="shared" si="223"/>
        <v>1.5254846554343775</v>
      </c>
      <c r="S298">
        <f t="shared" si="224"/>
        <v>0.96220422698269403</v>
      </c>
      <c r="T298">
        <f t="shared" si="225"/>
        <v>-0.27581257750943294</v>
      </c>
      <c r="U298">
        <f t="shared" si="226"/>
        <v>0.91491456051303388</v>
      </c>
      <c r="V298">
        <f t="shared" si="227"/>
        <v>-0.41550012544427423</v>
      </c>
      <c r="X298">
        <f t="shared" si="244"/>
        <v>-11.433034085992315</v>
      </c>
      <c r="Y298">
        <f t="shared" si="228"/>
        <v>-106.23563770337942</v>
      </c>
      <c r="Z298">
        <f t="shared" si="245"/>
        <v>73.764362296620575</v>
      </c>
      <c r="AC298">
        <v>1</v>
      </c>
      <c r="AD298">
        <f t="shared" si="229"/>
        <v>54.013779422568007</v>
      </c>
      <c r="AE298">
        <f t="shared" si="230"/>
        <v>-7.9821843160323704E-4</v>
      </c>
      <c r="AF298">
        <f t="shared" si="231"/>
        <v>1.8092557735056001E-3</v>
      </c>
      <c r="AG298">
        <f t="shared" si="246"/>
        <v>24785.847982361101</v>
      </c>
      <c r="AH298">
        <f t="shared" si="247"/>
        <v>-11487.884138219224</v>
      </c>
      <c r="AJ298">
        <f t="shared" si="232"/>
        <v>55000</v>
      </c>
      <c r="AK298">
        <f t="shared" si="233"/>
        <v>15566.434501117503</v>
      </c>
      <c r="AL298">
        <v>1</v>
      </c>
      <c r="AM298">
        <f t="shared" si="234"/>
        <v>22.054263146338503</v>
      </c>
      <c r="AN298">
        <f t="shared" si="248"/>
        <v>817.22196883334368</v>
      </c>
      <c r="AO298">
        <f t="shared" si="249"/>
        <v>-2456.7938485019026</v>
      </c>
      <c r="AQ298">
        <f t="shared" si="235"/>
        <v>6.4540628423567017E-2</v>
      </c>
      <c r="AR298">
        <f t="shared" si="236"/>
        <v>-14.285422695272324</v>
      </c>
      <c r="AT298">
        <f t="shared" si="261"/>
        <v>-162509.58658398327</v>
      </c>
      <c r="AU298">
        <f t="shared" si="262"/>
        <v>-354817.75055032881</v>
      </c>
      <c r="AV298">
        <f t="shared" si="250"/>
        <v>-2.0002902262108169</v>
      </c>
      <c r="AW298">
        <f t="shared" si="251"/>
        <v>-10925.43720957434</v>
      </c>
      <c r="AX298">
        <f t="shared" si="252"/>
        <v>-38875.587157127797</v>
      </c>
      <c r="AY298">
        <f t="shared" si="260"/>
        <v>-1.8447653988362183</v>
      </c>
      <c r="BA298">
        <f t="shared" si="237"/>
        <v>9.6643618615596161</v>
      </c>
      <c r="BB298">
        <f t="shared" si="253"/>
        <v>19.703463656369692</v>
      </c>
      <c r="BC298">
        <f t="shared" si="254"/>
        <v>-0.15552482737459861</v>
      </c>
      <c r="BD298">
        <f t="shared" si="238"/>
        <v>-188.9109162282474</v>
      </c>
      <c r="BF298">
        <f t="shared" si="239"/>
        <v>-12.19562375980237</v>
      </c>
      <c r="BG298">
        <f t="shared" si="240"/>
        <v>-161.88044524963814</v>
      </c>
      <c r="BH298">
        <f t="shared" si="255"/>
        <v>18.119554750361857</v>
      </c>
      <c r="BI298">
        <f t="shared" si="256"/>
        <v>18.119554750361857</v>
      </c>
      <c r="BJ298">
        <f t="shared" si="241"/>
        <v>0</v>
      </c>
      <c r="BK298">
        <f t="shared" si="257"/>
        <v>0</v>
      </c>
      <c r="BM298">
        <f t="shared" si="258"/>
        <v>-31.899087416172058</v>
      </c>
      <c r="BN298">
        <f t="shared" si="242"/>
        <v>-152.96952902139074</v>
      </c>
      <c r="BQ298" s="75">
        <f t="shared" si="259"/>
        <v>36.605424456654831</v>
      </c>
      <c r="BR298" s="80"/>
      <c r="BS298" s="80"/>
      <c r="BT298" s="80">
        <v>75857.758000000002</v>
      </c>
      <c r="BU298" s="80">
        <v>3.8307899999999999</v>
      </c>
      <c r="BV298" s="80">
        <v>-130.62200000000001</v>
      </c>
      <c r="BY298" s="80"/>
      <c r="BZ298" s="80"/>
      <c r="CA298" s="80"/>
      <c r="CC298" s="80"/>
    </row>
    <row r="299" spans="1:81">
      <c r="A299">
        <f t="shared" si="211"/>
        <v>425000</v>
      </c>
      <c r="B299">
        <f t="shared" si="243"/>
        <v>425</v>
      </c>
      <c r="C299">
        <f t="shared" si="212"/>
        <v>1.1165557674832587</v>
      </c>
      <c r="D299">
        <f t="shared" si="213"/>
        <v>0.46099273408532115</v>
      </c>
      <c r="F299">
        <f t="shared" si="214"/>
        <v>2.4752911031098185E-3</v>
      </c>
      <c r="G299">
        <f t="shared" si="215"/>
        <v>1.5293011016975859E-2</v>
      </c>
      <c r="H299">
        <f t="shared" si="216"/>
        <v>-3.1262996389830242</v>
      </c>
      <c r="J299">
        <f t="shared" si="217"/>
        <v>9</v>
      </c>
      <c r="M299">
        <f t="shared" si="218"/>
        <v>9.9311079735775465E-3</v>
      </c>
      <c r="N299">
        <f t="shared" si="219"/>
        <v>-1.5707963250000001</v>
      </c>
      <c r="O299">
        <f t="shared" si="220"/>
        <v>54.665947833204413</v>
      </c>
      <c r="P299">
        <f t="shared" si="221"/>
        <v>1.5525023829435458</v>
      </c>
      <c r="Q299">
        <f t="shared" si="222"/>
        <v>22.339207294834001</v>
      </c>
      <c r="R299">
        <f t="shared" si="223"/>
        <v>1.5260170173612779</v>
      </c>
      <c r="S299">
        <f t="shared" si="224"/>
        <v>0.96135078357146053</v>
      </c>
      <c r="T299">
        <f t="shared" si="225"/>
        <v>-0.27892929200764693</v>
      </c>
      <c r="U299">
        <f t="shared" si="226"/>
        <v>0.91313458308181672</v>
      </c>
      <c r="V299">
        <f t="shared" si="227"/>
        <v>-0.41988805071465368</v>
      </c>
      <c r="X299">
        <f t="shared" si="244"/>
        <v>-11.541035407180235</v>
      </c>
      <c r="Y299">
        <f t="shared" si="228"/>
        <v>-106.36395237833665</v>
      </c>
      <c r="Z299">
        <f t="shared" si="245"/>
        <v>73.636047621663351</v>
      </c>
      <c r="AC299">
        <v>1</v>
      </c>
      <c r="AD299">
        <f t="shared" si="229"/>
        <v>54.656800606170002</v>
      </c>
      <c r="AE299">
        <f t="shared" si="230"/>
        <v>-8.1733675855065013E-4</v>
      </c>
      <c r="AF299">
        <f t="shared" si="231"/>
        <v>1.830794532714E-3</v>
      </c>
      <c r="AG299">
        <f t="shared" si="246"/>
        <v>24689.499458405302</v>
      </c>
      <c r="AH299">
        <f t="shared" si="247"/>
        <v>-11568.548561358211</v>
      </c>
      <c r="AJ299">
        <f t="shared" si="232"/>
        <v>55000</v>
      </c>
      <c r="AK299">
        <f t="shared" si="233"/>
        <v>15751.749197559377</v>
      </c>
      <c r="AL299">
        <v>1</v>
      </c>
      <c r="AM299">
        <f t="shared" si="234"/>
        <v>22.316813898080628</v>
      </c>
      <c r="AN299">
        <f t="shared" si="248"/>
        <v>814.62148663954849</v>
      </c>
      <c r="AO299">
        <f t="shared" si="249"/>
        <v>-2428.0069171532009</v>
      </c>
      <c r="AQ299">
        <f t="shared" si="235"/>
        <v>6.3030988454397863E-2</v>
      </c>
      <c r="AR299">
        <f t="shared" si="236"/>
        <v>-14.117365639073761</v>
      </c>
      <c r="AT299">
        <f t="shared" si="261"/>
        <v>-161761.22639876697</v>
      </c>
      <c r="AU299">
        <f t="shared" si="262"/>
        <v>-349279.86835082638</v>
      </c>
      <c r="AV299">
        <f t="shared" si="250"/>
        <v>-2.0045135670119159</v>
      </c>
      <c r="AW299">
        <f t="shared" si="251"/>
        <v>-10208.015381922294</v>
      </c>
      <c r="AX299">
        <f t="shared" si="252"/>
        <v>-38577.999136211511</v>
      </c>
      <c r="AY299">
        <f t="shared" si="260"/>
        <v>-1.8294749729330029</v>
      </c>
      <c r="BA299">
        <f t="shared" si="237"/>
        <v>9.6457284063437463</v>
      </c>
      <c r="BB299">
        <f t="shared" si="253"/>
        <v>19.686700587572986</v>
      </c>
      <c r="BC299">
        <f t="shared" si="254"/>
        <v>-0.17503859407891298</v>
      </c>
      <c r="BD299">
        <f t="shared" si="238"/>
        <v>-190.02897270408508</v>
      </c>
      <c r="BF299">
        <f t="shared" si="239"/>
        <v>-12.398315222069629</v>
      </c>
      <c r="BG299">
        <f t="shared" si="240"/>
        <v>-162.73980963629731</v>
      </c>
      <c r="BH299">
        <f t="shared" si="255"/>
        <v>17.260190363702691</v>
      </c>
      <c r="BI299">
        <f t="shared" si="256"/>
        <v>17.260190363702691</v>
      </c>
      <c r="BJ299">
        <f t="shared" si="241"/>
        <v>0</v>
      </c>
      <c r="BK299">
        <f t="shared" si="257"/>
        <v>0</v>
      </c>
      <c r="BM299">
        <f t="shared" si="258"/>
        <v>-32.085015809642613</v>
      </c>
      <c r="BN299">
        <f t="shared" si="242"/>
        <v>-152.71083693221226</v>
      </c>
      <c r="BQ299" s="75">
        <f t="shared" si="259"/>
        <v>36.588661387858124</v>
      </c>
      <c r="BR299" s="80"/>
      <c r="BS299" s="80"/>
      <c r="BT299" s="80">
        <v>77624.712</v>
      </c>
      <c r="BU299" s="80">
        <v>4.0309799999999996</v>
      </c>
      <c r="BV299" s="80">
        <v>-130.36099999999999</v>
      </c>
      <c r="BY299" s="80"/>
      <c r="BZ299" s="80"/>
      <c r="CA299" s="80"/>
      <c r="CC299" s="80"/>
    </row>
    <row r="300" spans="1:81">
      <c r="A300">
        <f t="shared" ref="A300:A363" si="263">A299+5000</f>
        <v>430000</v>
      </c>
      <c r="B300">
        <f t="shared" si="243"/>
        <v>430</v>
      </c>
      <c r="C300">
        <f t="shared" si="212"/>
        <v>1.1191673498390635</v>
      </c>
      <c r="D300">
        <f t="shared" si="213"/>
        <v>0.46566888962344116</v>
      </c>
      <c r="F300">
        <f t="shared" si="214"/>
        <v>2.4179288506444188E-3</v>
      </c>
      <c r="G300">
        <f t="shared" si="215"/>
        <v>1.51143463536039E-2</v>
      </c>
      <c r="H300">
        <f t="shared" si="216"/>
        <v>-3.1264783036463961</v>
      </c>
      <c r="J300">
        <f t="shared" si="217"/>
        <v>9</v>
      </c>
      <c r="M300">
        <f t="shared" si="218"/>
        <v>9.8156299738847829E-3</v>
      </c>
      <c r="N300">
        <f t="shared" si="219"/>
        <v>-1.5707963250000001</v>
      </c>
      <c r="O300">
        <f t="shared" si="220"/>
        <v>55.3088626711899</v>
      </c>
      <c r="P300">
        <f t="shared" si="221"/>
        <v>1.5527150565878822</v>
      </c>
      <c r="Q300">
        <f t="shared" si="222"/>
        <v>22.601497914732672</v>
      </c>
      <c r="R300">
        <f t="shared" si="223"/>
        <v>1.5265370233012463</v>
      </c>
      <c r="S300">
        <f t="shared" si="224"/>
        <v>0.96048954750503623</v>
      </c>
      <c r="T300">
        <f t="shared" si="225"/>
        <v>-0.28204045240050996</v>
      </c>
      <c r="U300">
        <f t="shared" si="226"/>
        <v>0.91134407349796986</v>
      </c>
      <c r="V300">
        <f t="shared" si="227"/>
        <v>-0.42425885183941292</v>
      </c>
      <c r="X300">
        <f t="shared" si="244"/>
        <v>-11.647875912994776</v>
      </c>
      <c r="Y300">
        <f t="shared" si="228"/>
        <v>-106.49297050248538</v>
      </c>
      <c r="Z300">
        <f t="shared" si="245"/>
        <v>73.507029497514623</v>
      </c>
      <c r="AC300">
        <v>1</v>
      </c>
      <c r="AD300">
        <f t="shared" si="229"/>
        <v>55.299821789772004</v>
      </c>
      <c r="AE300">
        <f t="shared" si="230"/>
        <v>-8.3668133788797317E-4</v>
      </c>
      <c r="AF300">
        <f t="shared" si="231"/>
        <v>1.8523332919223999E-3</v>
      </c>
      <c r="AG300">
        <f t="shared" si="246"/>
        <v>24592.770137159161</v>
      </c>
      <c r="AH300">
        <f t="shared" si="247"/>
        <v>-11648.180116839158</v>
      </c>
      <c r="AJ300">
        <f t="shared" si="232"/>
        <v>55000</v>
      </c>
      <c r="AK300">
        <f t="shared" si="233"/>
        <v>15937.063894001252</v>
      </c>
      <c r="AL300">
        <v>1</v>
      </c>
      <c r="AM300">
        <f t="shared" si="234"/>
        <v>22.579364649822754</v>
      </c>
      <c r="AN300">
        <f t="shared" si="248"/>
        <v>812.11095369668419</v>
      </c>
      <c r="AO300">
        <f t="shared" si="249"/>
        <v>-2399.8854656315002</v>
      </c>
      <c r="AQ300">
        <f t="shared" si="235"/>
        <v>6.1573702199716217E-2</v>
      </c>
      <c r="AR300">
        <f t="shared" si="236"/>
        <v>-13.953216655477691</v>
      </c>
      <c r="AT300">
        <f t="shared" si="261"/>
        <v>-161015.31290759268</v>
      </c>
      <c r="AU300">
        <f t="shared" si="262"/>
        <v>-343865.47145582648</v>
      </c>
      <c r="AV300">
        <f t="shared" si="250"/>
        <v>-2.0087236095626451</v>
      </c>
      <c r="AW300">
        <f t="shared" si="251"/>
        <v>-9518.8353827185183</v>
      </c>
      <c r="AX300">
        <f t="shared" si="252"/>
        <v>-38289.474124694825</v>
      </c>
      <c r="AY300">
        <f t="shared" si="260"/>
        <v>-1.8144586832338228</v>
      </c>
      <c r="BA300">
        <f t="shared" si="237"/>
        <v>9.6235472085627123</v>
      </c>
      <c r="BB300">
        <f t="shared" si="253"/>
        <v>19.666703621946031</v>
      </c>
      <c r="BC300">
        <f t="shared" si="254"/>
        <v>-0.19426492632882231</v>
      </c>
      <c r="BD300">
        <f t="shared" si="238"/>
        <v>-191.13056039877989</v>
      </c>
      <c r="BF300">
        <f t="shared" si="239"/>
        <v>-12.601675209233868</v>
      </c>
      <c r="BG300">
        <f t="shared" si="240"/>
        <v>-163.58371008517599</v>
      </c>
      <c r="BH300">
        <f t="shared" si="255"/>
        <v>16.416289914824006</v>
      </c>
      <c r="BI300">
        <f t="shared" si="256"/>
        <v>16.416289914824006</v>
      </c>
      <c r="BJ300">
        <f t="shared" si="241"/>
        <v>0</v>
      </c>
      <c r="BK300">
        <f t="shared" si="257"/>
        <v>0</v>
      </c>
      <c r="BM300">
        <f t="shared" si="258"/>
        <v>-32.268378831179902</v>
      </c>
      <c r="BN300">
        <f t="shared" si="242"/>
        <v>-152.45314968639613</v>
      </c>
      <c r="BQ300" s="75">
        <f t="shared" si="259"/>
        <v>36.568664422231166</v>
      </c>
      <c r="BR300" s="80"/>
      <c r="BS300" s="80"/>
      <c r="BT300" s="80">
        <v>79432.823000000004</v>
      </c>
      <c r="BU300" s="80">
        <v>4.23407</v>
      </c>
      <c r="BV300" s="80">
        <v>-130.17400000000001</v>
      </c>
      <c r="BY300" s="80"/>
      <c r="BZ300" s="80"/>
      <c r="CA300" s="80"/>
      <c r="CC300" s="80"/>
    </row>
    <row r="301" spans="1:81">
      <c r="A301">
        <f t="shared" si="263"/>
        <v>435000</v>
      </c>
      <c r="B301">
        <f t="shared" si="243"/>
        <v>435</v>
      </c>
      <c r="C301">
        <f t="shared" si="212"/>
        <v>1.1218032901351611</v>
      </c>
      <c r="D301">
        <f t="shared" si="213"/>
        <v>0.4703231710861962</v>
      </c>
      <c r="F301">
        <f t="shared" si="214"/>
        <v>2.3625391612229381E-3</v>
      </c>
      <c r="G301">
        <f t="shared" si="215"/>
        <v>1.4939817440637059E-2</v>
      </c>
      <c r="H301">
        <f t="shared" si="216"/>
        <v>-3.1266528325593632</v>
      </c>
      <c r="J301">
        <f t="shared" si="217"/>
        <v>9</v>
      </c>
      <c r="M301">
        <f t="shared" si="218"/>
        <v>9.7028066408516248E-3</v>
      </c>
      <c r="N301">
        <f t="shared" si="219"/>
        <v>-1.5707963250000001</v>
      </c>
      <c r="O301">
        <f t="shared" si="220"/>
        <v>55.951779953309632</v>
      </c>
      <c r="P301">
        <f t="shared" si="221"/>
        <v>1.5529228427629158</v>
      </c>
      <c r="Q301">
        <f t="shared" si="222"/>
        <v>22.863794505992363</v>
      </c>
      <c r="R301">
        <f t="shared" si="223"/>
        <v>1.5270450982168386</v>
      </c>
      <c r="S301">
        <f t="shared" si="224"/>
        <v>0.95962058965665742</v>
      </c>
      <c r="T301">
        <f t="shared" si="225"/>
        <v>-0.2851460134552411</v>
      </c>
      <c r="U301">
        <f t="shared" si="226"/>
        <v>0.90954329821875857</v>
      </c>
      <c r="V301">
        <f t="shared" si="227"/>
        <v>-0.42861246284611282</v>
      </c>
      <c r="X301">
        <f t="shared" si="244"/>
        <v>-11.753584747137538</v>
      </c>
      <c r="Y301">
        <f t="shared" si="228"/>
        <v>-106.62266284683913</v>
      </c>
      <c r="Z301">
        <f t="shared" si="245"/>
        <v>73.377337153160866</v>
      </c>
      <c r="AC301">
        <v>1</v>
      </c>
      <c r="AD301">
        <f t="shared" si="229"/>
        <v>55.942842973374006</v>
      </c>
      <c r="AE301">
        <f t="shared" si="230"/>
        <v>-8.5625216961520692E-4</v>
      </c>
      <c r="AF301">
        <f t="shared" si="231"/>
        <v>1.8738720511308003E-3</v>
      </c>
      <c r="AG301">
        <f t="shared" si="246"/>
        <v>24495.677721322554</v>
      </c>
      <c r="AH301">
        <f t="shared" si="247"/>
        <v>-11726.775679170134</v>
      </c>
      <c r="AJ301">
        <f t="shared" si="232"/>
        <v>55000</v>
      </c>
      <c r="AK301">
        <f t="shared" si="233"/>
        <v>16122.378590443128</v>
      </c>
      <c r="AL301">
        <v>1</v>
      </c>
      <c r="AM301">
        <f t="shared" si="234"/>
        <v>22.841915401564876</v>
      </c>
      <c r="AN301">
        <f t="shared" si="248"/>
        <v>809.68627153571299</v>
      </c>
      <c r="AO301">
        <f t="shared" si="249"/>
        <v>-2372.4067257841161</v>
      </c>
      <c r="AQ301">
        <f t="shared" si="235"/>
        <v>6.0166376556954178E-2</v>
      </c>
      <c r="AR301">
        <f t="shared" si="236"/>
        <v>-13.79284099379896</v>
      </c>
      <c r="AT301">
        <f t="shared" si="261"/>
        <v>-160271.73614294356</v>
      </c>
      <c r="AU301">
        <f t="shared" si="262"/>
        <v>-338570.54544685752</v>
      </c>
      <c r="AV301">
        <f t="shared" si="250"/>
        <v>-2.0129201560377012</v>
      </c>
      <c r="AW301">
        <f t="shared" si="251"/>
        <v>-8856.6105354603897</v>
      </c>
      <c r="AX301">
        <f t="shared" si="252"/>
        <v>-38009.602401681033</v>
      </c>
      <c r="AY301">
        <f t="shared" si="260"/>
        <v>-1.7997214268858259</v>
      </c>
      <c r="BA301">
        <f t="shared" si="237"/>
        <v>9.5980079710570916</v>
      </c>
      <c r="BB301">
        <f t="shared" si="253"/>
        <v>19.643622125482278</v>
      </c>
      <c r="BC301">
        <f t="shared" si="254"/>
        <v>-0.21319872915187532</v>
      </c>
      <c r="BD301">
        <f t="shared" si="238"/>
        <v>-192.21538739191331</v>
      </c>
      <c r="BF301">
        <f t="shared" si="239"/>
        <v>-12.805613176097106</v>
      </c>
      <c r="BG301">
        <f t="shared" si="240"/>
        <v>-164.41186616365033</v>
      </c>
      <c r="BH301">
        <f t="shared" si="255"/>
        <v>15.58813383634967</v>
      </c>
      <c r="BI301">
        <f t="shared" si="256"/>
        <v>15.58813383634967</v>
      </c>
      <c r="BJ301">
        <f t="shared" si="241"/>
        <v>0</v>
      </c>
      <c r="BK301">
        <f t="shared" si="257"/>
        <v>0</v>
      </c>
      <c r="BM301">
        <f t="shared" si="258"/>
        <v>-32.449235301579378</v>
      </c>
      <c r="BN301">
        <f t="shared" si="242"/>
        <v>-152.19647877173699</v>
      </c>
      <c r="BQ301" s="75">
        <f t="shared" si="259"/>
        <v>36.545582925767413</v>
      </c>
      <c r="BR301" s="80"/>
      <c r="BS301" s="80"/>
      <c r="BT301" s="80">
        <v>81283.051999999996</v>
      </c>
      <c r="BU301" s="80">
        <v>4.4202000000000004</v>
      </c>
      <c r="BV301" s="80">
        <v>-130.05699999999999</v>
      </c>
      <c r="BY301" s="80"/>
      <c r="BZ301" s="80"/>
      <c r="CA301" s="80"/>
      <c r="CC301" s="80"/>
    </row>
    <row r="302" spans="1:81">
      <c r="A302">
        <f t="shared" si="263"/>
        <v>440000</v>
      </c>
      <c r="B302">
        <f t="shared" si="243"/>
        <v>440</v>
      </c>
      <c r="C302">
        <f t="shared" si="212"/>
        <v>1.1244634170736585</v>
      </c>
      <c r="D302">
        <f t="shared" si="213"/>
        <v>0.47495553136955576</v>
      </c>
      <c r="F302">
        <f t="shared" si="214"/>
        <v>2.3090325533435241E-3</v>
      </c>
      <c r="G302">
        <f t="shared" si="215"/>
        <v>1.4769282007754861E-2</v>
      </c>
      <c r="H302">
        <f t="shared" si="216"/>
        <v>-3.1268233679922455</v>
      </c>
      <c r="J302">
        <f t="shared" si="217"/>
        <v>9</v>
      </c>
      <c r="M302">
        <f t="shared" si="218"/>
        <v>9.5925474744783107E-3</v>
      </c>
      <c r="N302">
        <f t="shared" si="219"/>
        <v>-1.5707963250000001</v>
      </c>
      <c r="O302">
        <f t="shared" si="220"/>
        <v>56.59469959626734</v>
      </c>
      <c r="P302">
        <f t="shared" si="221"/>
        <v>1.5531259080163435</v>
      </c>
      <c r="Q302">
        <f t="shared" si="222"/>
        <v>23.126096865431244</v>
      </c>
      <c r="R302">
        <f t="shared" si="223"/>
        <v>1.5275416478157591</v>
      </c>
      <c r="S302">
        <f t="shared" si="224"/>
        <v>0.9587439811796683</v>
      </c>
      <c r="T302">
        <f t="shared" si="225"/>
        <v>-0.28824593053373876</v>
      </c>
      <c r="U302">
        <f t="shared" si="226"/>
        <v>0.90773252215391809</v>
      </c>
      <c r="V302">
        <f t="shared" si="227"/>
        <v>-0.43294882088668235</v>
      </c>
      <c r="X302">
        <f t="shared" si="244"/>
        <v>-11.858190024080326</v>
      </c>
      <c r="Y302">
        <f t="shared" si="228"/>
        <v>-106.75300131542559</v>
      </c>
      <c r="Z302">
        <f t="shared" si="245"/>
        <v>73.246998684574407</v>
      </c>
      <c r="AC302">
        <v>1</v>
      </c>
      <c r="AD302">
        <f t="shared" si="229"/>
        <v>56.585864156976001</v>
      </c>
      <c r="AE302">
        <f t="shared" si="230"/>
        <v>-8.7604925373235072E-4</v>
      </c>
      <c r="AF302">
        <f t="shared" si="231"/>
        <v>1.8954108103392E-3</v>
      </c>
      <c r="AG302">
        <f t="shared" si="246"/>
        <v>24398.239735793402</v>
      </c>
      <c r="AH302">
        <f t="shared" si="247"/>
        <v>-11804.332649617405</v>
      </c>
      <c r="AJ302">
        <f t="shared" si="232"/>
        <v>55000</v>
      </c>
      <c r="AK302">
        <f t="shared" si="233"/>
        <v>16307.693286885004</v>
      </c>
      <c r="AL302">
        <v>1</v>
      </c>
      <c r="AM302">
        <f t="shared" si="234"/>
        <v>23.104466153307001</v>
      </c>
      <c r="AN302">
        <f t="shared" si="248"/>
        <v>807.34357234245726</v>
      </c>
      <c r="AO302">
        <f t="shared" si="249"/>
        <v>-2345.5489543912622</v>
      </c>
      <c r="AQ302">
        <f t="shared" si="235"/>
        <v>5.8806753613078015E-2</v>
      </c>
      <c r="AR302">
        <f t="shared" si="236"/>
        <v>-13.636110027800532</v>
      </c>
      <c r="AT302">
        <f t="shared" si="261"/>
        <v>-159530.39754220549</v>
      </c>
      <c r="AU302">
        <f t="shared" si="262"/>
        <v>-333391.25600362668</v>
      </c>
      <c r="AV302">
        <f t="shared" si="250"/>
        <v>-2.0171030177252973</v>
      </c>
      <c r="AW302">
        <f t="shared" si="251"/>
        <v>-8220.1257874223011</v>
      </c>
      <c r="AX302">
        <f t="shared" si="252"/>
        <v>-37737.996640071127</v>
      </c>
      <c r="AY302">
        <f t="shared" si="260"/>
        <v>-1.7852672186180518</v>
      </c>
      <c r="BA302">
        <f t="shared" si="237"/>
        <v>9.5693002660037241</v>
      </c>
      <c r="BB302">
        <f t="shared" si="253"/>
        <v>19.61760364221654</v>
      </c>
      <c r="BC302">
        <f t="shared" si="254"/>
        <v>-0.2318357991072455</v>
      </c>
      <c r="BD302">
        <f t="shared" si="238"/>
        <v>-193.28321284406627</v>
      </c>
      <c r="BF302">
        <f t="shared" si="239"/>
        <v>-13.010038437724383</v>
      </c>
      <c r="BG302">
        <f t="shared" si="240"/>
        <v>-165.2240478826522</v>
      </c>
      <c r="BH302">
        <f t="shared" si="255"/>
        <v>14.775952117347799</v>
      </c>
      <c r="BI302">
        <f t="shared" si="256"/>
        <v>14.775952117347799</v>
      </c>
      <c r="BJ302">
        <f t="shared" si="241"/>
        <v>0</v>
      </c>
      <c r="BK302">
        <f t="shared" si="257"/>
        <v>0</v>
      </c>
      <c r="BM302">
        <f t="shared" si="258"/>
        <v>-32.627642079940927</v>
      </c>
      <c r="BN302">
        <f t="shared" si="242"/>
        <v>-151.94083503858596</v>
      </c>
      <c r="BQ302" s="75">
        <f t="shared" si="259"/>
        <v>36.519564442501682</v>
      </c>
      <c r="BR302" s="80"/>
      <c r="BS302" s="80"/>
      <c r="BT302" s="80">
        <v>83176.376999999993</v>
      </c>
      <c r="BU302" s="80">
        <v>4.5639399999999997</v>
      </c>
      <c r="BV302" s="80">
        <v>-130.11600000000001</v>
      </c>
      <c r="BY302" s="80"/>
      <c r="BZ302" s="80"/>
      <c r="CA302" s="80"/>
      <c r="CC302" s="80"/>
    </row>
    <row r="303" spans="1:81">
      <c r="A303">
        <f t="shared" si="263"/>
        <v>445000</v>
      </c>
      <c r="B303">
        <f t="shared" si="243"/>
        <v>445</v>
      </c>
      <c r="C303">
        <f t="shared" si="212"/>
        <v>1.1271475594093616</v>
      </c>
      <c r="D303">
        <f t="shared" si="213"/>
        <v>0.47956592757523203</v>
      </c>
      <c r="F303">
        <f t="shared" si="214"/>
        <v>2.2573245660269729E-3</v>
      </c>
      <c r="G303">
        <f t="shared" si="215"/>
        <v>1.4602604249748314E-2</v>
      </c>
      <c r="H303">
        <f t="shared" si="216"/>
        <v>-3.1269900457502517</v>
      </c>
      <c r="J303">
        <f t="shared" si="217"/>
        <v>9</v>
      </c>
      <c r="M303">
        <f t="shared" si="218"/>
        <v>9.4847660421808026E-3</v>
      </c>
      <c r="N303">
        <f t="shared" si="219"/>
        <v>-1.5707963250000001</v>
      </c>
      <c r="O303">
        <f t="shared" si="220"/>
        <v>57.23762152050891</v>
      </c>
      <c r="P303">
        <f t="shared" si="221"/>
        <v>1.5533244114144698</v>
      </c>
      <c r="Q303">
        <f t="shared" si="222"/>
        <v>23.388404798977881</v>
      </c>
      <c r="R303">
        <f t="shared" si="223"/>
        <v>1.5280270596285201</v>
      </c>
      <c r="S303">
        <f t="shared" si="224"/>
        <v>0.9578597934933849</v>
      </c>
      <c r="T303">
        <f t="shared" si="225"/>
        <v>-0.29134015959387488</v>
      </c>
      <c r="U303">
        <f t="shared" si="226"/>
        <v>0.90591200859690224</v>
      </c>
      <c r="V303">
        <f t="shared" si="227"/>
        <v>-0.43726786620548241</v>
      </c>
      <c r="X303">
        <f t="shared" si="244"/>
        <v>-11.961718876507684</v>
      </c>
      <c r="Y303">
        <f t="shared" si="228"/>
        <v>-106.88395888233623</v>
      </c>
      <c r="Z303">
        <f t="shared" si="245"/>
        <v>73.116041117663769</v>
      </c>
      <c r="AC303">
        <v>1</v>
      </c>
      <c r="AD303">
        <f t="shared" si="229"/>
        <v>57.22888534057801</v>
      </c>
      <c r="AE303">
        <f t="shared" si="230"/>
        <v>-8.9607259023940459E-4</v>
      </c>
      <c r="AF303">
        <f t="shared" si="231"/>
        <v>1.9169495695475999E-3</v>
      </c>
      <c r="AG303">
        <f t="shared" si="246"/>
        <v>24300.473523214656</v>
      </c>
      <c r="AH303">
        <f t="shared" si="247"/>
        <v>-11880.848936138642</v>
      </c>
      <c r="AJ303">
        <f t="shared" si="232"/>
        <v>55000</v>
      </c>
      <c r="AK303">
        <f t="shared" si="233"/>
        <v>16493.007983326879</v>
      </c>
      <c r="AL303">
        <v>1</v>
      </c>
      <c r="AM303">
        <f t="shared" si="234"/>
        <v>23.36701690504913</v>
      </c>
      <c r="AN303">
        <f t="shared" si="248"/>
        <v>805.07920356347609</v>
      </c>
      <c r="AO303">
        <f t="shared" si="249"/>
        <v>-2319.2913762443554</v>
      </c>
      <c r="AQ303">
        <f t="shared" si="235"/>
        <v>5.7492701582679218E-2</v>
      </c>
      <c r="AR303">
        <f t="shared" si="236"/>
        <v>-13.482900911662018</v>
      </c>
      <c r="AT303">
        <f t="shared" si="261"/>
        <v>-158791.20907979444</v>
      </c>
      <c r="AU303">
        <f t="shared" si="262"/>
        <v>-328323.93872240389</v>
      </c>
      <c r="AV303">
        <f t="shared" si="250"/>
        <v>-2.0212720146590359</v>
      </c>
      <c r="AW303">
        <f t="shared" si="251"/>
        <v>-7608.2329469062797</v>
      </c>
      <c r="AX303">
        <f t="shared" si="252"/>
        <v>-37474.290431995141</v>
      </c>
      <c r="AY303">
        <f t="shared" si="260"/>
        <v>-1.7710992290431911</v>
      </c>
      <c r="BA303">
        <f t="shared" si="237"/>
        <v>9.5376124721757023</v>
      </c>
      <c r="BB303">
        <f t="shared" si="253"/>
        <v>19.588793448107527</v>
      </c>
      <c r="BC303">
        <f t="shared" si="254"/>
        <v>-0.25017278561584488</v>
      </c>
      <c r="BD303">
        <f t="shared" si="238"/>
        <v>-194.33384478119785</v>
      </c>
      <c r="BF303">
        <f t="shared" si="239"/>
        <v>-13.214860704121463</v>
      </c>
      <c r="BG303">
        <f t="shared" si="240"/>
        <v>-166.02007350709695</v>
      </c>
      <c r="BH303">
        <f t="shared" si="255"/>
        <v>13.979926492903047</v>
      </c>
      <c r="BI303">
        <f t="shared" si="256"/>
        <v>13.979926492903047</v>
      </c>
      <c r="BJ303">
        <f t="shared" si="241"/>
        <v>0</v>
      </c>
      <c r="BK303">
        <f t="shared" si="257"/>
        <v>0</v>
      </c>
      <c r="BM303">
        <f t="shared" si="258"/>
        <v>-32.803654152228987</v>
      </c>
      <c r="BN303">
        <f t="shared" si="242"/>
        <v>-151.6862287258991</v>
      </c>
      <c r="BQ303" s="75">
        <f t="shared" si="259"/>
        <v>36.490754248392662</v>
      </c>
      <c r="BR303" s="80"/>
      <c r="BS303" s="80"/>
      <c r="BT303" s="80">
        <v>85113.804000000004</v>
      </c>
      <c r="BU303" s="80">
        <v>4.7605300000000002</v>
      </c>
      <c r="BV303" s="80">
        <v>-129.97300000000001</v>
      </c>
      <c r="BY303" s="80"/>
      <c r="BZ303" s="80"/>
      <c r="CA303" s="80"/>
      <c r="CC303" s="80"/>
    </row>
    <row r="304" spans="1:81">
      <c r="A304">
        <f t="shared" si="263"/>
        <v>450000</v>
      </c>
      <c r="B304">
        <f t="shared" si="243"/>
        <v>450</v>
      </c>
      <c r="C304">
        <f t="shared" si="212"/>
        <v>1.1298555459856841</v>
      </c>
      <c r="D304">
        <f t="shared" si="213"/>
        <v>0.48415432094554983</v>
      </c>
      <c r="F304">
        <f t="shared" si="214"/>
        <v>2.2073354243195699E-3</v>
      </c>
      <c r="G304">
        <f t="shared" si="215"/>
        <v>1.4439654462673493E-2</v>
      </c>
      <c r="H304">
        <f t="shared" si="216"/>
        <v>-3.1271529955373265</v>
      </c>
      <c r="J304">
        <f t="shared" si="217"/>
        <v>9</v>
      </c>
      <c r="M304">
        <f t="shared" si="218"/>
        <v>9.379379752823238E-3</v>
      </c>
      <c r="N304">
        <f t="shared" si="219"/>
        <v>-1.5707963250000001</v>
      </c>
      <c r="O304">
        <f t="shared" si="220"/>
        <v>57.880545650014646</v>
      </c>
      <c r="P304">
        <f t="shared" si="221"/>
        <v>1.5535185049575833</v>
      </c>
      <c r="Q304">
        <f t="shared" si="222"/>
        <v>23.650718121166538</v>
      </c>
      <c r="R304">
        <f t="shared" si="223"/>
        <v>1.5285017040145672</v>
      </c>
      <c r="S304">
        <f t="shared" si="224"/>
        <v>0.95696809826903129</v>
      </c>
      <c r="T304">
        <f t="shared" si="225"/>
        <v>-0.29442865719065309</v>
      </c>
      <c r="U304">
        <f t="shared" si="226"/>
        <v>0.90408201915852882</v>
      </c>
      <c r="V304">
        <f t="shared" si="227"/>
        <v>-0.4415695421065996</v>
      </c>
      <c r="X304">
        <f t="shared" si="244"/>
        <v>-12.064197500019013</v>
      </c>
      <c r="Y304">
        <f t="shared" si="228"/>
        <v>-107.01550953305106</v>
      </c>
      <c r="Z304">
        <f t="shared" si="245"/>
        <v>72.984490466948941</v>
      </c>
      <c r="AC304">
        <v>1</v>
      </c>
      <c r="AD304">
        <f t="shared" si="229"/>
        <v>57.871906524180012</v>
      </c>
      <c r="AE304">
        <f t="shared" si="230"/>
        <v>-9.1632217913636895E-4</v>
      </c>
      <c r="AF304">
        <f t="shared" si="231"/>
        <v>1.9384883287560002E-3</v>
      </c>
      <c r="AG304">
        <f t="shared" si="246"/>
        <v>24202.396239749221</v>
      </c>
      <c r="AH304">
        <f t="shared" si="247"/>
        <v>-11956.322934171356</v>
      </c>
      <c r="AJ304">
        <f t="shared" si="232"/>
        <v>55000</v>
      </c>
      <c r="AK304">
        <f t="shared" si="233"/>
        <v>16678.322679768749</v>
      </c>
      <c r="AL304">
        <v>1</v>
      </c>
      <c r="AM304">
        <f t="shared" si="234"/>
        <v>23.629567656791252</v>
      </c>
      <c r="AN304">
        <f t="shared" si="248"/>
        <v>802.88971369669025</v>
      </c>
      <c r="AO304">
        <f t="shared" si="249"/>
        <v>-2293.6141309689515</v>
      </c>
      <c r="AQ304">
        <f t="shared" si="235"/>
        <v>5.6222206446893012E-2</v>
      </c>
      <c r="AR304">
        <f t="shared" si="236"/>
        <v>-13.33309625888068</v>
      </c>
      <c r="AT304">
        <f t="shared" si="261"/>
        <v>-158054.09246566868</v>
      </c>
      <c r="AU304">
        <f t="shared" si="262"/>
        <v>-323365.08961649891</v>
      </c>
      <c r="AV304">
        <f t="shared" si="250"/>
        <v>-2.0254269752713983</v>
      </c>
      <c r="AW304">
        <f t="shared" si="251"/>
        <v>-7019.8462869365185</v>
      </c>
      <c r="AX304">
        <f t="shared" si="252"/>
        <v>-37218.136929247485</v>
      </c>
      <c r="AY304">
        <f t="shared" si="260"/>
        <v>-1.7572198259564782</v>
      </c>
      <c r="BA304">
        <f t="shared" si="237"/>
        <v>9.5031308150542824</v>
      </c>
      <c r="BB304">
        <f t="shared" si="253"/>
        <v>19.557334151462943</v>
      </c>
      <c r="BC304">
        <f t="shared" si="254"/>
        <v>-0.26820714931492007</v>
      </c>
      <c r="BD304">
        <f t="shared" si="238"/>
        <v>-195.36713770853953</v>
      </c>
      <c r="BF304">
        <f t="shared" si="239"/>
        <v>-13.419990563345138</v>
      </c>
      <c r="BG304">
        <f t="shared" si="240"/>
        <v>-166.79980719435579</v>
      </c>
      <c r="BH304">
        <f t="shared" si="255"/>
        <v>13.200192805644207</v>
      </c>
      <c r="BI304">
        <f t="shared" si="256"/>
        <v>13.200192805644207</v>
      </c>
      <c r="BJ304">
        <f t="shared" si="241"/>
        <v>0</v>
      </c>
      <c r="BK304">
        <f t="shared" si="257"/>
        <v>0</v>
      </c>
      <c r="BM304">
        <f t="shared" si="258"/>
        <v>-32.977324714808077</v>
      </c>
      <c r="BN304">
        <f t="shared" si="242"/>
        <v>-151.43266948581629</v>
      </c>
      <c r="BQ304" s="75">
        <f t="shared" si="259"/>
        <v>36.459294951748078</v>
      </c>
      <c r="BR304" s="80"/>
      <c r="BS304" s="80"/>
      <c r="BT304" s="80">
        <v>87096.358999999997</v>
      </c>
      <c r="BU304" s="80">
        <v>4.9475499999999997</v>
      </c>
      <c r="BV304" s="80">
        <v>-129.96199999999999</v>
      </c>
      <c r="BY304" s="80"/>
      <c r="BZ304" s="80"/>
      <c r="CA304" s="80"/>
      <c r="CC304" s="80"/>
    </row>
    <row r="305" spans="1:81">
      <c r="A305">
        <f t="shared" si="263"/>
        <v>455000</v>
      </c>
      <c r="B305">
        <f t="shared" si="243"/>
        <v>455</v>
      </c>
      <c r="C305">
        <f t="shared" si="212"/>
        <v>1.1325872057697595</v>
      </c>
      <c r="D305">
        <f t="shared" si="213"/>
        <v>0.48872067679763498</v>
      </c>
      <c r="F305">
        <f t="shared" si="214"/>
        <v>2.1589897305278097E-3</v>
      </c>
      <c r="G305">
        <f t="shared" si="215"/>
        <v>1.4280308704350576E-2</v>
      </c>
      <c r="H305">
        <f t="shared" si="216"/>
        <v>-3.1273123412956498</v>
      </c>
      <c r="J305">
        <f t="shared" si="217"/>
        <v>9</v>
      </c>
      <c r="M305">
        <f t="shared" si="218"/>
        <v>9.2763096456493551E-3</v>
      </c>
      <c r="N305">
        <f t="shared" si="219"/>
        <v>-1.5707963250000001</v>
      </c>
      <c r="O305">
        <f t="shared" si="220"/>
        <v>58.523471912105109</v>
      </c>
      <c r="P305">
        <f t="shared" si="221"/>
        <v>1.5537083339679665</v>
      </c>
      <c r="Q305">
        <f t="shared" si="222"/>
        <v>23.913036654665579</v>
      </c>
      <c r="R305">
        <f t="shared" si="223"/>
        <v>1.5289659351023481</v>
      </c>
      <c r="S305">
        <f t="shared" si="224"/>
        <v>0.95606896741574998</v>
      </c>
      <c r="T305">
        <f t="shared" si="225"/>
        <v>-0.29751138047723308</v>
      </c>
      <c r="U305">
        <f t="shared" si="226"/>
        <v>0.90224281370301496</v>
      </c>
      <c r="V305">
        <f t="shared" si="227"/>
        <v>-0.44585379492041055</v>
      </c>
      <c r="X305">
        <f t="shared" si="244"/>
        <v>-12.165651195279931</v>
      </c>
      <c r="Y305">
        <f t="shared" si="228"/>
        <v>-107.14762820971134</v>
      </c>
      <c r="Z305">
        <f t="shared" si="245"/>
        <v>72.852371790288657</v>
      </c>
      <c r="AC305">
        <v>1</v>
      </c>
      <c r="AD305">
        <f t="shared" si="229"/>
        <v>58.514927707782007</v>
      </c>
      <c r="AE305">
        <f t="shared" si="230"/>
        <v>-9.3679802042324336E-4</v>
      </c>
      <c r="AF305">
        <f t="shared" si="231"/>
        <v>1.9600270879644001E-3</v>
      </c>
      <c r="AG305">
        <f t="shared" si="246"/>
        <v>24104.024851080918</v>
      </c>
      <c r="AH305">
        <f t="shared" si="247"/>
        <v>-12030.753508215577</v>
      </c>
      <c r="AJ305">
        <f t="shared" si="232"/>
        <v>55000</v>
      </c>
      <c r="AK305">
        <f t="shared" si="233"/>
        <v>16863.637376210627</v>
      </c>
      <c r="AL305">
        <v>1</v>
      </c>
      <c r="AM305">
        <f t="shared" si="234"/>
        <v>23.892118408533378</v>
      </c>
      <c r="AN305">
        <f t="shared" si="248"/>
        <v>800.77183916374361</v>
      </c>
      <c r="AO305">
        <f t="shared" si="249"/>
        <v>-2268.4982233085825</v>
      </c>
      <c r="AQ305">
        <f t="shared" si="235"/>
        <v>5.4993364231879102E-2</v>
      </c>
      <c r="AR305">
        <f t="shared" si="236"/>
        <v>-13.186583842341131</v>
      </c>
      <c r="AT305">
        <f t="shared" si="261"/>
        <v>-157318.97840453466</v>
      </c>
      <c r="AU305">
        <f t="shared" si="262"/>
        <v>-318511.35624631395</v>
      </c>
      <c r="AV305">
        <f t="shared" si="250"/>
        <v>-2.0295677360671824</v>
      </c>
      <c r="AW305">
        <f t="shared" si="251"/>
        <v>-6453.9384835402634</v>
      </c>
      <c r="AX305">
        <f t="shared" si="252"/>
        <v>-36969.20758841026</v>
      </c>
      <c r="AY305">
        <f t="shared" si="260"/>
        <v>-1.7436306179136378</v>
      </c>
      <c r="BA305">
        <f t="shared" si="237"/>
        <v>9.4660385112701171</v>
      </c>
      <c r="BB305">
        <f t="shared" si="253"/>
        <v>19.523365340053576</v>
      </c>
      <c r="BC305">
        <f t="shared" si="254"/>
        <v>-0.28593711815354461</v>
      </c>
      <c r="BD305">
        <f t="shared" si="238"/>
        <v>-196.38299009505195</v>
      </c>
      <c r="BF305">
        <f t="shared" si="239"/>
        <v>-13.62533991323922</v>
      </c>
      <c r="BG305">
        <f t="shared" si="240"/>
        <v>-167.56315650193559</v>
      </c>
      <c r="BH305">
        <f t="shared" si="255"/>
        <v>12.436843498064405</v>
      </c>
      <c r="BI305">
        <f t="shared" si="256"/>
        <v>12.436843498064405</v>
      </c>
      <c r="BJ305">
        <f t="shared" si="241"/>
        <v>0</v>
      </c>
      <c r="BK305">
        <f t="shared" si="257"/>
        <v>0</v>
      </c>
      <c r="BM305">
        <f t="shared" si="258"/>
        <v>-33.148705253292796</v>
      </c>
      <c r="BN305">
        <f t="shared" si="242"/>
        <v>-151.18016640688367</v>
      </c>
      <c r="BQ305" s="75">
        <f t="shared" si="259"/>
        <v>36.425326140338711</v>
      </c>
      <c r="BR305" s="80"/>
      <c r="BS305" s="80"/>
      <c r="BT305" s="80">
        <v>89125.093999999997</v>
      </c>
      <c r="BU305" s="80">
        <v>5.2143100000000002</v>
      </c>
      <c r="BV305" s="80">
        <v>-129.73099999999999</v>
      </c>
      <c r="BY305" s="80"/>
      <c r="BZ305" s="80"/>
      <c r="CA305" s="80"/>
      <c r="CC305" s="80"/>
    </row>
    <row r="306" spans="1:81">
      <c r="A306">
        <f t="shared" si="263"/>
        <v>460000</v>
      </c>
      <c r="B306">
        <f t="shared" si="243"/>
        <v>460</v>
      </c>
      <c r="C306">
        <f t="shared" si="212"/>
        <v>1.1353423678867585</v>
      </c>
      <c r="D306">
        <f t="shared" si="213"/>
        <v>0.49326496445699597</v>
      </c>
      <c r="F306">
        <f t="shared" si="214"/>
        <v>2.1122161789459159E-3</v>
      </c>
      <c r="G306">
        <f t="shared" si="215"/>
        <v>1.4124448477325295E-2</v>
      </c>
      <c r="H306">
        <f t="shared" si="216"/>
        <v>-3.1274682015226749</v>
      </c>
      <c r="J306">
        <f t="shared" si="217"/>
        <v>9</v>
      </c>
      <c r="M306">
        <f t="shared" si="218"/>
        <v>9.1754801929792539E-3</v>
      </c>
      <c r="N306">
        <f t="shared" si="219"/>
        <v>-1.5707963250000001</v>
      </c>
      <c r="O306">
        <f t="shared" si="220"/>
        <v>59.166400237259687</v>
      </c>
      <c r="P306">
        <f t="shared" si="221"/>
        <v>1.553894037452618</v>
      </c>
      <c r="Q306">
        <f t="shared" si="222"/>
        <v>24.175360229836588</v>
      </c>
      <c r="R306">
        <f t="shared" si="223"/>
        <v>1.5294200916683258</v>
      </c>
      <c r="S306">
        <f t="shared" si="224"/>
        <v>0.95516247306669488</v>
      </c>
      <c r="T306">
        <f t="shared" si="225"/>
        <v>-0.30058828720582048</v>
      </c>
      <c r="U306">
        <f t="shared" si="226"/>
        <v>0.90039465028639232</v>
      </c>
      <c r="V306">
        <f t="shared" si="227"/>
        <v>-0.4501205739694572</v>
      </c>
      <c r="X306">
        <f t="shared" si="244"/>
        <v>-12.266104407796863</v>
      </c>
      <c r="Y306">
        <f t="shared" si="228"/>
        <v>-107.28029076003928</v>
      </c>
      <c r="Z306">
        <f t="shared" si="245"/>
        <v>72.719709239960721</v>
      </c>
      <c r="AC306">
        <v>1</v>
      </c>
      <c r="AD306">
        <f t="shared" si="229"/>
        <v>59.157948891384009</v>
      </c>
      <c r="AE306">
        <f t="shared" si="230"/>
        <v>-9.5750011410002805E-4</v>
      </c>
      <c r="AF306">
        <f t="shared" si="231"/>
        <v>1.9815658471728E-3</v>
      </c>
      <c r="AG306">
        <f t="shared" si="246"/>
        <v>24005.376128638592</v>
      </c>
      <c r="AH306">
        <f t="shared" si="247"/>
        <v>-12104.139974155472</v>
      </c>
      <c r="AJ306">
        <f t="shared" si="232"/>
        <v>55000</v>
      </c>
      <c r="AK306">
        <f t="shared" si="233"/>
        <v>17048.952072652501</v>
      </c>
      <c r="AL306">
        <v>1</v>
      </c>
      <c r="AM306">
        <f t="shared" si="234"/>
        <v>24.154669160275503</v>
      </c>
      <c r="AN306">
        <f t="shared" si="248"/>
        <v>798.72249217105343</v>
      </c>
      <c r="AO306">
        <f t="shared" si="249"/>
        <v>-2243.9254766100357</v>
      </c>
      <c r="AQ306">
        <f t="shared" si="235"/>
        <v>5.3804373871558758E-2</v>
      </c>
      <c r="AR306">
        <f t="shared" si="236"/>
        <v>-13.043256313943276</v>
      </c>
      <c r="AT306">
        <f t="shared" si="261"/>
        <v>-156585.80591060393</v>
      </c>
      <c r="AU306">
        <f t="shared" si="262"/>
        <v>-313759.5294310117</v>
      </c>
      <c r="AV306">
        <f t="shared" si="250"/>
        <v>-2.0336941413153431</v>
      </c>
      <c r="AW306">
        <f t="shared" si="251"/>
        <v>-5909.5368598374298</v>
      </c>
      <c r="AX306">
        <f t="shared" si="252"/>
        <v>-36727.191011386341</v>
      </c>
      <c r="AY306">
        <f t="shared" si="260"/>
        <v>-1.7303324994160718</v>
      </c>
      <c r="BA306">
        <f t="shared" si="237"/>
        <v>9.4265150169106526</v>
      </c>
      <c r="BB306">
        <f t="shared" si="253"/>
        <v>19.4870232743374</v>
      </c>
      <c r="BC306">
        <f t="shared" si="254"/>
        <v>-0.30336164189927128</v>
      </c>
      <c r="BD306">
        <f t="shared" si="238"/>
        <v>-197.38134176684835</v>
      </c>
      <c r="BF306">
        <f t="shared" si="239"/>
        <v>-13.830822342687849</v>
      </c>
      <c r="BG306">
        <f t="shared" si="240"/>
        <v>-168.31006980287242</v>
      </c>
      <c r="BH306">
        <f t="shared" si="255"/>
        <v>11.68993019712758</v>
      </c>
      <c r="BI306">
        <f t="shared" si="256"/>
        <v>11.68993019712758</v>
      </c>
      <c r="BJ306">
        <f t="shared" si="241"/>
        <v>0</v>
      </c>
      <c r="BK306">
        <f t="shared" si="257"/>
        <v>0</v>
      </c>
      <c r="BM306">
        <f t="shared" si="258"/>
        <v>-33.317845617025249</v>
      </c>
      <c r="BN306">
        <f t="shared" si="242"/>
        <v>-150.92872803602407</v>
      </c>
      <c r="BQ306" s="75">
        <f t="shared" si="259"/>
        <v>36.388984074622535</v>
      </c>
      <c r="BR306" s="80"/>
      <c r="BS306" s="80"/>
      <c r="BT306" s="80">
        <v>91201.084000000003</v>
      </c>
      <c r="BU306" s="80">
        <v>5.4050900000000004</v>
      </c>
      <c r="BV306" s="80">
        <v>-129.68299999999999</v>
      </c>
      <c r="BY306" s="80"/>
      <c r="BZ306" s="80"/>
      <c r="CA306" s="80"/>
      <c r="CC306" s="80"/>
    </row>
    <row r="307" spans="1:81">
      <c r="A307">
        <f t="shared" si="263"/>
        <v>465000</v>
      </c>
      <c r="B307">
        <f t="shared" si="243"/>
        <v>465</v>
      </c>
      <c r="C307">
        <f t="shared" si="212"/>
        <v>1.1381208616534042</v>
      </c>
      <c r="D307">
        <f t="shared" si="213"/>
        <v>0.49778715719056477</v>
      </c>
      <c r="F307">
        <f t="shared" si="214"/>
        <v>2.0669472920540198E-3</v>
      </c>
      <c r="G307">
        <f t="shared" si="215"/>
        <v>1.3971960432574782E-2</v>
      </c>
      <c r="H307">
        <f t="shared" si="216"/>
        <v>-3.1276206895674252</v>
      </c>
      <c r="J307">
        <f t="shared" si="217"/>
        <v>9</v>
      </c>
      <c r="M307">
        <f t="shared" si="218"/>
        <v>9.0768191156353917E-3</v>
      </c>
      <c r="N307">
        <f t="shared" si="219"/>
        <v>-1.5707963250000001</v>
      </c>
      <c r="O307">
        <f t="shared" si="220"/>
        <v>59.80933055894684</v>
      </c>
      <c r="P307">
        <f t="shared" si="221"/>
        <v>1.5540757484425884</v>
      </c>
      <c r="Q307">
        <f t="shared" si="222"/>
        <v>24.43768868432181</v>
      </c>
      <c r="R307">
        <f t="shared" si="223"/>
        <v>1.5298644979595106</v>
      </c>
      <c r="S307">
        <f t="shared" si="224"/>
        <v>0.95424868756520786</v>
      </c>
      <c r="T307">
        <f t="shared" si="225"/>
        <v>-0.30365933572842529</v>
      </c>
      <c r="U307">
        <f t="shared" si="226"/>
        <v>0.89853778509728843</v>
      </c>
      <c r="V307">
        <f t="shared" si="227"/>
        <v>-0.45436983153367178</v>
      </c>
      <c r="X307">
        <f t="shared" si="244"/>
        <v>-12.36558076547553</v>
      </c>
      <c r="Y307">
        <f t="shared" si="228"/>
        <v>-107.41347388963189</v>
      </c>
      <c r="Z307">
        <f t="shared" si="245"/>
        <v>72.586526110368112</v>
      </c>
      <c r="AC307">
        <v>1</v>
      </c>
      <c r="AD307">
        <f t="shared" si="229"/>
        <v>59.800970074986012</v>
      </c>
      <c r="AE307">
        <f t="shared" si="230"/>
        <v>-9.7842846016672281E-4</v>
      </c>
      <c r="AF307">
        <f t="shared" si="231"/>
        <v>2.0031046063812004E-3</v>
      </c>
      <c r="AG307">
        <f t="shared" si="246"/>
        <v>23906.466646040884</v>
      </c>
      <c r="AH307">
        <f t="shared" si="247"/>
        <v>-12176.482082269858</v>
      </c>
      <c r="AJ307">
        <f t="shared" si="232"/>
        <v>55000</v>
      </c>
      <c r="AK307">
        <f t="shared" si="233"/>
        <v>17234.266769094378</v>
      </c>
      <c r="AL307">
        <v>1</v>
      </c>
      <c r="AM307">
        <f t="shared" si="234"/>
        <v>24.417219912017625</v>
      </c>
      <c r="AN307">
        <f t="shared" si="248"/>
        <v>796.73874947540571</v>
      </c>
      <c r="AO307">
        <f t="shared" si="249"/>
        <v>-2219.8784892725203</v>
      </c>
      <c r="AQ307">
        <f t="shared" si="235"/>
        <v>5.2653530604625916E-2</v>
      </c>
      <c r="AR307">
        <f t="shared" si="236"/>
        <v>-12.903010942316604</v>
      </c>
      <c r="AT307">
        <f t="shared" si="261"/>
        <v>-155854.52167325426</v>
      </c>
      <c r="AU307">
        <f t="shared" si="262"/>
        <v>-309106.53549796791</v>
      </c>
      <c r="AV307">
        <f t="shared" si="250"/>
        <v>-2.0378060427578539</v>
      </c>
      <c r="AW307">
        <f t="shared" si="251"/>
        <v>-5385.7199099124464</v>
      </c>
      <c r="AX307">
        <f t="shared" si="252"/>
        <v>-36491.79187298772</v>
      </c>
      <c r="AY307">
        <f t="shared" si="260"/>
        <v>-1.7173256970847213</v>
      </c>
      <c r="BA307">
        <f t="shared" si="237"/>
        <v>9.3847353775641729</v>
      </c>
      <c r="BB307">
        <f t="shared" si="253"/>
        <v>19.448440625596071</v>
      </c>
      <c r="BC307">
        <f t="shared" si="254"/>
        <v>-0.32048034567313266</v>
      </c>
      <c r="BD307">
        <f t="shared" si="238"/>
        <v>-198.36217124494607</v>
      </c>
      <c r="BF307">
        <f t="shared" si="239"/>
        <v>-14.036353463872649</v>
      </c>
      <c r="BG307">
        <f t="shared" si="240"/>
        <v>-169.0405336442962</v>
      </c>
      <c r="BH307">
        <f t="shared" si="255"/>
        <v>10.959466355703796</v>
      </c>
      <c r="BI307">
        <f t="shared" si="256"/>
        <v>10.959466355703796</v>
      </c>
      <c r="BJ307">
        <f t="shared" si="241"/>
        <v>0</v>
      </c>
      <c r="BK307">
        <f t="shared" si="257"/>
        <v>0</v>
      </c>
      <c r="BM307">
        <f t="shared" si="258"/>
        <v>-33.484794089468714</v>
      </c>
      <c r="BN307">
        <f t="shared" si="242"/>
        <v>-150.67836239935016</v>
      </c>
      <c r="BQ307" s="75">
        <f t="shared" si="259"/>
        <v>36.350401425881209</v>
      </c>
      <c r="BR307" s="80"/>
      <c r="BS307" s="80"/>
      <c r="BT307" s="80">
        <v>93325.43</v>
      </c>
      <c r="BU307" s="80">
        <v>5.6014999999999997</v>
      </c>
      <c r="BV307" s="80">
        <v>-129.64400000000001</v>
      </c>
      <c r="BY307" s="80"/>
      <c r="BZ307" s="80"/>
      <c r="CA307" s="80"/>
      <c r="CC307" s="80"/>
    </row>
    <row r="308" spans="1:81">
      <c r="A308">
        <f t="shared" si="263"/>
        <v>470000</v>
      </c>
      <c r="B308">
        <f t="shared" si="243"/>
        <v>470</v>
      </c>
      <c r="C308">
        <f t="shared" si="212"/>
        <v>1.1409225166106938</v>
      </c>
      <c r="D308">
        <f t="shared" si="213"/>
        <v>0.50228723213926829</v>
      </c>
      <c r="F308">
        <f t="shared" si="214"/>
        <v>2.0231191763587122E-3</v>
      </c>
      <c r="G308">
        <f t="shared" si="215"/>
        <v>1.3822736092388576E-2</v>
      </c>
      <c r="H308">
        <f t="shared" si="216"/>
        <v>-3.1277699139076116</v>
      </c>
      <c r="J308">
        <f t="shared" si="217"/>
        <v>9</v>
      </c>
      <c r="M308">
        <f t="shared" si="218"/>
        <v>8.9802572101499081E-3</v>
      </c>
      <c r="N308">
        <f t="shared" si="219"/>
        <v>-1.5707963250000001</v>
      </c>
      <c r="O308">
        <f t="shared" si="220"/>
        <v>60.452262813465175</v>
      </c>
      <c r="P308">
        <f t="shared" si="221"/>
        <v>1.5542535943106708</v>
      </c>
      <c r="Q308">
        <f t="shared" si="222"/>
        <v>24.700021862657863</v>
      </c>
      <c r="R308">
        <f t="shared" si="223"/>
        <v>1.5302994644636971</v>
      </c>
      <c r="S308">
        <f t="shared" si="224"/>
        <v>0.95332768345108254</v>
      </c>
      <c r="T308">
        <f t="shared" si="225"/>
        <v>-0.30672448499748883</v>
      </c>
      <c r="U308">
        <f t="shared" si="226"/>
        <v>0.89667247240006187</v>
      </c>
      <c r="V308">
        <f t="shared" si="227"/>
        <v>-0.45860152281499</v>
      </c>
      <c r="X308">
        <f t="shared" si="244"/>
        <v>-12.464103114111227</v>
      </c>
      <c r="Y308">
        <f t="shared" si="228"/>
        <v>-107.54715511737709</v>
      </c>
      <c r="Z308">
        <f t="shared" si="245"/>
        <v>72.452844882622912</v>
      </c>
      <c r="AC308">
        <v>1</v>
      </c>
      <c r="AD308">
        <f t="shared" si="229"/>
        <v>60.443991258588007</v>
      </c>
      <c r="AE308">
        <f t="shared" si="230"/>
        <v>-9.9958305862332762E-4</v>
      </c>
      <c r="AF308">
        <f t="shared" si="231"/>
        <v>2.0246433655895998E-3</v>
      </c>
      <c r="AG308">
        <f t="shared" si="246"/>
        <v>23807.312775758801</v>
      </c>
      <c r="AH308">
        <f t="shared" si="247"/>
        <v>-12247.780000886189</v>
      </c>
      <c r="AJ308">
        <f t="shared" si="232"/>
        <v>55000</v>
      </c>
      <c r="AK308">
        <f t="shared" si="233"/>
        <v>17419.581465536252</v>
      </c>
      <c r="AL308">
        <v>1</v>
      </c>
      <c r="AM308">
        <f t="shared" si="234"/>
        <v>24.679770663759754</v>
      </c>
      <c r="AN308">
        <f t="shared" si="248"/>
        <v>794.81784197791455</v>
      </c>
      <c r="AO308">
        <f t="shared" si="249"/>
        <v>-2196.34059394312</v>
      </c>
      <c r="AQ308">
        <f t="shared" si="235"/>
        <v>5.1539219860608707E-2</v>
      </c>
      <c r="AR308">
        <f t="shared" si="236"/>
        <v>-12.765749367274172</v>
      </c>
      <c r="AT308">
        <f t="shared" si="261"/>
        <v>-155125.07946938602</v>
      </c>
      <c r="AU308">
        <f t="shared" si="262"/>
        <v>-304549.42902991123</v>
      </c>
      <c r="AV308">
        <f t="shared" si="250"/>
        <v>-2.0419032993343045</v>
      </c>
      <c r="AW308">
        <f t="shared" si="251"/>
        <v>-4881.6140789056717</v>
      </c>
      <c r="AX308">
        <f t="shared" si="252"/>
        <v>-36262.729928046188</v>
      </c>
      <c r="AY308">
        <f t="shared" si="260"/>
        <v>-1.7046098162620051</v>
      </c>
      <c r="BA308">
        <f t="shared" si="237"/>
        <v>9.3408696765821517</v>
      </c>
      <c r="BB308">
        <f t="shared" si="253"/>
        <v>19.407746257273271</v>
      </c>
      <c r="BC308">
        <f t="shared" si="254"/>
        <v>-0.33729348307229934</v>
      </c>
      <c r="BD308">
        <f t="shared" si="238"/>
        <v>-199.32549305939261</v>
      </c>
      <c r="BF308">
        <f t="shared" si="239"/>
        <v>-14.241851197511028</v>
      </c>
      <c r="BG308">
        <f t="shared" si="240"/>
        <v>-169.75457008129797</v>
      </c>
      <c r="BH308">
        <f t="shared" si="255"/>
        <v>10.24542991870203</v>
      </c>
      <c r="BI308">
        <f t="shared" si="256"/>
        <v>10.24542991870203</v>
      </c>
      <c r="BJ308">
        <f t="shared" si="241"/>
        <v>0</v>
      </c>
      <c r="BK308">
        <f t="shared" si="257"/>
        <v>0</v>
      </c>
      <c r="BM308">
        <f t="shared" si="258"/>
        <v>-33.649597454784299</v>
      </c>
      <c r="BN308">
        <f t="shared" si="242"/>
        <v>-150.42907702190536</v>
      </c>
      <c r="BQ308" s="75">
        <f t="shared" si="259"/>
        <v>36.309707057558413</v>
      </c>
      <c r="BR308" s="80"/>
      <c r="BS308" s="80"/>
      <c r="BT308" s="80">
        <v>95499.259000000005</v>
      </c>
      <c r="BU308" s="80">
        <v>5.7946099999999996</v>
      </c>
      <c r="BV308" s="80">
        <v>-129.63</v>
      </c>
      <c r="BY308" s="80"/>
      <c r="BZ308" s="80"/>
      <c r="CA308" s="80"/>
      <c r="CC308" s="80"/>
    </row>
    <row r="309" spans="1:81">
      <c r="A309">
        <f t="shared" si="263"/>
        <v>475000</v>
      </c>
      <c r="B309">
        <f t="shared" si="243"/>
        <v>475</v>
      </c>
      <c r="C309">
        <f t="shared" si="212"/>
        <v>1.1437471625558187</v>
      </c>
      <c r="D309">
        <f t="shared" si="213"/>
        <v>0.50676517025019574</v>
      </c>
      <c r="F309">
        <f t="shared" si="214"/>
        <v>1.9806712962210909E-3</v>
      </c>
      <c r="G309">
        <f t="shared" si="215"/>
        <v>1.3676671590989911E-2</v>
      </c>
      <c r="H309">
        <f t="shared" si="216"/>
        <v>-3.1279159784090105</v>
      </c>
      <c r="J309">
        <f t="shared" si="217"/>
        <v>9</v>
      </c>
      <c r="M309">
        <f t="shared" si="218"/>
        <v>8.8857281868851713E-3</v>
      </c>
      <c r="N309">
        <f t="shared" si="219"/>
        <v>-1.5707963250000001</v>
      </c>
      <c r="O309">
        <f t="shared" si="220"/>
        <v>61.095196939794519</v>
      </c>
      <c r="P309">
        <f t="shared" si="221"/>
        <v>1.5544276970690405</v>
      </c>
      <c r="Q309">
        <f t="shared" si="222"/>
        <v>24.962359615913787</v>
      </c>
      <c r="R309">
        <f t="shared" si="223"/>
        <v>1.530725288631245</v>
      </c>
      <c r="S309">
        <f t="shared" si="224"/>
        <v>0.95239953344692319</v>
      </c>
      <c r="T309">
        <f t="shared" si="225"/>
        <v>-0.30978369456638116</v>
      </c>
      <c r="U309">
        <f t="shared" si="226"/>
        <v>0.89479896448027141</v>
      </c>
      <c r="V309">
        <f t="shared" si="227"/>
        <v>-0.46281560590139231</v>
      </c>
      <c r="X309">
        <f t="shared" si="244"/>
        <v>-12.56169355094741</v>
      </c>
      <c r="Y309">
        <f t="shared" si="228"/>
        <v>-107.68131273376083</v>
      </c>
      <c r="Z309">
        <f t="shared" si="245"/>
        <v>72.318687266239166</v>
      </c>
      <c r="AC309">
        <v>1</v>
      </c>
      <c r="AD309">
        <f t="shared" si="229"/>
        <v>61.087012442190009</v>
      </c>
      <c r="AE309">
        <f t="shared" si="230"/>
        <v>-1.0209639094698429E-3</v>
      </c>
      <c r="AF309">
        <f t="shared" si="231"/>
        <v>2.0461821247979997E-3</v>
      </c>
      <c r="AG309">
        <f t="shared" si="246"/>
        <v>23707.930685992793</v>
      </c>
      <c r="AH309">
        <f t="shared" si="247"/>
        <v>-12318.034300636609</v>
      </c>
      <c r="AJ309">
        <f t="shared" si="232"/>
        <v>55000</v>
      </c>
      <c r="AK309">
        <f t="shared" si="233"/>
        <v>17604.896161978126</v>
      </c>
      <c r="AL309">
        <v>1</v>
      </c>
      <c r="AM309">
        <f t="shared" si="234"/>
        <v>24.94232141550188</v>
      </c>
      <c r="AN309">
        <f t="shared" si="248"/>
        <v>792.95714507731134</v>
      </c>
      <c r="AO309">
        <f t="shared" si="249"/>
        <v>-2173.295819258929</v>
      </c>
      <c r="AQ309">
        <f t="shared" si="235"/>
        <v>5.0459911594019455E-2</v>
      </c>
      <c r="AR309">
        <f t="shared" si="236"/>
        <v>-12.63137736977292</v>
      </c>
      <c r="AT309">
        <f t="shared" si="261"/>
        <v>-154397.43961865554</v>
      </c>
      <c r="AU309">
        <f t="shared" si="262"/>
        <v>-300085.38607301656</v>
      </c>
      <c r="AV309">
        <f t="shared" si="250"/>
        <v>-2.0459857769210674</v>
      </c>
      <c r="AW309">
        <f t="shared" si="251"/>
        <v>-4396.3907779682677</v>
      </c>
      <c r="AX309">
        <f t="shared" si="252"/>
        <v>-36039.739091245829</v>
      </c>
      <c r="AY309">
        <f t="shared" si="260"/>
        <v>-1.6921838875418136</v>
      </c>
      <c r="BA309">
        <f t="shared" si="237"/>
        <v>9.2950825769230541</v>
      </c>
      <c r="BB309">
        <f t="shared" si="253"/>
        <v>19.365065047392804</v>
      </c>
      <c r="BC309">
        <f t="shared" si="254"/>
        <v>-0.35380188937925383</v>
      </c>
      <c r="BD309">
        <f t="shared" si="238"/>
        <v>-200.27135506834907</v>
      </c>
      <c r="BF309">
        <f t="shared" si="239"/>
        <v>-14.447236013444476</v>
      </c>
      <c r="BG309">
        <f t="shared" si="240"/>
        <v>-170.45223401476071</v>
      </c>
      <c r="BH309">
        <f t="shared" si="255"/>
        <v>9.5477659852392947</v>
      </c>
      <c r="BI309">
        <f t="shared" si="256"/>
        <v>9.5477659852392947</v>
      </c>
      <c r="BJ309">
        <f t="shared" si="241"/>
        <v>0</v>
      </c>
      <c r="BK309">
        <f t="shared" si="257"/>
        <v>0</v>
      </c>
      <c r="BM309">
        <f t="shared" si="258"/>
        <v>-33.812301060837278</v>
      </c>
      <c r="BN309">
        <f t="shared" si="242"/>
        <v>-150.18087894641164</v>
      </c>
      <c r="BQ309" s="75">
        <f t="shared" si="259"/>
        <v>36.267025847677942</v>
      </c>
      <c r="BR309" s="80"/>
      <c r="BS309" s="80"/>
      <c r="BT309" s="80">
        <v>97723.721999999994</v>
      </c>
      <c r="BU309" s="80">
        <v>5.9855799999999997</v>
      </c>
      <c r="BV309" s="80">
        <v>-129.62100000000001</v>
      </c>
      <c r="BY309" s="80"/>
      <c r="BZ309" s="80"/>
      <c r="CA309" s="80"/>
      <c r="CC309" s="80"/>
    </row>
    <row r="310" spans="1:81">
      <c r="A310">
        <f t="shared" si="263"/>
        <v>480000</v>
      </c>
      <c r="B310">
        <f t="shared" si="243"/>
        <v>480</v>
      </c>
      <c r="C310">
        <f t="shared" si="212"/>
        <v>1.1465946295732898</v>
      </c>
      <c r="D310">
        <f t="shared" si="213"/>
        <v>0.51122095620842489</v>
      </c>
      <c r="F310">
        <f t="shared" si="214"/>
        <v>1.9395462641727292E-3</v>
      </c>
      <c r="G310">
        <f t="shared" si="215"/>
        <v>1.3533667431584176E-2</v>
      </c>
      <c r="H310">
        <f t="shared" si="216"/>
        <v>-3.1280589825684162</v>
      </c>
      <c r="J310">
        <f t="shared" si="217"/>
        <v>9</v>
      </c>
      <c r="M310">
        <f t="shared" si="218"/>
        <v>8.7931685182717854E-3</v>
      </c>
      <c r="N310">
        <f t="shared" si="219"/>
        <v>-1.5707963250000001</v>
      </c>
      <c r="O310">
        <f t="shared" si="220"/>
        <v>61.73813287945638</v>
      </c>
      <c r="P310">
        <f t="shared" si="221"/>
        <v>1.5545981736483023</v>
      </c>
      <c r="Q310">
        <f t="shared" si="222"/>
        <v>25.224701801351614</v>
      </c>
      <c r="R310">
        <f t="shared" si="223"/>
        <v>1.5311422555519179</v>
      </c>
      <c r="S310">
        <f t="shared" si="224"/>
        <v>0.95146431044459756</v>
      </c>
      <c r="T310">
        <f t="shared" si="225"/>
        <v>-0.31283692458977014</v>
      </c>
      <c r="U310">
        <f t="shared" si="226"/>
        <v>0.89291751159246557</v>
      </c>
      <c r="V310">
        <f t="shared" si="227"/>
        <v>-0.46701204173040911</v>
      </c>
      <c r="X310">
        <f t="shared" si="244"/>
        <v>-12.658373456428681</v>
      </c>
      <c r="Y310">
        <f t="shared" si="228"/>
        <v>-107.81592576185552</v>
      </c>
      <c r="Z310">
        <f t="shared" si="245"/>
        <v>72.184074238144476</v>
      </c>
      <c r="AC310">
        <v>1</v>
      </c>
      <c r="AD310">
        <f t="shared" si="229"/>
        <v>61.730033625792004</v>
      </c>
      <c r="AE310">
        <f t="shared" si="230"/>
        <v>-1.0425710127062685E-3</v>
      </c>
      <c r="AF310">
        <f t="shared" si="231"/>
        <v>2.0677208840064001E-3</v>
      </c>
      <c r="AG310">
        <f t="shared" si="246"/>
        <v>23608.336337761459</v>
      </c>
      <c r="AH310">
        <f t="shared" si="247"/>
        <v>-12387.245939278755</v>
      </c>
      <c r="AJ310">
        <f t="shared" si="232"/>
        <v>55000</v>
      </c>
      <c r="AK310">
        <f t="shared" si="233"/>
        <v>17790.210858420003</v>
      </c>
      <c r="AL310">
        <v>1</v>
      </c>
      <c r="AM310">
        <f t="shared" si="234"/>
        <v>25.204872167243998</v>
      </c>
      <c r="AN310">
        <f t="shared" si="248"/>
        <v>791.15416971992079</v>
      </c>
      <c r="AO310">
        <f t="shared" si="249"/>
        <v>-2150.7288539526639</v>
      </c>
      <c r="AQ310">
        <f t="shared" si="235"/>
        <v>4.9414155029450832E-2</v>
      </c>
      <c r="AR310">
        <f t="shared" si="236"/>
        <v>-12.499804656249882</v>
      </c>
      <c r="AT310">
        <f t="shared" si="261"/>
        <v>-153671.56847812748</v>
      </c>
      <c r="AU310">
        <f t="shared" si="262"/>
        <v>-295711.69777229545</v>
      </c>
      <c r="AV310">
        <f t="shared" si="250"/>
        <v>-2.0500533480839778</v>
      </c>
      <c r="AW310">
        <f t="shared" si="251"/>
        <v>-3929.263614704289</v>
      </c>
      <c r="AX310">
        <f t="shared" si="252"/>
        <v>-35822.566583530897</v>
      </c>
      <c r="AY310">
        <f t="shared" si="260"/>
        <v>-1.6800464127889216</v>
      </c>
      <c r="BA310">
        <f t="shared" si="237"/>
        <v>9.2475329510800464</v>
      </c>
      <c r="BB310">
        <f t="shared" si="253"/>
        <v>19.320517749619931</v>
      </c>
      <c r="BC310">
        <f t="shared" si="254"/>
        <v>-0.37000693529505613</v>
      </c>
      <c r="BD310">
        <f t="shared" si="238"/>
        <v>-201.1998358072012</v>
      </c>
      <c r="BF310">
        <f t="shared" si="239"/>
        <v>-14.652431129241565</v>
      </c>
      <c r="BG310">
        <f t="shared" si="240"/>
        <v>-171.13361055829705</v>
      </c>
      <c r="BH310">
        <f t="shared" si="255"/>
        <v>8.8663894417029496</v>
      </c>
      <c r="BI310">
        <f t="shared" si="256"/>
        <v>8.8663894417029496</v>
      </c>
      <c r="BJ310">
        <f t="shared" si="241"/>
        <v>0</v>
      </c>
      <c r="BK310">
        <f t="shared" si="257"/>
        <v>0</v>
      </c>
      <c r="BM310">
        <f t="shared" si="258"/>
        <v>-33.972948878861494</v>
      </c>
      <c r="BN310">
        <f t="shared" si="242"/>
        <v>-149.93377475109588</v>
      </c>
      <c r="BQ310" s="75">
        <f t="shared" si="259"/>
        <v>36.222478549905063</v>
      </c>
      <c r="BR310" s="80"/>
      <c r="BS310" s="80"/>
      <c r="BT310" s="80">
        <v>100000</v>
      </c>
      <c r="BU310" s="80">
        <v>6.1811499999999997</v>
      </c>
      <c r="BV310" s="80">
        <v>-129.59</v>
      </c>
      <c r="BY310" s="80"/>
      <c r="BZ310" s="80"/>
      <c r="CA310" s="80"/>
      <c r="CC310" s="80"/>
    </row>
    <row r="311" spans="1:81">
      <c r="A311">
        <f t="shared" si="263"/>
        <v>485000</v>
      </c>
      <c r="B311">
        <f t="shared" si="243"/>
        <v>485</v>
      </c>
      <c r="C311">
        <f t="shared" si="212"/>
        <v>1.1494647480652675</v>
      </c>
      <c r="D311">
        <f t="shared" si="213"/>
        <v>0.5156545783685742</v>
      </c>
      <c r="F311">
        <f t="shared" si="214"/>
        <v>1.8996896463592515E-3</v>
      </c>
      <c r="G311">
        <f t="shared" si="215"/>
        <v>1.3393628258631385E-2</v>
      </c>
      <c r="H311">
        <f t="shared" si="216"/>
        <v>-3.1281990217413687</v>
      </c>
      <c r="J311">
        <f t="shared" si="217"/>
        <v>9</v>
      </c>
      <c r="M311">
        <f t="shared" si="218"/>
        <v>8.7025172964339311E-3</v>
      </c>
      <c r="N311">
        <f t="shared" si="219"/>
        <v>-1.5707963250000001</v>
      </c>
      <c r="O311">
        <f t="shared" si="220"/>
        <v>62.381070576382939</v>
      </c>
      <c r="P311">
        <f t="shared" si="221"/>
        <v>1.5547651361592907</v>
      </c>
      <c r="Q311">
        <f t="shared" si="222"/>
        <v>25.487048282107914</v>
      </c>
      <c r="R311">
        <f t="shared" si="223"/>
        <v>1.5315506385900113</v>
      </c>
      <c r="S311">
        <f t="shared" si="224"/>
        <v>0.95052208749179257</v>
      </c>
      <c r="T311">
        <f t="shared" si="225"/>
        <v>-0.3158841358238631</v>
      </c>
      <c r="U311">
        <f t="shared" si="226"/>
        <v>0.89102836191026591</v>
      </c>
      <c r="V311">
        <f t="shared" si="227"/>
        <v>-0.47119079405212849</v>
      </c>
      <c r="X311">
        <f t="shared" si="244"/>
        <v>-12.754163524264804</v>
      </c>
      <c r="Y311">
        <f t="shared" si="228"/>
        <v>-107.95097392079366</v>
      </c>
      <c r="Z311">
        <f t="shared" si="245"/>
        <v>72.049026079206342</v>
      </c>
      <c r="AC311">
        <v>1</v>
      </c>
      <c r="AD311">
        <f t="shared" si="229"/>
        <v>62.373054809394006</v>
      </c>
      <c r="AE311">
        <f t="shared" si="230"/>
        <v>-1.0644043683326041E-3</v>
      </c>
      <c r="AF311">
        <f t="shared" si="231"/>
        <v>2.0892596432148E-3</v>
      </c>
      <c r="AG311">
        <f t="shared" si="246"/>
        <v>23508.545482198144</v>
      </c>
      <c r="AH311">
        <f t="shared" si="247"/>
        <v>-12455.416247047084</v>
      </c>
      <c r="AJ311">
        <f t="shared" si="232"/>
        <v>55000</v>
      </c>
      <c r="AK311">
        <f t="shared" si="233"/>
        <v>17975.525554861877</v>
      </c>
      <c r="AL311">
        <v>1</v>
      </c>
      <c r="AM311">
        <f t="shared" si="234"/>
        <v>25.467422918986127</v>
      </c>
      <c r="AN311">
        <f t="shared" si="248"/>
        <v>789.40655408944122</v>
      </c>
      <c r="AO311">
        <f t="shared" si="249"/>
        <v>-2128.6250131534198</v>
      </c>
      <c r="AQ311">
        <f t="shared" si="235"/>
        <v>4.8400573783903986E-2</v>
      </c>
      <c r="AR311">
        <f t="shared" si="236"/>
        <v>-12.37094465629694</v>
      </c>
      <c r="AT311">
        <f t="shared" si="261"/>
        <v>-152947.43797319781</v>
      </c>
      <c r="AU311">
        <f t="shared" si="262"/>
        <v>-291425.76440338715</v>
      </c>
      <c r="AV311">
        <f t="shared" si="250"/>
        <v>-2.0541058918435446</v>
      </c>
      <c r="AW311">
        <f t="shared" si="251"/>
        <v>-3479.485821502125</v>
      </c>
      <c r="AX311">
        <f t="shared" si="252"/>
        <v>-35610.972139526944</v>
      </c>
      <c r="AY311">
        <f t="shared" si="260"/>
        <v>-1.6681954102698755</v>
      </c>
      <c r="BA311">
        <f t="shared" si="237"/>
        <v>9.1983735929705368</v>
      </c>
      <c r="BB311">
        <f t="shared" si="253"/>
        <v>19.274220890302121</v>
      </c>
      <c r="BC311">
        <f t="shared" si="254"/>
        <v>-0.38591048157366914</v>
      </c>
      <c r="BD311">
        <f t="shared" si="238"/>
        <v>-202.11104188929792</v>
      </c>
      <c r="BF311">
        <f t="shared" si="239"/>
        <v>-14.857362669691131</v>
      </c>
      <c r="BG311">
        <f t="shared" si="240"/>
        <v>-171.79881245595712</v>
      </c>
      <c r="BH311">
        <f t="shared" si="255"/>
        <v>8.201187544042881</v>
      </c>
      <c r="BI311">
        <f t="shared" si="256"/>
        <v>8.201187544042881</v>
      </c>
      <c r="BJ311">
        <f t="shared" si="241"/>
        <v>0</v>
      </c>
      <c r="BK311">
        <f t="shared" si="257"/>
        <v>0</v>
      </c>
      <c r="BM311">
        <f t="shared" si="258"/>
        <v>-34.13158355999326</v>
      </c>
      <c r="BN311">
        <f t="shared" si="242"/>
        <v>-149.68777056665922</v>
      </c>
      <c r="BQ311" s="75">
        <f t="shared" si="259"/>
        <v>36.176181690587256</v>
      </c>
      <c r="BR311" s="80"/>
      <c r="BS311" s="80"/>
      <c r="BT311" s="80">
        <v>102329.299</v>
      </c>
      <c r="BU311" s="80">
        <v>6.3762999999999996</v>
      </c>
      <c r="BV311" s="80">
        <v>-129.61099999999999</v>
      </c>
      <c r="BY311" s="80"/>
      <c r="BZ311" s="80"/>
      <c r="CA311" s="80"/>
      <c r="CC311" s="80"/>
    </row>
    <row r="312" spans="1:81">
      <c r="A312">
        <f t="shared" si="263"/>
        <v>490000</v>
      </c>
      <c r="B312">
        <f t="shared" si="243"/>
        <v>490</v>
      </c>
      <c r="C312">
        <f t="shared" si="212"/>
        <v>1.1523573487810994</v>
      </c>
      <c r="D312">
        <f t="shared" si="213"/>
        <v>0.52006602868613727</v>
      </c>
      <c r="F312">
        <f t="shared" si="214"/>
        <v>1.8610497818762773E-3</v>
      </c>
      <c r="G312">
        <f t="shared" si="215"/>
        <v>1.3256462644239395E-2</v>
      </c>
      <c r="H312">
        <f t="shared" si="216"/>
        <v>-3.1283361873557607</v>
      </c>
      <c r="J312">
        <f t="shared" si="217"/>
        <v>9</v>
      </c>
      <c r="M312">
        <f t="shared" si="218"/>
        <v>8.6137160995315449E-3</v>
      </c>
      <c r="N312">
        <f t="shared" si="219"/>
        <v>-1.5707963250000001</v>
      </c>
      <c r="O312">
        <f t="shared" si="220"/>
        <v>63.024009976794154</v>
      </c>
      <c r="P312">
        <f t="shared" si="221"/>
        <v>1.5549286921388477</v>
      </c>
      <c r="Q312">
        <f t="shared" si="222"/>
        <v>25.749398926894763</v>
      </c>
      <c r="R312">
        <f t="shared" si="223"/>
        <v>1.5319506999807384</v>
      </c>
      <c r="S312">
        <f t="shared" si="224"/>
        <v>0.94957293777867169</v>
      </c>
      <c r="T312">
        <f t="shared" si="225"/>
        <v>-0.31892528962652339</v>
      </c>
      <c r="U312">
        <f t="shared" si="226"/>
        <v>0.88913176147872686</v>
      </c>
      <c r="V312">
        <f t="shared" si="227"/>
        <v>-0.47535182939174275</v>
      </c>
      <c r="X312">
        <f t="shared" si="244"/>
        <v>-12.849083789913472</v>
      </c>
      <c r="Y312">
        <f t="shared" si="228"/>
        <v>-108.08643759154914</v>
      </c>
      <c r="Z312">
        <f t="shared" si="245"/>
        <v>71.913562408450858</v>
      </c>
      <c r="AC312">
        <v>1</v>
      </c>
      <c r="AD312">
        <f t="shared" si="229"/>
        <v>63.016075992996008</v>
      </c>
      <c r="AE312">
        <f t="shared" si="230"/>
        <v>-1.0864639763488503E-3</v>
      </c>
      <c r="AF312">
        <f t="shared" si="231"/>
        <v>2.1107984024232003E-3</v>
      </c>
      <c r="AG312">
        <f t="shared" si="246"/>
        <v>23408.573658052144</v>
      </c>
      <c r="AH312">
        <f t="shared" si="247"/>
        <v>-12522.546912503649</v>
      </c>
      <c r="AJ312">
        <f t="shared" si="232"/>
        <v>55000</v>
      </c>
      <c r="AK312">
        <f t="shared" si="233"/>
        <v>18160.840251303754</v>
      </c>
      <c r="AL312">
        <v>1</v>
      </c>
      <c r="AM312">
        <f t="shared" si="234"/>
        <v>25.729973670728253</v>
      </c>
      <c r="AN312">
        <f t="shared" si="248"/>
        <v>787.71205588481678</v>
      </c>
      <c r="AO312">
        <f t="shared" si="249"/>
        <v>-2106.9702067278013</v>
      </c>
      <c r="AQ312">
        <f t="shared" si="235"/>
        <v>4.7417861335714157E-2</v>
      </c>
      <c r="AR312">
        <f t="shared" si="236"/>
        <v>-12.244714332721466</v>
      </c>
      <c r="AT312">
        <f t="shared" si="261"/>
        <v>-152225.02516192602</v>
      </c>
      <c r="AU312">
        <f t="shared" si="262"/>
        <v>-287225.08977238438</v>
      </c>
      <c r="AV312">
        <f t="shared" si="250"/>
        <v>-2.0581432934517978</v>
      </c>
      <c r="AW312">
        <f t="shared" si="251"/>
        <v>-3046.3478657558248</v>
      </c>
      <c r="AX312">
        <f t="shared" si="252"/>
        <v>-35404.727270936164</v>
      </c>
      <c r="AY312">
        <f t="shared" si="260"/>
        <v>-1.6566284585761002</v>
      </c>
      <c r="BA312">
        <f t="shared" si="237"/>
        <v>9.1477510052556603</v>
      </c>
      <c r="BB312">
        <f t="shared" si="253"/>
        <v>19.226286698678521</v>
      </c>
      <c r="BC312">
        <f t="shared" si="254"/>
        <v>-0.40151483487569761</v>
      </c>
      <c r="BD312">
        <f t="shared" si="238"/>
        <v>-203.00510547655679</v>
      </c>
      <c r="BF312">
        <f t="shared" si="239"/>
        <v>-15.061959790192216</v>
      </c>
      <c r="BG312">
        <f t="shared" si="240"/>
        <v>-172.44797756900715</v>
      </c>
      <c r="BH312">
        <f t="shared" si="255"/>
        <v>7.5520224309928494</v>
      </c>
      <c r="BI312">
        <f t="shared" si="256"/>
        <v>7.5520224309928494</v>
      </c>
      <c r="BJ312">
        <f t="shared" si="241"/>
        <v>0</v>
      </c>
      <c r="BK312">
        <f t="shared" si="257"/>
        <v>0</v>
      </c>
      <c r="BM312">
        <f t="shared" si="258"/>
        <v>-34.288246488870733</v>
      </c>
      <c r="BN312">
        <f t="shared" si="242"/>
        <v>-149.44287209245036</v>
      </c>
      <c r="BQ312" s="75">
        <f t="shared" si="259"/>
        <v>36.12824749896366</v>
      </c>
      <c r="BR312" s="80"/>
      <c r="BS312" s="80"/>
      <c r="BT312" s="80">
        <v>104712.855</v>
      </c>
      <c r="BU312" s="80">
        <v>6.5692300000000001</v>
      </c>
      <c r="BV312" s="80">
        <v>-129.61699999999999</v>
      </c>
      <c r="BY312" s="80"/>
      <c r="BZ312" s="80"/>
      <c r="CA312" s="80"/>
      <c r="CC312" s="80"/>
    </row>
    <row r="313" spans="1:81">
      <c r="A313">
        <f t="shared" si="263"/>
        <v>495000</v>
      </c>
      <c r="B313">
        <f t="shared" si="243"/>
        <v>495</v>
      </c>
      <c r="C313">
        <f t="shared" si="212"/>
        <v>1.1552722628460685</v>
      </c>
      <c r="D313">
        <f t="shared" si="213"/>
        <v>0.52445530264866136</v>
      </c>
      <c r="F313">
        <f t="shared" si="214"/>
        <v>1.8235776148748284E-3</v>
      </c>
      <c r="G313">
        <f t="shared" si="215"/>
        <v>1.3122082887665195E-2</v>
      </c>
      <c r="H313">
        <f t="shared" si="216"/>
        <v>-3.128470567112335</v>
      </c>
      <c r="J313">
        <f t="shared" si="217"/>
        <v>9</v>
      </c>
      <c r="M313">
        <f t="shared" si="218"/>
        <v>8.5267088662029436E-3</v>
      </c>
      <c r="N313">
        <f t="shared" si="219"/>
        <v>-1.5707963250000001</v>
      </c>
      <c r="O313">
        <f t="shared" si="220"/>
        <v>63.666951029082185</v>
      </c>
      <c r="P313">
        <f t="shared" si="221"/>
        <v>1.5550889447807159</v>
      </c>
      <c r="Q313">
        <f t="shared" si="222"/>
        <v>26.011753609718802</v>
      </c>
      <c r="R313">
        <f t="shared" si="223"/>
        <v>1.5323426913905989</v>
      </c>
      <c r="S313">
        <f t="shared" si="224"/>
        <v>0.94861693462464136</v>
      </c>
      <c r="T313">
        <f t="shared" si="225"/>
        <v>-0.32196034795726264</v>
      </c>
      <c r="U313">
        <f t="shared" si="226"/>
        <v>0.88722795416894507</v>
      </c>
      <c r="V313">
        <f t="shared" si="227"/>
        <v>-0.47949511701166936</v>
      </c>
      <c r="X313">
        <f t="shared" si="244"/>
        <v>-12.943153657581885</v>
      </c>
      <c r="Y313">
        <f t="shared" si="228"/>
        <v>-108.22229778486154</v>
      </c>
      <c r="Z313">
        <f t="shared" si="245"/>
        <v>71.777702215138461</v>
      </c>
      <c r="AC313">
        <v>1</v>
      </c>
      <c r="AD313">
        <f t="shared" si="229"/>
        <v>63.659097176598003</v>
      </c>
      <c r="AE313">
        <f t="shared" si="230"/>
        <v>-1.1087498367550064E-3</v>
      </c>
      <c r="AF313">
        <f t="shared" si="231"/>
        <v>2.1323371616316002E-3</v>
      </c>
      <c r="AG313">
        <f t="shared" si="246"/>
        <v>23308.436189390737</v>
      </c>
      <c r="AH313">
        <f t="shared" si="247"/>
        <v>-12588.639968860194</v>
      </c>
      <c r="AJ313">
        <f t="shared" si="232"/>
        <v>55000</v>
      </c>
      <c r="AK313">
        <f t="shared" si="233"/>
        <v>18346.154947745628</v>
      </c>
      <c r="AL313">
        <v>1</v>
      </c>
      <c r="AM313">
        <f t="shared" si="234"/>
        <v>25.992524422470375</v>
      </c>
      <c r="AN313">
        <f t="shared" si="248"/>
        <v>786.06854513912913</v>
      </c>
      <c r="AO313">
        <f t="shared" si="249"/>
        <v>-2085.7509095189407</v>
      </c>
      <c r="AQ313">
        <f t="shared" si="235"/>
        <v>4.646477681221043E-2</v>
      </c>
      <c r="AR313">
        <f t="shared" si="236"/>
        <v>-12.121034003117273</v>
      </c>
      <c r="AT313">
        <f t="shared" si="261"/>
        <v>-151504.31183017389</v>
      </c>
      <c r="AU313">
        <f t="shared" si="262"/>
        <v>-283107.27595761674</v>
      </c>
      <c r="AV313">
        <f t="shared" si="250"/>
        <v>-2.0621654441799606</v>
      </c>
      <c r="AW313">
        <f t="shared" si="251"/>
        <v>-2629.1752274164392</v>
      </c>
      <c r="AX313">
        <f t="shared" si="252"/>
        <v>-35203.614581336355</v>
      </c>
      <c r="AY313">
        <f t="shared" si="260"/>
        <v>-1.6453427390757629</v>
      </c>
      <c r="BA313">
        <f t="shared" si="237"/>
        <v>9.0958052553357707</v>
      </c>
      <c r="BB313">
        <f t="shared" si="253"/>
        <v>19.176823067370048</v>
      </c>
      <c r="BC313">
        <f t="shared" si="254"/>
        <v>-0.41682270510419772</v>
      </c>
      <c r="BD313">
        <f t="shared" si="238"/>
        <v>-203.88218183498603</v>
      </c>
      <c r="BF313">
        <f t="shared" si="239"/>
        <v>-15.266154767110855</v>
      </c>
      <c r="BG313">
        <f t="shared" si="240"/>
        <v>-173.08126644688221</v>
      </c>
      <c r="BH313">
        <f t="shared" si="255"/>
        <v>6.9187335531177894</v>
      </c>
      <c r="BI313">
        <f t="shared" si="256"/>
        <v>6.9187335531177894</v>
      </c>
      <c r="BJ313">
        <f t="shared" si="241"/>
        <v>0</v>
      </c>
      <c r="BK313">
        <f t="shared" si="257"/>
        <v>0</v>
      </c>
      <c r="BM313">
        <f t="shared" si="258"/>
        <v>-34.442977834480899</v>
      </c>
      <c r="BN313">
        <f t="shared" si="242"/>
        <v>-149.19908461189621</v>
      </c>
      <c r="BQ313" s="75">
        <f t="shared" si="259"/>
        <v>36.07878386765519</v>
      </c>
      <c r="BR313" s="80"/>
      <c r="BS313" s="80"/>
      <c r="BT313" s="80">
        <v>107151.931</v>
      </c>
      <c r="BU313" s="80">
        <v>6.77081</v>
      </c>
      <c r="BV313" s="80">
        <v>-129.57599999999999</v>
      </c>
      <c r="BY313" s="80"/>
      <c r="BZ313" s="80"/>
      <c r="CA313" s="80"/>
      <c r="CC313" s="80"/>
    </row>
    <row r="314" spans="1:81">
      <c r="A314">
        <f t="shared" si="263"/>
        <v>500000</v>
      </c>
      <c r="B314">
        <f t="shared" si="243"/>
        <v>500</v>
      </c>
      <c r="C314">
        <f t="shared" si="212"/>
        <v>1.1582093217893574</v>
      </c>
      <c r="D314">
        <f t="shared" si="213"/>
        <v>0.52882239920682772</v>
      </c>
      <c r="F314">
        <f t="shared" si="214"/>
        <v>1.7872265384144951E-3</v>
      </c>
      <c r="G314">
        <f t="shared" si="215"/>
        <v>1.2990404826993835E-2</v>
      </c>
      <c r="H314">
        <f t="shared" si="216"/>
        <v>-3.1286022451730062</v>
      </c>
      <c r="J314">
        <f t="shared" si="217"/>
        <v>9</v>
      </c>
      <c r="M314">
        <f t="shared" si="218"/>
        <v>8.4414417775409145E-3</v>
      </c>
      <c r="N314">
        <f t="shared" si="219"/>
        <v>-1.5707963250000001</v>
      </c>
      <c r="O314">
        <f t="shared" si="220"/>
        <v>64.30989368370291</v>
      </c>
      <c r="P314">
        <f t="shared" si="221"/>
        <v>1.5552459931525864</v>
      </c>
      <c r="Q314">
        <f t="shared" si="222"/>
        <v>26.274112209617087</v>
      </c>
      <c r="R314">
        <f t="shared" si="223"/>
        <v>1.5327268544442412</v>
      </c>
      <c r="S314">
        <f t="shared" si="224"/>
        <v>0.94765415146522847</v>
      </c>
      <c r="T314">
        <f t="shared" si="225"/>
        <v>-0.3249892733771097</v>
      </c>
      <c r="U314">
        <f t="shared" si="226"/>
        <v>0.88531718163489359</v>
      </c>
      <c r="V314">
        <f t="shared" si="227"/>
        <v>-0.48362062887328156</v>
      </c>
      <c r="X314">
        <f t="shared" si="244"/>
        <v>-13.036391925839562</v>
      </c>
      <c r="Y314">
        <f t="shared" si="228"/>
        <v>-108.35853611115165</v>
      </c>
      <c r="Z314">
        <f t="shared" si="245"/>
        <v>71.641463888848349</v>
      </c>
      <c r="AC314">
        <v>1</v>
      </c>
      <c r="AD314">
        <f t="shared" si="229"/>
        <v>64.302118360199998</v>
      </c>
      <c r="AE314">
        <f t="shared" si="230"/>
        <v>-1.1312619495510729E-3</v>
      </c>
      <c r="AF314">
        <f t="shared" si="231"/>
        <v>2.1538759208400001E-3</v>
      </c>
      <c r="AG314">
        <f t="shared" si="246"/>
        <v>23208.148183498328</v>
      </c>
      <c r="AH314">
        <f t="shared" si="247"/>
        <v>-12653.697780745604</v>
      </c>
      <c r="AJ314">
        <f t="shared" si="232"/>
        <v>55000</v>
      </c>
      <c r="AK314">
        <f t="shared" si="233"/>
        <v>18531.469644187502</v>
      </c>
      <c r="AL314">
        <v>1</v>
      </c>
      <c r="AM314">
        <f t="shared" si="234"/>
        <v>26.255075174212504</v>
      </c>
      <c r="AN314">
        <f t="shared" si="248"/>
        <v>784.47399753664922</v>
      </c>
      <c r="AO314">
        <f t="shared" si="249"/>
        <v>-2064.9541333522193</v>
      </c>
      <c r="AQ314">
        <f t="shared" si="235"/>
        <v>4.55401410707406E-2</v>
      </c>
      <c r="AR314">
        <f t="shared" si="236"/>
        <v>-11.999827172140149</v>
      </c>
      <c r="AT314">
        <f t="shared" si="261"/>
        <v>-150785.28411517345</v>
      </c>
      <c r="AU314">
        <f t="shared" si="262"/>
        <v>-279070.01836939994</v>
      </c>
      <c r="AV314">
        <f t="shared" si="250"/>
        <v>-2.0661722411161869</v>
      </c>
      <c r="AW314">
        <f t="shared" si="251"/>
        <v>-2227.3263306100935</v>
      </c>
      <c r="AX314">
        <f t="shared" si="252"/>
        <v>-35007.427128233707</v>
      </c>
      <c r="AY314">
        <f t="shared" si="260"/>
        <v>-1.6343350766830189</v>
      </c>
      <c r="BA314">
        <f t="shared" si="237"/>
        <v>9.0426698932076448</v>
      </c>
      <c r="BB314">
        <f t="shared" si="253"/>
        <v>19.125933540245093</v>
      </c>
      <c r="BC314">
        <f t="shared" si="254"/>
        <v>-0.431837164433168</v>
      </c>
      <c r="BD314">
        <f t="shared" si="238"/>
        <v>-204.74244698718985</v>
      </c>
      <c r="BF314">
        <f t="shared" si="239"/>
        <v>-15.469883058177594</v>
      </c>
      <c r="BG314">
        <f t="shared" si="240"/>
        <v>-173.69885999443065</v>
      </c>
      <c r="BH314">
        <f t="shared" si="255"/>
        <v>6.3011400055693514</v>
      </c>
      <c r="BI314">
        <f t="shared" si="256"/>
        <v>6.3011400055693514</v>
      </c>
      <c r="BJ314">
        <f t="shared" si="241"/>
        <v>0</v>
      </c>
      <c r="BK314">
        <f t="shared" si="257"/>
        <v>0</v>
      </c>
      <c r="BM314">
        <f t="shared" si="258"/>
        <v>-34.595816598422687</v>
      </c>
      <c r="BN314">
        <f t="shared" si="242"/>
        <v>-148.95641300724083</v>
      </c>
      <c r="BQ314" s="75">
        <f t="shared" si="259"/>
        <v>36.027894340530231</v>
      </c>
      <c r="BR314" s="80"/>
      <c r="BS314" s="80"/>
      <c r="BT314" s="80">
        <v>109647.82</v>
      </c>
      <c r="BU314" s="80">
        <v>6.9849899999999998</v>
      </c>
      <c r="BV314" s="80">
        <v>-129.52799999999999</v>
      </c>
      <c r="BY314" s="80"/>
      <c r="BZ314" s="80"/>
      <c r="CA314" s="80"/>
      <c r="CC314" s="80"/>
    </row>
    <row r="315" spans="1:81">
      <c r="A315">
        <f t="shared" si="263"/>
        <v>505000</v>
      </c>
      <c r="B315">
        <f t="shared" si="243"/>
        <v>505</v>
      </c>
      <c r="C315">
        <f t="shared" si="212"/>
        <v>1.1611683575712293</v>
      </c>
      <c r="D315">
        <f t="shared" si="213"/>
        <v>0.53316732070548667</v>
      </c>
      <c r="F315">
        <f t="shared" si="214"/>
        <v>1.7519522491337058E-3</v>
      </c>
      <c r="G315">
        <f t="shared" si="215"/>
        <v>1.2861347662139403E-2</v>
      </c>
      <c r="H315">
        <f t="shared" si="216"/>
        <v>-3.1287313023378607</v>
      </c>
      <c r="J315">
        <f t="shared" si="217"/>
        <v>9</v>
      </c>
      <c r="M315">
        <f t="shared" si="218"/>
        <v>8.3578631460801134E-3</v>
      </c>
      <c r="N315">
        <f t="shared" si="219"/>
        <v>-1.5707963250000001</v>
      </c>
      <c r="O315">
        <f t="shared" si="220"/>
        <v>64.952837893073735</v>
      </c>
      <c r="P315">
        <f t="shared" si="221"/>
        <v>1.5553999324002592</v>
      </c>
      <c r="Q315">
        <f t="shared" si="222"/>
        <v>26.536474610408611</v>
      </c>
      <c r="R315">
        <f t="shared" si="223"/>
        <v>1.5331034212201367</v>
      </c>
      <c r="S315">
        <f t="shared" si="224"/>
        <v>0.94668466183907107</v>
      </c>
      <c r="T315">
        <f t="shared" si="225"/>
        <v>-0.32801202904835908</v>
      </c>
      <c r="U315">
        <f t="shared" si="226"/>
        <v>0.88339968327245377</v>
      </c>
      <c r="V315">
        <f t="shared" si="227"/>
        <v>-0.48772833959828449</v>
      </c>
      <c r="X315">
        <f t="shared" si="244"/>
        <v>-13.128816811928331</v>
      </c>
      <c r="Y315">
        <f t="shared" si="228"/>
        <v>-108.49513475228936</v>
      </c>
      <c r="Z315">
        <f t="shared" si="245"/>
        <v>71.50486524771064</v>
      </c>
      <c r="AC315">
        <v>1</v>
      </c>
      <c r="AD315">
        <f t="shared" si="229"/>
        <v>64.945139543802</v>
      </c>
      <c r="AE315">
        <f t="shared" si="230"/>
        <v>-1.1540003147370494E-3</v>
      </c>
      <c r="AF315">
        <f t="shared" si="231"/>
        <v>2.1754146800484005E-3</v>
      </c>
      <c r="AG315">
        <f t="shared" si="246"/>
        <v>23107.724528968778</v>
      </c>
      <c r="AH315">
        <f t="shared" si="247"/>
        <v>-12717.723031395311</v>
      </c>
      <c r="AJ315">
        <f t="shared" si="232"/>
        <v>55000</v>
      </c>
      <c r="AK315">
        <f t="shared" si="233"/>
        <v>18716.784340629376</v>
      </c>
      <c r="AL315">
        <v>1</v>
      </c>
      <c r="AM315">
        <f t="shared" si="234"/>
        <v>26.517625925954626</v>
      </c>
      <c r="AN315">
        <f t="shared" si="248"/>
        <v>782.926488188956</v>
      </c>
      <c r="AO315">
        <f t="shared" si="249"/>
        <v>-2044.5674006866907</v>
      </c>
      <c r="AQ315">
        <f t="shared" si="235"/>
        <v>4.4642833049941641E-2</v>
      </c>
      <c r="AR315">
        <f t="shared" si="236"/>
        <v>-11.881020373746219</v>
      </c>
      <c r="AT315">
        <f t="shared" si="261"/>
        <v>-150067.93215535843</v>
      </c>
      <c r="AU315">
        <f t="shared" si="262"/>
        <v>-275111.10110565927</v>
      </c>
      <c r="AV315">
        <f t="shared" si="250"/>
        <v>-2.070163586972678</v>
      </c>
      <c r="AW315">
        <f t="shared" si="251"/>
        <v>-1840.190617229425</v>
      </c>
      <c r="AX315">
        <f t="shared" si="252"/>
        <v>-34815.967828597066</v>
      </c>
      <c r="AY315">
        <f t="shared" si="260"/>
        <v>-1.6236019787811995</v>
      </c>
      <c r="BA315">
        <f t="shared" si="237"/>
        <v>8.988471924444406</v>
      </c>
      <c r="BB315">
        <f t="shared" si="253"/>
        <v>19.073717324789627</v>
      </c>
      <c r="BC315">
        <f t="shared" si="254"/>
        <v>-0.4465616081914785</v>
      </c>
      <c r="BD315">
        <f t="shared" si="238"/>
        <v>-205.58609547118277</v>
      </c>
      <c r="BF315">
        <f t="shared" si="239"/>
        <v>-15.673083335953867</v>
      </c>
      <c r="BG315">
        <f t="shared" si="240"/>
        <v>-174.30095724482084</v>
      </c>
      <c r="BH315">
        <f t="shared" si="255"/>
        <v>5.699042755179164</v>
      </c>
      <c r="BI315">
        <f t="shared" si="256"/>
        <v>5.699042755179164</v>
      </c>
      <c r="BJ315">
        <f t="shared" si="241"/>
        <v>0</v>
      </c>
      <c r="BK315">
        <f t="shared" si="257"/>
        <v>0</v>
      </c>
      <c r="BM315">
        <f t="shared" si="258"/>
        <v>-34.746800660743496</v>
      </c>
      <c r="BN315">
        <f t="shared" si="242"/>
        <v>-148.71486177363806</v>
      </c>
      <c r="BQ315" s="75">
        <f t="shared" si="259"/>
        <v>35.975678125074765</v>
      </c>
      <c r="BR315" s="80"/>
      <c r="BS315" s="80"/>
      <c r="BT315" s="80">
        <v>112201.845</v>
      </c>
      <c r="BU315" s="80">
        <v>7.2120699999999998</v>
      </c>
      <c r="BV315" s="80">
        <v>-129.44300000000001</v>
      </c>
      <c r="BY315" s="80"/>
      <c r="BZ315" s="80"/>
      <c r="CA315" s="80"/>
      <c r="CC315" s="80"/>
    </row>
    <row r="316" spans="1:81">
      <c r="A316">
        <f t="shared" si="263"/>
        <v>510000</v>
      </c>
      <c r="B316">
        <f t="shared" si="243"/>
        <v>510</v>
      </c>
      <c r="C316">
        <f t="shared" si="212"/>
        <v>1.1641492026094358</v>
      </c>
      <c r="D316">
        <f t="shared" si="213"/>
        <v>0.53749007281470373</v>
      </c>
      <c r="F316">
        <f t="shared" si="214"/>
        <v>1.7177126118886655E-3</v>
      </c>
      <c r="G316">
        <f t="shared" si="215"/>
        <v>1.2734833788380612E-2</v>
      </c>
      <c r="H316">
        <f t="shared" si="216"/>
        <v>-3.1288578162116196</v>
      </c>
      <c r="J316">
        <f t="shared" si="217"/>
        <v>9</v>
      </c>
      <c r="M316">
        <f t="shared" si="218"/>
        <v>8.2759233113146209E-3</v>
      </c>
      <c r="N316">
        <f t="shared" si="219"/>
        <v>-1.5707963250000001</v>
      </c>
      <c r="O316">
        <f t="shared" si="220"/>
        <v>65.595783611477515</v>
      </c>
      <c r="P316">
        <f t="shared" si="221"/>
        <v>1.5555508539398006</v>
      </c>
      <c r="Q316">
        <f t="shared" si="222"/>
        <v>26.798840700460403</v>
      </c>
      <c r="R316">
        <f t="shared" si="223"/>
        <v>1.5334726147171918</v>
      </c>
      <c r="S316">
        <f t="shared" si="224"/>
        <v>0.94570853937502797</v>
      </c>
      <c r="T316">
        <f t="shared" si="225"/>
        <v>-0.33102857873419961</v>
      </c>
      <c r="U316">
        <f t="shared" si="226"/>
        <v>0.88147569618061516</v>
      </c>
      <c r="V316">
        <f t="shared" si="227"/>
        <v>-0.49181822642976813</v>
      </c>
      <c r="X316">
        <f t="shared" si="244"/>
        <v>-13.220445974849186</v>
      </c>
      <c r="Y316">
        <f t="shared" si="228"/>
        <v>-108.63207643508474</v>
      </c>
      <c r="Z316">
        <f t="shared" si="245"/>
        <v>71.367923564915259</v>
      </c>
      <c r="AC316">
        <v>1</v>
      </c>
      <c r="AD316">
        <f t="shared" si="229"/>
        <v>65.588160727404002</v>
      </c>
      <c r="AE316">
        <f t="shared" si="230"/>
        <v>-1.1769649323129358E-3</v>
      </c>
      <c r="AF316">
        <f t="shared" si="231"/>
        <v>2.1969534392568E-3</v>
      </c>
      <c r="AG316">
        <f t="shared" si="246"/>
        <v>23007.179893986919</v>
      </c>
      <c r="AH316">
        <f t="shared" si="247"/>
        <v>-12780.718710241068</v>
      </c>
      <c r="AJ316">
        <f t="shared" si="232"/>
        <v>55000</v>
      </c>
      <c r="AK316">
        <f t="shared" si="233"/>
        <v>18902.099037071253</v>
      </c>
      <c r="AL316">
        <v>1</v>
      </c>
      <c r="AM316">
        <f t="shared" si="234"/>
        <v>26.780176677696751</v>
      </c>
      <c r="AN316">
        <f t="shared" si="248"/>
        <v>781.42418583444839</v>
      </c>
      <c r="AO316">
        <f t="shared" si="249"/>
        <v>-2024.5787198006142</v>
      </c>
      <c r="AQ316">
        <f t="shared" si="235"/>
        <v>4.3771786370165912E-2</v>
      </c>
      <c r="AR316">
        <f t="shared" si="236"/>
        <v>-11.764543022709493</v>
      </c>
      <c r="AT316">
        <f t="shared" si="261"/>
        <v>-149352.24976447967</v>
      </c>
      <c r="AU316">
        <f t="shared" si="262"/>
        <v>-271228.39258306782</v>
      </c>
      <c r="AV316">
        <f t="shared" si="250"/>
        <v>-2.074139389901549</v>
      </c>
      <c r="AW316">
        <f t="shared" si="251"/>
        <v>-1467.1867514616692</v>
      </c>
      <c r="AX316">
        <f t="shared" si="252"/>
        <v>-34629.048904440882</v>
      </c>
      <c r="AY316">
        <f t="shared" si="260"/>
        <v>-1.613139672179968</v>
      </c>
      <c r="BA316">
        <f t="shared" si="237"/>
        <v>8.9333318317446508</v>
      </c>
      <c r="BB316">
        <f t="shared" si="253"/>
        <v>19.02026932618611</v>
      </c>
      <c r="BC316">
        <f t="shared" si="254"/>
        <v>-0.46099971772158099</v>
      </c>
      <c r="BD316">
        <f t="shared" si="238"/>
        <v>-206.41333821235054</v>
      </c>
      <c r="BF316">
        <f t="shared" si="239"/>
        <v>-15.875697497308721</v>
      </c>
      <c r="BG316">
        <f t="shared" si="240"/>
        <v>-174.88777324499068</v>
      </c>
      <c r="BH316">
        <f t="shared" si="255"/>
        <v>5.112226755009317</v>
      </c>
      <c r="BI316">
        <f t="shared" si="256"/>
        <v>5.112226755009317</v>
      </c>
      <c r="BJ316">
        <f t="shared" si="241"/>
        <v>0</v>
      </c>
      <c r="BK316">
        <f t="shared" si="257"/>
        <v>0</v>
      </c>
      <c r="BM316">
        <f t="shared" si="258"/>
        <v>-34.895966823494831</v>
      </c>
      <c r="BN316">
        <f t="shared" si="242"/>
        <v>-148.47443503264014</v>
      </c>
      <c r="BQ316" s="75">
        <f t="shared" si="259"/>
        <v>35.922230126471241</v>
      </c>
      <c r="BR316" s="80"/>
      <c r="BS316" s="80"/>
      <c r="BT316" s="80">
        <v>114815.36199999999</v>
      </c>
      <c r="BU316" s="80">
        <v>7.47248</v>
      </c>
      <c r="BV316" s="80">
        <v>-129.58500000000001</v>
      </c>
      <c r="BY316" s="80"/>
      <c r="BZ316" s="80"/>
      <c r="CA316" s="80"/>
      <c r="CC316" s="80"/>
    </row>
    <row r="317" spans="1:81">
      <c r="A317">
        <f t="shared" si="263"/>
        <v>515000</v>
      </c>
      <c r="B317">
        <f t="shared" si="243"/>
        <v>515</v>
      </c>
      <c r="C317">
        <f t="shared" si="212"/>
        <v>1.1671516898048517</v>
      </c>
      <c r="D317">
        <f t="shared" si="213"/>
        <v>0.54179066446086699</v>
      </c>
      <c r="F317">
        <f t="shared" si="214"/>
        <v>1.6844675335866571E-3</v>
      </c>
      <c r="G317">
        <f t="shared" si="215"/>
        <v>1.2610788639705614E-2</v>
      </c>
      <c r="H317">
        <f t="shared" si="216"/>
        <v>-3.1289818613602947</v>
      </c>
      <c r="J317">
        <f t="shared" si="217"/>
        <v>9</v>
      </c>
      <c r="M317">
        <f t="shared" si="218"/>
        <v>8.1955745413018581E-3</v>
      </c>
      <c r="N317">
        <f t="shared" si="219"/>
        <v>-1.5707963250000001</v>
      </c>
      <c r="O317">
        <f t="shared" si="220"/>
        <v>66.238730794972</v>
      </c>
      <c r="P317">
        <f t="shared" si="221"/>
        <v>1.5556988456385141</v>
      </c>
      <c r="Q317">
        <f t="shared" si="222"/>
        <v>27.061210372467187</v>
      </c>
      <c r="R317">
        <f t="shared" si="223"/>
        <v>1.5338346492942687</v>
      </c>
      <c r="S317">
        <f t="shared" si="224"/>
        <v>0.94472585777940898</v>
      </c>
      <c r="T317">
        <f t="shared" si="225"/>
        <v>-0.33403888679822452</v>
      </c>
      <c r="U317">
        <f t="shared" si="226"/>
        <v>0.87954545512481364</v>
      </c>
      <c r="V317">
        <f t="shared" si="227"/>
        <v>-0.49589026919297402</v>
      </c>
      <c r="X317">
        <f t="shared" si="244"/>
        <v>-13.311296537300141</v>
      </c>
      <c r="Y317">
        <f t="shared" si="228"/>
        <v>-108.76934440638311</v>
      </c>
      <c r="Z317">
        <f t="shared" si="245"/>
        <v>71.230655593616888</v>
      </c>
      <c r="AC317">
        <v>1</v>
      </c>
      <c r="AD317">
        <f t="shared" si="229"/>
        <v>66.231181911006018</v>
      </c>
      <c r="AE317">
        <f t="shared" si="230"/>
        <v>-1.2001558022787329E-3</v>
      </c>
      <c r="AF317">
        <f t="shared" si="231"/>
        <v>2.2184921984651999E-3</v>
      </c>
      <c r="AG317">
        <f t="shared" si="246"/>
        <v>22906.528724795167</v>
      </c>
      <c r="AH317">
        <f t="shared" si="247"/>
        <v>-12842.688100881465</v>
      </c>
      <c r="AJ317">
        <f t="shared" si="232"/>
        <v>55000</v>
      </c>
      <c r="AK317">
        <f t="shared" si="233"/>
        <v>19087.413733513127</v>
      </c>
      <c r="AL317">
        <v>1</v>
      </c>
      <c r="AM317">
        <f t="shared" si="234"/>
        <v>27.04272742943888</v>
      </c>
      <c r="AN317">
        <f t="shared" si="248"/>
        <v>779.96534742867186</v>
      </c>
      <c r="AO317">
        <f t="shared" si="249"/>
        <v>-2004.9765614080432</v>
      </c>
      <c r="AQ317">
        <f t="shared" si="235"/>
        <v>4.2925986163806849E-2</v>
      </c>
      <c r="AR317">
        <f t="shared" si="236"/>
        <v>-11.650327274787999</v>
      </c>
      <c r="AT317">
        <f t="shared" si="261"/>
        <v>-148638.23412819323</v>
      </c>
      <c r="AU317">
        <f t="shared" si="262"/>
        <v>-267419.84142492042</v>
      </c>
      <c r="AV317">
        <f t="shared" si="250"/>
        <v>-2.0780995633188564</v>
      </c>
      <c r="AW317">
        <f t="shared" si="251"/>
        <v>-1107.7609451714495</v>
      </c>
      <c r="AX317">
        <f t="shared" si="252"/>
        <v>-34446.491365330177</v>
      </c>
      <c r="AY317">
        <f t="shared" si="260"/>
        <v>-1.6029441380253171</v>
      </c>
      <c r="BA317">
        <f t="shared" si="237"/>
        <v>8.877363638769598</v>
      </c>
      <c r="BB317">
        <f t="shared" si="253"/>
        <v>18.965680200414226</v>
      </c>
      <c r="BC317">
        <f t="shared" si="254"/>
        <v>-0.47515542529353927</v>
      </c>
      <c r="BD317">
        <f t="shared" si="238"/>
        <v>-207.2244005131719</v>
      </c>
      <c r="BF317">
        <f t="shared" si="239"/>
        <v>-16.077670651728809</v>
      </c>
      <c r="BG317">
        <f t="shared" si="240"/>
        <v>-175.4595370582924</v>
      </c>
      <c r="BH317">
        <f t="shared" si="255"/>
        <v>4.5404629417076023</v>
      </c>
      <c r="BI317">
        <f t="shared" si="256"/>
        <v>4.5404629417076023</v>
      </c>
      <c r="BJ317">
        <f t="shared" si="241"/>
        <v>0</v>
      </c>
      <c r="BK317">
        <f t="shared" si="257"/>
        <v>0</v>
      </c>
      <c r="BM317">
        <f t="shared" si="258"/>
        <v>-35.043350852143035</v>
      </c>
      <c r="BN317">
        <f t="shared" si="242"/>
        <v>-148.2351365451205</v>
      </c>
      <c r="BQ317" s="75">
        <f t="shared" si="259"/>
        <v>35.867641000699365</v>
      </c>
      <c r="BR317" s="80"/>
      <c r="BS317" s="80"/>
      <c r="BT317" s="80">
        <v>117489.755</v>
      </c>
      <c r="BU317" s="80">
        <v>7.6753600000000004</v>
      </c>
      <c r="BV317" s="80">
        <v>-129.61699999999999</v>
      </c>
      <c r="BY317" s="80"/>
      <c r="BZ317" s="80"/>
      <c r="CA317" s="80"/>
      <c r="CC317" s="80"/>
    </row>
    <row r="318" spans="1:81">
      <c r="A318">
        <f t="shared" si="263"/>
        <v>520000</v>
      </c>
      <c r="B318">
        <f t="shared" si="243"/>
        <v>520</v>
      </c>
      <c r="C318">
        <f t="shared" si="212"/>
        <v>1.1701756525663451</v>
      </c>
      <c r="D318">
        <f t="shared" si="213"/>
        <v>0.54606910775790518</v>
      </c>
      <c r="F318">
        <f t="shared" si="214"/>
        <v>1.6521788455064899E-3</v>
      </c>
      <c r="G318">
        <f t="shared" si="215"/>
        <v>1.2489140541297206E-2</v>
      </c>
      <c r="H318">
        <f t="shared" si="216"/>
        <v>-3.129103509458703</v>
      </c>
      <c r="J318">
        <f t="shared" si="217"/>
        <v>9</v>
      </c>
      <c r="M318">
        <f t="shared" si="218"/>
        <v>8.1167709399431864E-3</v>
      </c>
      <c r="N318">
        <f t="shared" si="219"/>
        <v>-1.5707963250000001</v>
      </c>
      <c r="O318">
        <f t="shared" si="220"/>
        <v>66.881679401304524</v>
      </c>
      <c r="P318">
        <f t="shared" si="221"/>
        <v>1.5558439919854756</v>
      </c>
      <c r="Q318">
        <f t="shared" si="222"/>
        <v>27.323583523243784</v>
      </c>
      <c r="R318">
        <f t="shared" si="223"/>
        <v>1.5341897310844308</v>
      </c>
      <c r="S318">
        <f t="shared" si="224"/>
        <v>0.94373669082332923</v>
      </c>
      <c r="T318">
        <f t="shared" si="225"/>
        <v>-0.33704291820382526</v>
      </c>
      <c r="U318">
        <f t="shared" si="226"/>
        <v>0.87760919250237868</v>
      </c>
      <c r="V318">
        <f t="shared" si="227"/>
        <v>-0.49994445025580403</v>
      </c>
      <c r="X318">
        <f t="shared" si="244"/>
        <v>-13.401385106533821</v>
      </c>
      <c r="Y318">
        <f t="shared" si="228"/>
        <v>-108.90692240965538</v>
      </c>
      <c r="Z318">
        <f t="shared" si="245"/>
        <v>71.09307759034462</v>
      </c>
      <c r="AC318">
        <v>1</v>
      </c>
      <c r="AD318">
        <f t="shared" si="229"/>
        <v>66.874203094608006</v>
      </c>
      <c r="AE318">
        <f t="shared" si="230"/>
        <v>-1.2235729246344402E-3</v>
      </c>
      <c r="AF318">
        <f t="shared" si="231"/>
        <v>2.2400309576736002E-3</v>
      </c>
      <c r="AG318">
        <f t="shared" si="246"/>
        <v>22805.785244341165</v>
      </c>
      <c r="AH318">
        <f t="shared" si="247"/>
        <v>-12903.634769415197</v>
      </c>
      <c r="AJ318">
        <f t="shared" si="232"/>
        <v>55000</v>
      </c>
      <c r="AK318">
        <f t="shared" si="233"/>
        <v>19272.728429955005</v>
      </c>
      <c r="AL318">
        <v>1</v>
      </c>
      <c r="AM318">
        <f t="shared" si="234"/>
        <v>27.305278181181002</v>
      </c>
      <c r="AN318">
        <f t="shared" si="248"/>
        <v>778.54831309566123</v>
      </c>
      <c r="AO318">
        <f t="shared" si="249"/>
        <v>-1985.7498366112293</v>
      </c>
      <c r="AQ318">
        <f t="shared" si="235"/>
        <v>4.2104466117926245E-2</v>
      </c>
      <c r="AR318">
        <f t="shared" si="236"/>
        <v>-11.538307894956507</v>
      </c>
      <c r="AT318">
        <f t="shared" si="261"/>
        <v>-147925.88552146559</v>
      </c>
      <c r="AU318">
        <f t="shared" si="262"/>
        <v>-263683.47258841118</v>
      </c>
      <c r="AV318">
        <f t="shared" si="250"/>
        <v>-2.0820440257362485</v>
      </c>
      <c r="AW318">
        <f t="shared" si="251"/>
        <v>-761.38539492044572</v>
      </c>
      <c r="AX318">
        <f t="shared" si="252"/>
        <v>-34268.124524956307</v>
      </c>
      <c r="AY318">
        <f t="shared" si="260"/>
        <v>-1.5930111446155262</v>
      </c>
      <c r="BA318">
        <f t="shared" si="237"/>
        <v>8.8206750103250844</v>
      </c>
      <c r="BB318">
        <f t="shared" si="253"/>
        <v>18.91003642382055</v>
      </c>
      <c r="BC318">
        <f t="shared" si="254"/>
        <v>-0.4890328811207223</v>
      </c>
      <c r="BD318">
        <f t="shared" si="238"/>
        <v>-208.01952016335727</v>
      </c>
      <c r="BF318">
        <f t="shared" si="239"/>
        <v>-16.278951091140883</v>
      </c>
      <c r="BG318">
        <f t="shared" si="240"/>
        <v>-176.01648988702385</v>
      </c>
      <c r="BH318">
        <f t="shared" si="255"/>
        <v>3.9835101129761483</v>
      </c>
      <c r="BI318">
        <f t="shared" si="256"/>
        <v>3.9835101129761483</v>
      </c>
      <c r="BJ318">
        <f t="shared" si="241"/>
        <v>0</v>
      </c>
      <c r="BK318">
        <f t="shared" si="257"/>
        <v>0</v>
      </c>
      <c r="BM318">
        <f t="shared" si="258"/>
        <v>-35.18898751496144</v>
      </c>
      <c r="BN318">
        <f t="shared" si="242"/>
        <v>-147.99696972366661</v>
      </c>
      <c r="BQ318" s="75">
        <f t="shared" si="259"/>
        <v>35.811997224105689</v>
      </c>
      <c r="BR318" s="80"/>
      <c r="BS318" s="80"/>
      <c r="BT318" s="80">
        <v>120226.443</v>
      </c>
      <c r="BU318" s="80">
        <v>7.9446199999999996</v>
      </c>
      <c r="BV318" s="80">
        <v>-129.863</v>
      </c>
      <c r="BY318" s="80"/>
      <c r="BZ318" s="80"/>
      <c r="CA318" s="80"/>
      <c r="CC318" s="80"/>
    </row>
    <row r="319" spans="1:81">
      <c r="A319">
        <f t="shared" si="263"/>
        <v>525000</v>
      </c>
      <c r="B319">
        <f t="shared" si="243"/>
        <v>525</v>
      </c>
      <c r="C319">
        <f t="shared" si="212"/>
        <v>1.1732209248348917</v>
      </c>
      <c r="D319">
        <f t="shared" si="213"/>
        <v>0.55032541793866629</v>
      </c>
      <c r="F319">
        <f t="shared" si="214"/>
        <v>1.6208101934594835E-3</v>
      </c>
      <c r="G319">
        <f t="shared" si="215"/>
        <v>1.2369820570541343E-2</v>
      </c>
      <c r="H319">
        <f t="shared" si="216"/>
        <v>-3.1292228294294588</v>
      </c>
      <c r="J319">
        <f t="shared" si="217"/>
        <v>9</v>
      </c>
      <c r="M319">
        <f t="shared" si="218"/>
        <v>8.0394683595627747E-3</v>
      </c>
      <c r="N319">
        <f t="shared" si="219"/>
        <v>-1.5707963250000001</v>
      </c>
      <c r="O319">
        <f t="shared" si="220"/>
        <v>67.524629389831603</v>
      </c>
      <c r="P319">
        <f t="shared" si="221"/>
        <v>1.5559863742523297</v>
      </c>
      <c r="Q319">
        <f t="shared" si="222"/>
        <v>27.585960053529284</v>
      </c>
      <c r="R319">
        <f t="shared" si="223"/>
        <v>1.5345380583855925</v>
      </c>
      <c r="S319">
        <f t="shared" si="224"/>
        <v>0.94274111233018931</v>
      </c>
      <c r="T319">
        <f t="shared" si="225"/>
        <v>-0.34004063851347066</v>
      </c>
      <c r="U319">
        <f t="shared" si="226"/>
        <v>0.8756671383100525</v>
      </c>
      <c r="V319">
        <f t="shared" si="227"/>
        <v>-0.50398075448910662</v>
      </c>
      <c r="X319">
        <f t="shared" si="244"/>
        <v>-13.490727794198989</v>
      </c>
      <c r="Y319">
        <f t="shared" si="228"/>
        <v>-109.04479466298109</v>
      </c>
      <c r="Z319">
        <f t="shared" si="245"/>
        <v>70.95520533701891</v>
      </c>
      <c r="AC319">
        <v>1</v>
      </c>
      <c r="AD319">
        <f t="shared" si="229"/>
        <v>67.517224278210008</v>
      </c>
      <c r="AE319">
        <f t="shared" si="230"/>
        <v>-1.2472162993800576E-3</v>
      </c>
      <c r="AF319">
        <f t="shared" si="231"/>
        <v>2.2615697168820001E-3</v>
      </c>
      <c r="AG319">
        <f t="shared" si="246"/>
        <v>22704.963451102074</v>
      </c>
      <c r="AH319">
        <f t="shared" si="247"/>
        <v>-12963.562553120573</v>
      </c>
      <c r="AJ319">
        <f t="shared" si="232"/>
        <v>55000</v>
      </c>
      <c r="AK319">
        <f t="shared" si="233"/>
        <v>19458.043126396875</v>
      </c>
      <c r="AL319">
        <v>1</v>
      </c>
      <c r="AM319">
        <f t="shared" si="234"/>
        <v>27.567828932923128</v>
      </c>
      <c r="AN319">
        <f t="shared" si="248"/>
        <v>777.17150141303819</v>
      </c>
      <c r="AO319">
        <f t="shared" si="249"/>
        <v>-1966.8878761007859</v>
      </c>
      <c r="AQ319">
        <f t="shared" si="235"/>
        <v>4.1306305713086147E-2</v>
      </c>
      <c r="AR319">
        <f t="shared" si="236"/>
        <v>-11.428422133168109</v>
      </c>
      <c r="AT319">
        <f t="shared" si="261"/>
        <v>-147215.20704527677</v>
      </c>
      <c r="AU319">
        <f t="shared" si="262"/>
        <v>-260017.38371529785</v>
      </c>
      <c r="AV319">
        <f t="shared" si="250"/>
        <v>-2.085972700599759</v>
      </c>
      <c r="AW319">
        <f t="shared" si="251"/>
        <v>-427.55682218907282</v>
      </c>
      <c r="AX319">
        <f t="shared" si="252"/>
        <v>-34093.785549180931</v>
      </c>
      <c r="AY319">
        <f t="shared" si="260"/>
        <v>-1.5833362781059637</v>
      </c>
      <c r="BA319">
        <f t="shared" si="237"/>
        <v>8.7633673833298094</v>
      </c>
      <c r="BB319">
        <f t="shared" si="253"/>
        <v>18.853420376756866</v>
      </c>
      <c r="BC319">
        <f t="shared" si="254"/>
        <v>-0.50263642249379537</v>
      </c>
      <c r="BD319">
        <f t="shared" si="238"/>
        <v>-208.79894567135659</v>
      </c>
      <c r="BF319">
        <f t="shared" si="239"/>
        <v>-16.479490243765049</v>
      </c>
      <c r="BG319">
        <f t="shared" si="240"/>
        <v>-176.55888331583211</v>
      </c>
      <c r="BH319">
        <f t="shared" si="255"/>
        <v>3.4411166841678948</v>
      </c>
      <c r="BI319">
        <f t="shared" si="256"/>
        <v>3.4411166841678948</v>
      </c>
      <c r="BJ319">
        <f t="shared" si="241"/>
        <v>0</v>
      </c>
      <c r="BK319">
        <f t="shared" si="257"/>
        <v>0</v>
      </c>
      <c r="BM319">
        <f t="shared" si="258"/>
        <v>-35.332910620521915</v>
      </c>
      <c r="BN319">
        <f t="shared" si="242"/>
        <v>-147.75993764447551</v>
      </c>
      <c r="BQ319" s="75">
        <f t="shared" si="259"/>
        <v>35.755381177041997</v>
      </c>
      <c r="BR319" s="80"/>
      <c r="BS319" s="80"/>
      <c r="BT319" s="80">
        <v>123026.87699999999</v>
      </c>
      <c r="BU319" s="80">
        <v>8.1865900000000007</v>
      </c>
      <c r="BV319" s="80">
        <v>-130.31299999999999</v>
      </c>
      <c r="BY319" s="80"/>
      <c r="BZ319" s="80"/>
      <c r="CA319" s="80"/>
      <c r="CC319" s="80"/>
    </row>
    <row r="320" spans="1:81">
      <c r="A320">
        <f t="shared" si="263"/>
        <v>530000</v>
      </c>
      <c r="B320">
        <f t="shared" si="243"/>
        <v>530</v>
      </c>
      <c r="C320">
        <f t="shared" si="212"/>
        <v>1.1762873411069346</v>
      </c>
      <c r="D320">
        <f t="shared" si="213"/>
        <v>0.55455961328650039</v>
      </c>
      <c r="F320">
        <f t="shared" si="214"/>
        <v>1.5903269351993307E-3</v>
      </c>
      <c r="G320">
        <f t="shared" si="215"/>
        <v>1.2252762425989121E-2</v>
      </c>
      <c r="H320">
        <f t="shared" si="216"/>
        <v>-3.129339887574011</v>
      </c>
      <c r="J320">
        <f t="shared" si="217"/>
        <v>9</v>
      </c>
      <c r="M320">
        <f t="shared" si="218"/>
        <v>7.9636243184348244E-3</v>
      </c>
      <c r="N320">
        <f t="shared" si="219"/>
        <v>-1.5707963250000001</v>
      </c>
      <c r="O320">
        <f t="shared" si="220"/>
        <v>68.16758072144313</v>
      </c>
      <c r="P320">
        <f t="shared" si="221"/>
        <v>1.5561260706449866</v>
      </c>
      <c r="Q320">
        <f t="shared" si="222"/>
        <v>27.848339867802324</v>
      </c>
      <c r="R320">
        <f t="shared" si="223"/>
        <v>1.5348798220291244</v>
      </c>
      <c r="S320">
        <f t="shared" si="224"/>
        <v>0.94173919616328683</v>
      </c>
      <c r="T320">
        <f t="shared" si="225"/>
        <v>-0.34303201388787224</v>
      </c>
      <c r="U320">
        <f t="shared" si="226"/>
        <v>0.87371952011355236</v>
      </c>
      <c r="V320">
        <f t="shared" si="227"/>
        <v>-0.50799916922676869</v>
      </c>
      <c r="X320">
        <f t="shared" si="244"/>
        <v>-13.579340235225601</v>
      </c>
      <c r="Y320">
        <f t="shared" si="228"/>
        <v>-109.18294583833051</v>
      </c>
      <c r="Z320">
        <f t="shared" si="245"/>
        <v>70.817054161669489</v>
      </c>
      <c r="AC320">
        <v>1</v>
      </c>
      <c r="AD320">
        <f t="shared" si="229"/>
        <v>68.160245461812011</v>
      </c>
      <c r="AE320">
        <f t="shared" si="230"/>
        <v>-1.2710859265155853E-3</v>
      </c>
      <c r="AF320">
        <f t="shared" si="231"/>
        <v>2.2831084760904E-3</v>
      </c>
      <c r="AG320">
        <f t="shared" si="246"/>
        <v>22604.077118081241</v>
      </c>
      <c r="AH320">
        <f t="shared" si="247"/>
        <v>-13022.475549466099</v>
      </c>
      <c r="AJ320">
        <f t="shared" si="232"/>
        <v>55000</v>
      </c>
      <c r="AK320">
        <f t="shared" si="233"/>
        <v>19643.357822838752</v>
      </c>
      <c r="AL320">
        <v>1</v>
      </c>
      <c r="AM320">
        <f t="shared" si="234"/>
        <v>27.83037968466525</v>
      </c>
      <c r="AN320">
        <f t="shared" si="248"/>
        <v>775.83340500589975</v>
      </c>
      <c r="AO320">
        <f t="shared" si="249"/>
        <v>-1948.3804105221038</v>
      </c>
      <c r="AQ320">
        <f t="shared" si="235"/>
        <v>4.0530627643648481E-2</v>
      </c>
      <c r="AR320">
        <f t="shared" si="236"/>
        <v>-11.320609607147457</v>
      </c>
      <c r="AT320">
        <f t="shared" si="261"/>
        <v>-146506.20438122749</v>
      </c>
      <c r="AU320">
        <f t="shared" si="262"/>
        <v>-256419.74169114642</v>
      </c>
      <c r="AV320">
        <f t="shared" si="250"/>
        <v>-2.089885516135273</v>
      </c>
      <c r="AW320">
        <f t="shared" si="251"/>
        <v>-105.79510907450734</v>
      </c>
      <c r="AX320">
        <f t="shared" si="252"/>
        <v>-33923.319033170512</v>
      </c>
      <c r="AY320">
        <f t="shared" si="260"/>
        <v>-1.5739149711110711</v>
      </c>
      <c r="BA320">
        <f t="shared" si="237"/>
        <v>8.7055361234259365</v>
      </c>
      <c r="BB320">
        <f t="shared" si="253"/>
        <v>18.795910439051756</v>
      </c>
      <c r="BC320">
        <f t="shared" si="254"/>
        <v>-0.51597054502420181</v>
      </c>
      <c r="BD320">
        <f t="shared" si="238"/>
        <v>-209.56293461673215</v>
      </c>
      <c r="BF320">
        <f t="shared" si="239"/>
        <v>-16.679242614343995</v>
      </c>
      <c r="BG320">
        <f t="shared" si="240"/>
        <v>-177.08697767551379</v>
      </c>
      <c r="BH320">
        <f t="shared" si="255"/>
        <v>2.9130223244862066</v>
      </c>
      <c r="BI320">
        <f t="shared" si="256"/>
        <v>2.9130223244862066</v>
      </c>
      <c r="BJ320">
        <f t="shared" si="241"/>
        <v>0</v>
      </c>
      <c r="BK320">
        <f t="shared" si="257"/>
        <v>0</v>
      </c>
      <c r="BM320">
        <f t="shared" si="258"/>
        <v>-35.475153053395744</v>
      </c>
      <c r="BN320">
        <f t="shared" si="242"/>
        <v>-147.52404305878161</v>
      </c>
      <c r="BQ320" s="75">
        <f t="shared" si="259"/>
        <v>35.697871239336891</v>
      </c>
      <c r="BR320" s="80"/>
      <c r="BS320" s="80"/>
      <c r="BT320" s="80">
        <v>125892.541</v>
      </c>
      <c r="BU320" s="80">
        <v>8.4445800000000002</v>
      </c>
      <c r="BV320" s="80">
        <v>-130.77099999999999</v>
      </c>
      <c r="BY320" s="80"/>
      <c r="BZ320" s="80"/>
      <c r="CA320" s="80"/>
      <c r="CC320" s="80"/>
    </row>
    <row r="321" spans="1:81">
      <c r="A321">
        <f t="shared" si="263"/>
        <v>535000</v>
      </c>
      <c r="B321">
        <f t="shared" si="243"/>
        <v>535</v>
      </c>
      <c r="C321">
        <f t="shared" si="212"/>
        <v>1.1793747364570011</v>
      </c>
      <c r="D321">
        <f t="shared" si="213"/>
        <v>0.55877171506709278</v>
      </c>
      <c r="F321">
        <f t="shared" si="214"/>
        <v>1.5606960445389453E-3</v>
      </c>
      <c r="G321">
        <f t="shared" si="215"/>
        <v>1.2137902303745488E-2</v>
      </c>
      <c r="H321">
        <f t="shared" si="216"/>
        <v>-3.1294547476962546</v>
      </c>
      <c r="J321">
        <f t="shared" si="217"/>
        <v>9</v>
      </c>
      <c r="M321">
        <f t="shared" si="218"/>
        <v>7.8891979229354335E-3</v>
      </c>
      <c r="N321">
        <f t="shared" si="219"/>
        <v>-1.5707963250000001</v>
      </c>
      <c r="O321">
        <f t="shared" si="220"/>
        <v>68.810533358490545</v>
      </c>
      <c r="P321">
        <f t="shared" si="221"/>
        <v>1.5562631564468214</v>
      </c>
      <c r="Q321">
        <f t="shared" si="222"/>
        <v>28.110722874106671</v>
      </c>
      <c r="R321">
        <f t="shared" si="223"/>
        <v>1.5352152057278523</v>
      </c>
      <c r="S321">
        <f t="shared" si="224"/>
        <v>0.94073101621355903</v>
      </c>
      <c r="T321">
        <f t="shared" si="225"/>
        <v>-0.34601701108503846</v>
      </c>
      <c r="U321">
        <f t="shared" si="226"/>
        <v>0.87176656301913857</v>
      </c>
      <c r="V321">
        <f t="shared" si="227"/>
        <v>-0.51199968422564512</v>
      </c>
      <c r="X321">
        <f t="shared" si="244"/>
        <v>-13.667237605809056</v>
      </c>
      <c r="Y321">
        <f t="shared" si="228"/>
        <v>-109.32136104205966</v>
      </c>
      <c r="Z321">
        <f t="shared" si="245"/>
        <v>70.678638957940336</v>
      </c>
      <c r="AC321">
        <v>1</v>
      </c>
      <c r="AD321">
        <f t="shared" si="229"/>
        <v>68.803266645414013</v>
      </c>
      <c r="AE321">
        <f t="shared" si="230"/>
        <v>-1.2951818060410233E-3</v>
      </c>
      <c r="AF321">
        <f t="shared" si="231"/>
        <v>2.3046472352988004E-3</v>
      </c>
      <c r="AG321">
        <f t="shared" si="246"/>
        <v>22503.139791973019</v>
      </c>
      <c r="AH321">
        <f t="shared" si="247"/>
        <v>-13080.378105438253</v>
      </c>
      <c r="AJ321">
        <f t="shared" si="232"/>
        <v>55000</v>
      </c>
      <c r="AK321">
        <f t="shared" si="233"/>
        <v>19828.672519280626</v>
      </c>
      <c r="AL321">
        <v>1</v>
      </c>
      <c r="AM321">
        <f t="shared" si="234"/>
        <v>28.092930436407379</v>
      </c>
      <c r="AN321">
        <f t="shared" si="248"/>
        <v>774.53258642660023</v>
      </c>
      <c r="AO321">
        <f t="shared" si="249"/>
        <v>-1930.2175519325401</v>
      </c>
      <c r="AQ321">
        <f t="shared" si="235"/>
        <v>3.977659540603954E-2</v>
      </c>
      <c r="AR321">
        <f t="shared" si="236"/>
        <v>-11.214812191755819</v>
      </c>
      <c r="AT321">
        <f t="shared" si="261"/>
        <v>-145798.88556277391</v>
      </c>
      <c r="AU321">
        <f t="shared" si="262"/>
        <v>-252888.77939946254</v>
      </c>
      <c r="AV321">
        <f t="shared" si="250"/>
        <v>-2.0937824052002529</v>
      </c>
      <c r="AW321">
        <f t="shared" si="251"/>
        <v>204.35797761627663</v>
      </c>
      <c r="AX321">
        <f t="shared" si="252"/>
        <v>-33756.576605446739</v>
      </c>
      <c r="AY321">
        <f t="shared" si="260"/>
        <v>-1.5647425292333133</v>
      </c>
      <c r="BA321">
        <f t="shared" si="237"/>
        <v>8.6472707025193714</v>
      </c>
      <c r="BB321">
        <f t="shared" si="253"/>
        <v>18.737581095252484</v>
      </c>
      <c r="BC321">
        <f t="shared" si="254"/>
        <v>-0.52903987596693969</v>
      </c>
      <c r="BD321">
        <f t="shared" si="238"/>
        <v>-210.31175212166642</v>
      </c>
      <c r="BF321">
        <f t="shared" si="239"/>
        <v>-16.878165712913901</v>
      </c>
      <c r="BG321">
        <f t="shared" si="240"/>
        <v>-177.60104052551122</v>
      </c>
      <c r="BH321">
        <f t="shared" si="255"/>
        <v>2.3989594744887768</v>
      </c>
      <c r="BI321">
        <f t="shared" si="256"/>
        <v>2.3989594744887768</v>
      </c>
      <c r="BJ321">
        <f t="shared" si="241"/>
        <v>0</v>
      </c>
      <c r="BK321">
        <f t="shared" si="257"/>
        <v>0</v>
      </c>
      <c r="BM321">
        <f t="shared" si="258"/>
        <v>-35.615746808166385</v>
      </c>
      <c r="BN321">
        <f t="shared" si="242"/>
        <v>-147.28928840384484</v>
      </c>
      <c r="BQ321" s="75">
        <f t="shared" si="259"/>
        <v>35.639541895537619</v>
      </c>
      <c r="BR321" s="80"/>
      <c r="BS321" s="80"/>
      <c r="BT321" s="80">
        <v>128824.955</v>
      </c>
      <c r="BU321" s="80">
        <v>8.6780500000000007</v>
      </c>
      <c r="BV321" s="80">
        <v>-131.42599999999999</v>
      </c>
      <c r="BY321" s="80"/>
      <c r="BZ321" s="80"/>
      <c r="CA321" s="80"/>
      <c r="CC321" s="80"/>
    </row>
    <row r="322" spans="1:81">
      <c r="A322">
        <f t="shared" si="263"/>
        <v>540000</v>
      </c>
      <c r="B322">
        <f t="shared" si="243"/>
        <v>540</v>
      </c>
      <c r="C322">
        <f t="shared" si="212"/>
        <v>1.1824829465595839</v>
      </c>
      <c r="D322">
        <f t="shared" si="213"/>
        <v>0.56296174746058891</v>
      </c>
      <c r="F322">
        <f t="shared" si="214"/>
        <v>1.5318860216775852E-3</v>
      </c>
      <c r="G322">
        <f t="shared" si="215"/>
        <v>1.2025178780797565E-2</v>
      </c>
      <c r="H322">
        <f t="shared" si="216"/>
        <v>-3.1295674712192025</v>
      </c>
      <c r="J322">
        <f t="shared" si="217"/>
        <v>9</v>
      </c>
      <c r="M322">
        <f t="shared" si="218"/>
        <v>7.8161497940193638E-3</v>
      </c>
      <c r="N322">
        <f t="shared" si="219"/>
        <v>-1.5707963250000001</v>
      </c>
      <c r="O322">
        <f t="shared" si="220"/>
        <v>69.453487264719385</v>
      </c>
      <c r="P322">
        <f t="shared" si="221"/>
        <v>1.5563977041539172</v>
      </c>
      <c r="Q322">
        <f t="shared" si="222"/>
        <v>28.373108983886492</v>
      </c>
      <c r="R322">
        <f t="shared" si="223"/>
        <v>1.5355443864047806</v>
      </c>
      <c r="S322">
        <f t="shared" si="224"/>
        <v>0.93971664638746077</v>
      </c>
      <c r="T322">
        <f t="shared" si="225"/>
        <v>-0.34899559745921876</v>
      </c>
      <c r="U322">
        <f t="shared" si="226"/>
        <v>0.86980848964715296</v>
      </c>
      <c r="V322">
        <f t="shared" si="227"/>
        <v>-0.51598229162535492</v>
      </c>
      <c r="X322">
        <f t="shared" si="244"/>
        <v>-13.754434640545394</v>
      </c>
      <c r="Y322">
        <f t="shared" si="228"/>
        <v>-109.46002579653607</v>
      </c>
      <c r="Z322">
        <f t="shared" si="245"/>
        <v>70.539974203463927</v>
      </c>
      <c r="AC322">
        <v>1</v>
      </c>
      <c r="AD322">
        <f t="shared" si="229"/>
        <v>69.446287829016015</v>
      </c>
      <c r="AE322">
        <f t="shared" si="230"/>
        <v>-1.3195039379563713E-3</v>
      </c>
      <c r="AF322">
        <f t="shared" si="231"/>
        <v>2.3261859945072003E-3</v>
      </c>
      <c r="AG322">
        <f t="shared" si="246"/>
        <v>22402.164792491196</v>
      </c>
      <c r="AH322">
        <f t="shared" si="247"/>
        <v>-13137.274807173684</v>
      </c>
      <c r="AJ322">
        <f t="shared" si="232"/>
        <v>55000</v>
      </c>
      <c r="AK322">
        <f t="shared" si="233"/>
        <v>20013.987215722504</v>
      </c>
      <c r="AL322">
        <v>1</v>
      </c>
      <c r="AM322">
        <f t="shared" si="234"/>
        <v>28.355481188149504</v>
      </c>
      <c r="AN322">
        <f t="shared" si="248"/>
        <v>773.2676742994413</v>
      </c>
      <c r="AO322">
        <f t="shared" si="249"/>
        <v>-1912.3897762794209</v>
      </c>
      <c r="AQ322">
        <f t="shared" si="235"/>
        <v>3.9043411042595844E-2</v>
      </c>
      <c r="AR322">
        <f t="shared" si="236"/>
        <v>-11.110973914501924</v>
      </c>
      <c r="AT322">
        <f t="shared" si="261"/>
        <v>-145093.26076191288</v>
      </c>
      <c r="AU322">
        <f t="shared" si="262"/>
        <v>-249422.79265801911</v>
      </c>
      <c r="AV322">
        <f t="shared" si="250"/>
        <v>-2.097663305141344</v>
      </c>
      <c r="AW322">
        <f t="shared" si="251"/>
        <v>503.33998037510094</v>
      </c>
      <c r="AX322">
        <f t="shared" si="252"/>
        <v>-33593.416556862408</v>
      </c>
      <c r="AY322">
        <f t="shared" si="260"/>
        <v>-1.5558141555665825</v>
      </c>
      <c r="BA322">
        <f t="shared" si="237"/>
        <v>8.5886548929722082</v>
      </c>
      <c r="BB322">
        <f t="shared" si="253"/>
        <v>18.678503047748784</v>
      </c>
      <c r="BC322">
        <f t="shared" si="254"/>
        <v>-0.54184914957476149</v>
      </c>
      <c r="BD322">
        <f t="shared" si="238"/>
        <v>-211.04566943886155</v>
      </c>
      <c r="BF322">
        <f t="shared" si="239"/>
        <v>-17.076219974101082</v>
      </c>
      <c r="BG322">
        <f t="shared" si="240"/>
        <v>-178.10134525238573</v>
      </c>
      <c r="BH322">
        <f t="shared" si="255"/>
        <v>1.8986547476142732</v>
      </c>
      <c r="BI322">
        <f t="shared" si="256"/>
        <v>1.8986547476142732</v>
      </c>
      <c r="BJ322">
        <f t="shared" si="241"/>
        <v>0</v>
      </c>
      <c r="BK322">
        <f t="shared" si="257"/>
        <v>0</v>
      </c>
      <c r="BM322">
        <f t="shared" si="258"/>
        <v>-35.75472302184987</v>
      </c>
      <c r="BN322">
        <f t="shared" si="242"/>
        <v>-147.0556758135242</v>
      </c>
      <c r="BQ322" s="75">
        <f t="shared" si="259"/>
        <v>35.580463848033915</v>
      </c>
      <c r="BR322" s="80"/>
      <c r="BS322" s="80"/>
      <c r="BT322" s="80">
        <v>131825.674</v>
      </c>
      <c r="BU322" s="80">
        <v>8.8889499999999995</v>
      </c>
      <c r="BV322" s="80">
        <v>-132.06399999999999</v>
      </c>
      <c r="BY322" s="80"/>
      <c r="BZ322" s="80"/>
      <c r="CA322" s="80"/>
      <c r="CC322" s="80"/>
    </row>
    <row r="323" spans="1:81">
      <c r="A323">
        <f t="shared" si="263"/>
        <v>545000</v>
      </c>
      <c r="B323">
        <f t="shared" si="243"/>
        <v>545</v>
      </c>
      <c r="C323">
        <f t="shared" si="212"/>
        <v>1.185611807710292</v>
      </c>
      <c r="D323">
        <f t="shared" si="213"/>
        <v>0.56712973749405216</v>
      </c>
      <c r="F323">
        <f t="shared" si="214"/>
        <v>1.5038668092825593E-3</v>
      </c>
      <c r="G323">
        <f t="shared" si="215"/>
        <v>1.1914532704831641E-2</v>
      </c>
      <c r="H323">
        <f t="shared" si="216"/>
        <v>-3.1296781172951684</v>
      </c>
      <c r="J323">
        <f t="shared" si="217"/>
        <v>9</v>
      </c>
      <c r="M323">
        <f t="shared" si="218"/>
        <v>7.7444419977439564E-3</v>
      </c>
      <c r="N323">
        <f t="shared" si="219"/>
        <v>-1.5707963250000001</v>
      </c>
      <c r="O323">
        <f t="shared" si="220"/>
        <v>70.096442405205252</v>
      </c>
      <c r="P323">
        <f t="shared" si="221"/>
        <v>1.5565297836028695</v>
      </c>
      <c r="Q323">
        <f t="shared" si="222"/>
        <v>28.63549811183066</v>
      </c>
      <c r="R323">
        <f t="shared" si="223"/>
        <v>1.5358675345037742</v>
      </c>
      <c r="S323">
        <f t="shared" si="224"/>
        <v>0.93869616059498107</v>
      </c>
      <c r="T323">
        <f t="shared" si="225"/>
        <v>-0.35196774095973932</v>
      </c>
      <c r="U323">
        <f t="shared" si="226"/>
        <v>0.86784552010749216</v>
      </c>
      <c r="V323">
        <f t="shared" si="227"/>
        <v>-0.51994698590797128</v>
      </c>
      <c r="X323">
        <f t="shared" si="244"/>
        <v>-13.840945648765913</v>
      </c>
      <c r="Y323">
        <f t="shared" si="228"/>
        <v>-109.5989260228225</v>
      </c>
      <c r="Z323">
        <f t="shared" si="245"/>
        <v>70.401073977177504</v>
      </c>
      <c r="AC323">
        <v>1</v>
      </c>
      <c r="AD323">
        <f t="shared" si="229"/>
        <v>70.089309012618003</v>
      </c>
      <c r="AE323">
        <f t="shared" si="230"/>
        <v>-1.3440523222616296E-3</v>
      </c>
      <c r="AF323">
        <f t="shared" si="231"/>
        <v>2.3477247537156002E-3</v>
      </c>
      <c r="AG323">
        <f t="shared" si="246"/>
        <v>22301.165211856609</v>
      </c>
      <c r="AH323">
        <f t="shared" si="247"/>
        <v>-13193.170469883917</v>
      </c>
      <c r="AJ323">
        <f t="shared" si="232"/>
        <v>55000</v>
      </c>
      <c r="AK323">
        <f t="shared" si="233"/>
        <v>20199.301912164377</v>
      </c>
      <c r="AL323">
        <v>1</v>
      </c>
      <c r="AM323">
        <f t="shared" si="234"/>
        <v>28.618031939891626</v>
      </c>
      <c r="AN323">
        <f t="shared" si="248"/>
        <v>772.0373597109774</v>
      </c>
      <c r="AO323">
        <f t="shared" si="249"/>
        <v>-1894.8879068339727</v>
      </c>
      <c r="AQ323">
        <f t="shared" si="235"/>
        <v>3.8330313029626015E-2</v>
      </c>
      <c r="AR323">
        <f t="shared" si="236"/>
        <v>-11.009040856804035</v>
      </c>
      <c r="AT323">
        <f t="shared" si="261"/>
        <v>-144389.34209023663</v>
      </c>
      <c r="AU323">
        <f t="shared" si="262"/>
        <v>-246020.13732563009</v>
      </c>
      <c r="AV323">
        <f t="shared" si="250"/>
        <v>-2.1015281576574916</v>
      </c>
      <c r="AW323">
        <f t="shared" si="251"/>
        <v>791.5688690675928</v>
      </c>
      <c r="AX323">
        <f t="shared" si="252"/>
        <v>-33433.70349267844</v>
      </c>
      <c r="AY323">
        <f t="shared" si="260"/>
        <v>-1.5471249732358516</v>
      </c>
      <c r="BA323">
        <f t="shared" si="237"/>
        <v>8.5297669746008751</v>
      </c>
      <c r="BB323">
        <f t="shared" si="253"/>
        <v>18.618743336064789</v>
      </c>
      <c r="BC323">
        <f t="shared" si="254"/>
        <v>-0.55440318442163994</v>
      </c>
      <c r="BD323">
        <f t="shared" si="238"/>
        <v>-211.76496265226976</v>
      </c>
      <c r="BF323">
        <f t="shared" si="239"/>
        <v>-17.273368668747725</v>
      </c>
      <c r="BG323">
        <f t="shared" si="240"/>
        <v>-178.58816978073082</v>
      </c>
      <c r="BH323">
        <f t="shared" si="255"/>
        <v>1.4118302192691772</v>
      </c>
      <c r="BI323">
        <f t="shared" si="256"/>
        <v>1.4118302192691772</v>
      </c>
      <c r="BJ323">
        <f t="shared" si="241"/>
        <v>0</v>
      </c>
      <c r="BK323">
        <f t="shared" si="257"/>
        <v>0</v>
      </c>
      <c r="BM323">
        <f t="shared" si="258"/>
        <v>-35.892112004812518</v>
      </c>
      <c r="BN323">
        <f t="shared" si="242"/>
        <v>-146.82320712846109</v>
      </c>
      <c r="BQ323" s="75">
        <f t="shared" si="259"/>
        <v>35.520704136349927</v>
      </c>
      <c r="BR323" s="80"/>
      <c r="BS323" s="80"/>
      <c r="BT323" s="80">
        <v>134896.288</v>
      </c>
      <c r="BU323" s="80">
        <v>9.0986999999999991</v>
      </c>
      <c r="BV323" s="80">
        <v>-132.62899999999999</v>
      </c>
      <c r="BY323" s="80"/>
      <c r="BZ323" s="80"/>
      <c r="CA323" s="80"/>
      <c r="CC323" s="80"/>
    </row>
    <row r="324" spans="1:81">
      <c r="A324">
        <f t="shared" si="263"/>
        <v>550000</v>
      </c>
      <c r="B324">
        <f t="shared" si="243"/>
        <v>550</v>
      </c>
      <c r="C324">
        <f t="shared" si="212"/>
        <v>1.188761156846283</v>
      </c>
      <c r="D324">
        <f t="shared" si="213"/>
        <v>0.57127571497429253</v>
      </c>
      <c r="F324">
        <f t="shared" si="214"/>
        <v>1.4766097139071162E-3</v>
      </c>
      <c r="G324">
        <f t="shared" si="215"/>
        <v>1.1805907090121174E-2</v>
      </c>
      <c r="H324">
        <f t="shared" si="216"/>
        <v>-3.1297867429098791</v>
      </c>
      <c r="J324">
        <f t="shared" si="217"/>
        <v>9</v>
      </c>
      <c r="M324">
        <f t="shared" si="218"/>
        <v>7.6740379795826492E-3</v>
      </c>
      <c r="N324">
        <f t="shared" si="219"/>
        <v>-1.5707963250000001</v>
      </c>
      <c r="O324">
        <f t="shared" si="220"/>
        <v>70.739398746293418</v>
      </c>
      <c r="P324">
        <f t="shared" si="221"/>
        <v>1.5566594620916234</v>
      </c>
      <c r="Q324">
        <f t="shared" si="222"/>
        <v>28.897890175725546</v>
      </c>
      <c r="R324">
        <f t="shared" si="223"/>
        <v>1.5361848142833423</v>
      </c>
      <c r="S324">
        <f t="shared" si="224"/>
        <v>0.93766963273779813</v>
      </c>
      <c r="T324">
        <f t="shared" si="225"/>
        <v>-0.35493341012973284</v>
      </c>
      <c r="U324">
        <f t="shared" si="226"/>
        <v>0.86587787197697808</v>
      </c>
      <c r="V324">
        <f t="shared" si="227"/>
        <v>-0.52389376385763664</v>
      </c>
      <c r="X324">
        <f t="shared" si="244"/>
        <v>-13.926784530116343</v>
      </c>
      <c r="Y324">
        <f t="shared" si="228"/>
        <v>-109.73804802434783</v>
      </c>
      <c r="Z324">
        <f t="shared" si="245"/>
        <v>70.261951975652167</v>
      </c>
      <c r="AC324">
        <v>1</v>
      </c>
      <c r="AD324">
        <f t="shared" si="229"/>
        <v>70.732330196220005</v>
      </c>
      <c r="AE324">
        <f t="shared" si="230"/>
        <v>-1.3688269589567979E-3</v>
      </c>
      <c r="AF324">
        <f t="shared" si="231"/>
        <v>2.3692635129240001E-3</v>
      </c>
      <c r="AG324">
        <f t="shared" si="246"/>
        <v>22200.153914439637</v>
      </c>
      <c r="AH324">
        <f t="shared" si="247"/>
        <v>-13248.070128061825</v>
      </c>
      <c r="AJ324">
        <f t="shared" si="232"/>
        <v>55000</v>
      </c>
      <c r="AK324">
        <f t="shared" si="233"/>
        <v>20384.616608606251</v>
      </c>
      <c r="AL324">
        <v>1</v>
      </c>
      <c r="AM324">
        <f t="shared" si="234"/>
        <v>28.880582691633755</v>
      </c>
      <c r="AN324">
        <f t="shared" si="248"/>
        <v>770.84039282823255</v>
      </c>
      <c r="AO324">
        <f t="shared" si="249"/>
        <v>-1877.703098520969</v>
      </c>
      <c r="AQ324">
        <f t="shared" si="235"/>
        <v>3.7636574299248673E-2</v>
      </c>
      <c r="AR324">
        <f t="shared" si="236"/>
        <v>-10.908961060637226</v>
      </c>
      <c r="AT324">
        <f t="shared" si="261"/>
        <v>-143687.14341336209</v>
      </c>
      <c r="AU324">
        <f t="shared" si="262"/>
        <v>-242679.22656847155</v>
      </c>
      <c r="AV324">
        <f t="shared" si="250"/>
        <v>-2.1053769086682457</v>
      </c>
      <c r="AW324">
        <f t="shared" si="251"/>
        <v>1069.4440885556294</v>
      </c>
      <c r="AX324">
        <f t="shared" si="252"/>
        <v>-33277.308006069841</v>
      </c>
      <c r="AY324">
        <f t="shared" si="260"/>
        <v>-1.5386700460461251</v>
      </c>
      <c r="BA324">
        <f t="shared" si="237"/>
        <v>8.4706799510513875</v>
      </c>
      <c r="BB324">
        <f t="shared" si="253"/>
        <v>18.558365460775349</v>
      </c>
      <c r="BC324">
        <f t="shared" si="254"/>
        <v>-0.56670686262212056</v>
      </c>
      <c r="BD324">
        <f t="shared" si="238"/>
        <v>-212.46991148644994</v>
      </c>
      <c r="BF324">
        <f t="shared" si="239"/>
        <v>-17.469577809494172</v>
      </c>
      <c r="BG324">
        <f t="shared" si="240"/>
        <v>-179.06179539234253</v>
      </c>
      <c r="BH324">
        <f t="shared" si="255"/>
        <v>0.93820460765746816</v>
      </c>
      <c r="BI324">
        <f t="shared" si="256"/>
        <v>0.93820460765746816</v>
      </c>
      <c r="BJ324">
        <f t="shared" si="241"/>
        <v>0</v>
      </c>
      <c r="BK324">
        <f t="shared" si="257"/>
        <v>0</v>
      </c>
      <c r="BM324">
        <f t="shared" si="258"/>
        <v>-36.027943270269517</v>
      </c>
      <c r="BN324">
        <f t="shared" si="242"/>
        <v>-146.59188390589262</v>
      </c>
      <c r="BQ324" s="75">
        <f t="shared" si="259"/>
        <v>35.460326261060487</v>
      </c>
      <c r="BR324" s="80"/>
      <c r="BS324" s="80"/>
      <c r="BT324" s="80">
        <v>138038.42600000001</v>
      </c>
      <c r="BU324" s="80">
        <v>9.3196600000000007</v>
      </c>
      <c r="BV324" s="80">
        <v>-133.267</v>
      </c>
      <c r="BY324" s="80"/>
      <c r="BZ324" s="80"/>
      <c r="CA324" s="80"/>
      <c r="CC324" s="80"/>
    </row>
    <row r="325" spans="1:81">
      <c r="A325">
        <f t="shared" si="263"/>
        <v>555000</v>
      </c>
      <c r="B325">
        <f t="shared" si="243"/>
        <v>555</v>
      </c>
      <c r="C325">
        <f t="shared" si="212"/>
        <v>1.1919308315659831</v>
      </c>
      <c r="D325">
        <f t="shared" si="213"/>
        <v>0.57539971242110455</v>
      </c>
      <c r="F325">
        <f t="shared" si="214"/>
        <v>1.4500873323600471E-3</v>
      </c>
      <c r="G325">
        <f t="shared" si="215"/>
        <v>1.1699247019098535E-2</v>
      </c>
      <c r="H325">
        <f t="shared" si="216"/>
        <v>-3.1298934029809016</v>
      </c>
      <c r="J325">
        <f t="shared" si="217"/>
        <v>9</v>
      </c>
      <c r="M325">
        <f t="shared" si="218"/>
        <v>7.6049025022891115E-3</v>
      </c>
      <c r="N325">
        <f t="shared" si="219"/>
        <v>-1.5707963250000001</v>
      </c>
      <c r="O325">
        <f t="shared" si="220"/>
        <v>71.382356255541609</v>
      </c>
      <c r="P325">
        <f t="shared" si="221"/>
        <v>1.5567868044937807</v>
      </c>
      <c r="Q325">
        <f t="shared" si="222"/>
        <v>29.160285096315736</v>
      </c>
      <c r="R325">
        <f t="shared" si="223"/>
        <v>1.5364963840945873</v>
      </c>
      <c r="S325">
        <f t="shared" si="224"/>
        <v>0.93663713669757775</v>
      </c>
      <c r="T325">
        <f t="shared" si="225"/>
        <v>-0.35789257410476266</v>
      </c>
      <c r="U325">
        <f t="shared" si="226"/>
        <v>0.86390576027858812</v>
      </c>
      <c r="V325">
        <f t="shared" si="227"/>
        <v>-0.52782262452012496</v>
      </c>
      <c r="X325">
        <f t="shared" si="244"/>
        <v>-14.011964789422802</v>
      </c>
      <c r="Y325">
        <f t="shared" si="228"/>
        <v>-109.87737847150136</v>
      </c>
      <c r="Z325">
        <f t="shared" si="245"/>
        <v>70.122621528498641</v>
      </c>
      <c r="AC325">
        <v>1</v>
      </c>
      <c r="AD325">
        <f t="shared" si="229"/>
        <v>71.375351379822007</v>
      </c>
      <c r="AE325">
        <f t="shared" si="230"/>
        <v>-1.3938278480418766E-3</v>
      </c>
      <c r="AF325">
        <f t="shared" si="231"/>
        <v>2.3908022721324E-3</v>
      </c>
      <c r="AG325">
        <f t="shared" si="246"/>
        <v>22099.143536552794</v>
      </c>
      <c r="AH325">
        <f t="shared" si="247"/>
        <v>-13301.979025959678</v>
      </c>
      <c r="AJ325">
        <f t="shared" si="232"/>
        <v>55000</v>
      </c>
      <c r="AK325">
        <f t="shared" si="233"/>
        <v>20569.931305048129</v>
      </c>
      <c r="AL325">
        <v>1</v>
      </c>
      <c r="AM325">
        <f t="shared" si="234"/>
        <v>29.143133443375877</v>
      </c>
      <c r="AN325">
        <f t="shared" si="248"/>
        <v>769.67557972853172</v>
      </c>
      <c r="AO325">
        <f t="shared" si="249"/>
        <v>-1860.8268230881608</v>
      </c>
      <c r="AQ325">
        <f t="shared" si="235"/>
        <v>3.6961500385409116E-2</v>
      </c>
      <c r="AR325">
        <f t="shared" si="236"/>
        <v>-10.810684440226385</v>
      </c>
      <c r="AT325">
        <f t="shared" si="261"/>
        <v>-142986.68017781651</v>
      </c>
      <c r="AU325">
        <f t="shared" si="262"/>
        <v>-239398.5282758355</v>
      </c>
      <c r="AV325">
        <f t="shared" si="250"/>
        <v>-2.1092095081869515</v>
      </c>
      <c r="AW325">
        <f t="shared" si="251"/>
        <v>1337.3475409069999</v>
      </c>
      <c r="AX325">
        <f t="shared" si="252"/>
        <v>-33124.106371524773</v>
      </c>
      <c r="AY325">
        <f t="shared" si="260"/>
        <v>-1.5304443973222801</v>
      </c>
      <c r="BA325">
        <f t="shared" si="237"/>
        <v>8.4114617725237384</v>
      </c>
      <c r="BB325">
        <f t="shared" si="253"/>
        <v>18.497429510667764</v>
      </c>
      <c r="BC325">
        <f t="shared" si="254"/>
        <v>-0.57876511086467142</v>
      </c>
      <c r="BD325">
        <f t="shared" si="238"/>
        <v>-213.16079821985858</v>
      </c>
      <c r="BF325">
        <f t="shared" si="239"/>
        <v>-17.664816051775063</v>
      </c>
      <c r="BG325">
        <f t="shared" si="240"/>
        <v>-179.52250564897528</v>
      </c>
      <c r="BH325">
        <f t="shared" si="255"/>
        <v>0.47749435102471693</v>
      </c>
      <c r="BI325">
        <f t="shared" si="256"/>
        <v>0.47749435102471693</v>
      </c>
      <c r="BJ325">
        <f t="shared" si="241"/>
        <v>0</v>
      </c>
      <c r="BK325">
        <f t="shared" si="257"/>
        <v>0</v>
      </c>
      <c r="BM325">
        <f t="shared" si="258"/>
        <v>-36.162245562442827</v>
      </c>
      <c r="BN325">
        <f t="shared" si="242"/>
        <v>-146.36170742911671</v>
      </c>
      <c r="BQ325" s="75">
        <f t="shared" si="259"/>
        <v>35.399390310952903</v>
      </c>
      <c r="BR325" s="80"/>
      <c r="BS325" s="80"/>
      <c r="BT325" s="80">
        <v>141253.75399999999</v>
      </c>
      <c r="BU325" s="80">
        <v>9.5290400000000002</v>
      </c>
      <c r="BV325" s="80">
        <v>-133.959</v>
      </c>
      <c r="BY325" s="80"/>
      <c r="BZ325" s="80"/>
      <c r="CA325" s="80"/>
      <c r="CC325" s="80"/>
    </row>
    <row r="326" spans="1:81">
      <c r="A326">
        <f t="shared" si="263"/>
        <v>560000</v>
      </c>
      <c r="B326">
        <f t="shared" si="243"/>
        <v>560</v>
      </c>
      <c r="C326">
        <f t="shared" si="212"/>
        <v>1.1951206701481045</v>
      </c>
      <c r="D326">
        <f t="shared" si="213"/>
        <v>0.57950176500094797</v>
      </c>
      <c r="F326">
        <f t="shared" si="214"/>
        <v>1.4242734826734351E-3</v>
      </c>
      <c r="G326">
        <f t="shared" si="215"/>
        <v>1.1594499549251359E-2</v>
      </c>
      <c r="H326">
        <f t="shared" si="216"/>
        <v>-3.1299981504507488</v>
      </c>
      <c r="J326">
        <f t="shared" si="217"/>
        <v>9</v>
      </c>
      <c r="M326">
        <f t="shared" si="218"/>
        <v>7.537001587090102E-3</v>
      </c>
      <c r="N326">
        <f t="shared" si="219"/>
        <v>-1.5707963250000001</v>
      </c>
      <c r="O326">
        <f t="shared" si="220"/>
        <v>72.025314901665951</v>
      </c>
      <c r="P326">
        <f t="shared" si="221"/>
        <v>1.5569118733667866</v>
      </c>
      <c r="Q326">
        <f t="shared" si="222"/>
        <v>29.422682797172197</v>
      </c>
      <c r="R326">
        <f t="shared" si="223"/>
        <v>1.5368023966443043</v>
      </c>
      <c r="S326">
        <f t="shared" si="224"/>
        <v>0.93559874632441509</v>
      </c>
      <c r="T326">
        <f t="shared" si="225"/>
        <v>-0.36084520261134506</v>
      </c>
      <c r="U326">
        <f t="shared" si="226"/>
        <v>0.86192939746250485</v>
      </c>
      <c r="V326">
        <f t="shared" si="227"/>
        <v>-0.5317335691623829</v>
      </c>
      <c r="X326">
        <f t="shared" si="244"/>
        <v>-14.096499550884008</v>
      </c>
      <c r="Y326">
        <f t="shared" si="228"/>
        <v>-110.0169043870913</v>
      </c>
      <c r="Z326">
        <f t="shared" si="245"/>
        <v>69.983095612908699</v>
      </c>
      <c r="AC326">
        <v>1</v>
      </c>
      <c r="AD326">
        <f t="shared" si="229"/>
        <v>72.018372563424009</v>
      </c>
      <c r="AE326">
        <f t="shared" si="230"/>
        <v>-1.4190549895168655E-3</v>
      </c>
      <c r="AF326">
        <f t="shared" si="231"/>
        <v>2.4123410313407999E-3</v>
      </c>
      <c r="AG326">
        <f t="shared" si="246"/>
        <v>21998.14648638924</v>
      </c>
      <c r="AH326">
        <f t="shared" si="247"/>
        <v>-13354.90260832951</v>
      </c>
      <c r="AJ326">
        <f t="shared" si="232"/>
        <v>55000</v>
      </c>
      <c r="AK326">
        <f t="shared" si="233"/>
        <v>20755.246001490003</v>
      </c>
      <c r="AL326">
        <v>1</v>
      </c>
      <c r="AM326">
        <f t="shared" si="234"/>
        <v>29.405684195118003</v>
      </c>
      <c r="AN326">
        <f t="shared" si="248"/>
        <v>768.5417794259497</v>
      </c>
      <c r="AO326">
        <f t="shared" si="249"/>
        <v>-1844.2508550635146</v>
      </c>
      <c r="AQ326">
        <f t="shared" si="235"/>
        <v>3.6304427685244937E-2</v>
      </c>
      <c r="AR326">
        <f t="shared" si="236"/>
        <v>-10.714162698469485</v>
      </c>
      <c r="AT326">
        <f t="shared" si="261"/>
        <v>-142287.96924953233</v>
      </c>
      <c r="AU326">
        <f t="shared" si="262"/>
        <v>-236176.56261592673</v>
      </c>
      <c r="AV326">
        <f t="shared" si="250"/>
        <v>-2.1130259101985374</v>
      </c>
      <c r="AW326">
        <f t="shared" si="251"/>
        <v>1595.6445068313283</v>
      </c>
      <c r="AX326">
        <f t="shared" si="252"/>
        <v>-32973.980256726216</v>
      </c>
      <c r="AY326">
        <f t="shared" si="260"/>
        <v>-1.5224430270275138</v>
      </c>
      <c r="BA326">
        <f t="shared" si="237"/>
        <v>8.3521755621953542</v>
      </c>
      <c r="BB326">
        <f t="shared" si="253"/>
        <v>18.435992291926496</v>
      </c>
      <c r="BC326">
        <f t="shared" si="254"/>
        <v>-0.59058288317102359</v>
      </c>
      <c r="BD326">
        <f t="shared" si="238"/>
        <v>-213.83790669703288</v>
      </c>
      <c r="BF326">
        <f t="shared" si="239"/>
        <v>-17.859054591525084</v>
      </c>
      <c r="BG326">
        <f t="shared" si="240"/>
        <v>-179.97058541365902</v>
      </c>
      <c r="BH326">
        <f t="shared" si="255"/>
        <v>2.9414586340976712E-2</v>
      </c>
      <c r="BI326">
        <f t="shared" si="256"/>
        <v>2.9414586340976712E-2</v>
      </c>
      <c r="BJ326">
        <f t="shared" si="241"/>
        <v>0</v>
      </c>
      <c r="BK326">
        <f t="shared" si="257"/>
        <v>0</v>
      </c>
      <c r="BM326">
        <f t="shared" si="258"/>
        <v>-36.295046883451583</v>
      </c>
      <c r="BN326">
        <f t="shared" si="242"/>
        <v>-146.13267871662615</v>
      </c>
      <c r="BQ326" s="75">
        <f t="shared" si="259"/>
        <v>35.337953092211634</v>
      </c>
      <c r="BR326" s="80"/>
      <c r="BS326" s="80"/>
      <c r="BT326" s="80">
        <v>144543.97700000001</v>
      </c>
      <c r="BU326" s="80">
        <v>9.7312899999999996</v>
      </c>
      <c r="BV326" s="80">
        <v>-134.75200000000001</v>
      </c>
      <c r="BY326" s="80"/>
      <c r="BZ326" s="80"/>
      <c r="CA326" s="80"/>
      <c r="CC326" s="80"/>
    </row>
    <row r="327" spans="1:81">
      <c r="A327">
        <f t="shared" si="263"/>
        <v>565000</v>
      </c>
      <c r="B327">
        <f t="shared" si="243"/>
        <v>565</v>
      </c>
      <c r="C327">
        <f t="shared" si="212"/>
        <v>1.1983305115699714</v>
      </c>
      <c r="D327">
        <f t="shared" si="213"/>
        <v>0.58358191046110641</v>
      </c>
      <c r="F327">
        <f t="shared" si="214"/>
        <v>1.3991431393431367E-3</v>
      </c>
      <c r="G327">
        <f t="shared" si="215"/>
        <v>1.1491613625009979E-2</v>
      </c>
      <c r="H327">
        <f t="shared" si="216"/>
        <v>-3.1301010363749904</v>
      </c>
      <c r="J327">
        <f t="shared" si="217"/>
        <v>9</v>
      </c>
      <c r="M327">
        <f t="shared" si="218"/>
        <v>7.470302458000809E-3</v>
      </c>
      <c r="N327">
        <f t="shared" si="219"/>
        <v>-1.5707963250000001</v>
      </c>
      <c r="O327">
        <f t="shared" si="220"/>
        <v>72.668274654489707</v>
      </c>
      <c r="P327">
        <f t="shared" si="221"/>
        <v>1.5570347290543756</v>
      </c>
      <c r="Q327">
        <f t="shared" si="222"/>
        <v>29.685083204567452</v>
      </c>
      <c r="R327">
        <f t="shared" si="223"/>
        <v>1.5371029992441496</v>
      </c>
      <c r="S327">
        <f t="shared" si="224"/>
        <v>0.9345545354254251</v>
      </c>
      <c r="T327">
        <f t="shared" si="225"/>
        <v>-0.36379126596536937</v>
      </c>
      <c r="U327">
        <f t="shared" si="226"/>
        <v>0.85994899338894981</v>
      </c>
      <c r="V327">
        <f t="shared" si="227"/>
        <v>-0.53562660123207084</v>
      </c>
      <c r="X327">
        <f t="shared" si="244"/>
        <v>-14.180401571626637</v>
      </c>
      <c r="Y327">
        <f t="shared" si="228"/>
        <v>-110.15661313261083</v>
      </c>
      <c r="Z327">
        <f t="shared" si="245"/>
        <v>69.843386867389171</v>
      </c>
      <c r="AC327">
        <v>1</v>
      </c>
      <c r="AD327">
        <f t="shared" si="229"/>
        <v>72.661393747026011</v>
      </c>
      <c r="AE327">
        <f t="shared" si="230"/>
        <v>-1.4445083833817649E-3</v>
      </c>
      <c r="AF327">
        <f t="shared" si="231"/>
        <v>2.4338797905492002E-3</v>
      </c>
      <c r="AG327">
        <f t="shared" si="246"/>
        <v>21897.174944102506</v>
      </c>
      <c r="AH327">
        <f t="shared" si="247"/>
        <v>-13406.846511417129</v>
      </c>
      <c r="AJ327">
        <f t="shared" si="232"/>
        <v>55000</v>
      </c>
      <c r="AK327">
        <f t="shared" si="233"/>
        <v>20940.560697931876</v>
      </c>
      <c r="AL327">
        <v>1</v>
      </c>
      <c r="AM327">
        <f t="shared" si="234"/>
        <v>29.668234946860132</v>
      </c>
      <c r="AN327">
        <f t="shared" si="248"/>
        <v>767.43790108057806</v>
      </c>
      <c r="AO327">
        <f t="shared" si="249"/>
        <v>-1827.9672584519219</v>
      </c>
      <c r="AQ327">
        <f t="shared" si="235"/>
        <v>3.5664721827671289E-2</v>
      </c>
      <c r="AR327">
        <f t="shared" si="236"/>
        <v>-10.619349247798265</v>
      </c>
      <c r="AT327">
        <f t="shared" si="261"/>
        <v>-141591.02876317099</v>
      </c>
      <c r="AU327">
        <f t="shared" si="262"/>
        <v>-233011.89972297792</v>
      </c>
      <c r="AV327">
        <f t="shared" si="250"/>
        <v>-2.1168260725416443</v>
      </c>
      <c r="AW327">
        <f t="shared" si="251"/>
        <v>1844.6845106136334</v>
      </c>
      <c r="AX327">
        <f t="shared" si="252"/>
        <v>-32826.816451619336</v>
      </c>
      <c r="AY327">
        <f t="shared" si="260"/>
        <v>-1.5146609272522171</v>
      </c>
      <c r="BA327">
        <f t="shared" si="237"/>
        <v>8.2928798440467659</v>
      </c>
      <c r="BB327">
        <f t="shared" si="253"/>
        <v>18.374107458266231</v>
      </c>
      <c r="BC327">
        <f t="shared" si="254"/>
        <v>-0.60216514528942722</v>
      </c>
      <c r="BD327">
        <f t="shared" si="238"/>
        <v>-214.50152143438993</v>
      </c>
      <c r="BF327">
        <f t="shared" si="239"/>
        <v>-18.052267060737638</v>
      </c>
      <c r="BG327">
        <f t="shared" si="240"/>
        <v>-180.40631996531945</v>
      </c>
      <c r="BH327">
        <f t="shared" si="255"/>
        <v>-0.40631996531945447</v>
      </c>
      <c r="BI327">
        <f t="shared" si="256"/>
        <v>-0.40631996531945447</v>
      </c>
      <c r="BJ327">
        <f t="shared" si="241"/>
        <v>0</v>
      </c>
      <c r="BK327">
        <f t="shared" si="257"/>
        <v>0</v>
      </c>
      <c r="BM327">
        <f t="shared" si="258"/>
        <v>-36.426374519003872</v>
      </c>
      <c r="BN327">
        <f t="shared" si="242"/>
        <v>-145.90479853092953</v>
      </c>
      <c r="BQ327" s="75">
        <f t="shared" si="259"/>
        <v>35.276068258551369</v>
      </c>
      <c r="BR327" s="80"/>
      <c r="BS327" s="80"/>
      <c r="BT327" s="80">
        <v>147910.83900000001</v>
      </c>
      <c r="BU327" s="80">
        <v>9.9010099999999994</v>
      </c>
      <c r="BV327" s="80">
        <v>-135.72399999999999</v>
      </c>
      <c r="BY327" s="80"/>
      <c r="BZ327" s="80"/>
      <c r="CA327" s="80"/>
      <c r="CC327" s="80"/>
    </row>
    <row r="328" spans="1:81">
      <c r="A328">
        <f t="shared" si="263"/>
        <v>570000</v>
      </c>
      <c r="B328">
        <f t="shared" si="243"/>
        <v>570</v>
      </c>
      <c r="C328">
        <f t="shared" si="212"/>
        <v>1.2015601955251596</v>
      </c>
      <c r="D328">
        <f t="shared" si="213"/>
        <v>0.58764018906435478</v>
      </c>
      <c r="F328">
        <f t="shared" si="214"/>
        <v>1.3746723725422839E-3</v>
      </c>
      <c r="G328">
        <f t="shared" si="215"/>
        <v>1.1390539994316188E-2</v>
      </c>
      <c r="H328">
        <f t="shared" si="216"/>
        <v>-3.1302021100056838</v>
      </c>
      <c r="J328">
        <f t="shared" si="217"/>
        <v>9</v>
      </c>
      <c r="M328">
        <f t="shared" si="218"/>
        <v>7.4047734890709763E-3</v>
      </c>
      <c r="N328">
        <f t="shared" si="219"/>
        <v>-1.5707963250000001</v>
      </c>
      <c r="O328">
        <f t="shared" si="220"/>
        <v>73.311235484894667</v>
      </c>
      <c r="P328">
        <f t="shared" si="221"/>
        <v>1.5571554297836259</v>
      </c>
      <c r="Q328">
        <f t="shared" si="222"/>
        <v>29.947486247357276</v>
      </c>
      <c r="R328">
        <f t="shared" si="223"/>
        <v>1.5373983340467297</v>
      </c>
      <c r="S328">
        <f t="shared" si="224"/>
        <v>0.93350457775347917</v>
      </c>
      <c r="T328">
        <f t="shared" si="225"/>
        <v>-0.36673073507041942</v>
      </c>
      <c r="U328">
        <f t="shared" si="226"/>
        <v>0.85796475531275762</v>
      </c>
      <c r="V328">
        <f t="shared" si="227"/>
        <v>-0.53950172631713111</v>
      </c>
      <c r="X328">
        <f t="shared" si="244"/>
        <v>-14.263683254658503</v>
      </c>
      <c r="Y328">
        <f t="shared" si="228"/>
        <v>-110.29649239526148</v>
      </c>
      <c r="Z328">
        <f t="shared" si="245"/>
        <v>69.703507604738519</v>
      </c>
      <c r="AC328">
        <v>1</v>
      </c>
      <c r="AD328">
        <f t="shared" si="229"/>
        <v>73.304414930627999</v>
      </c>
      <c r="AE328">
        <f t="shared" si="230"/>
        <v>-1.4701880296365741E-3</v>
      </c>
      <c r="AF328">
        <f t="shared" si="231"/>
        <v>2.4554185497576001E-3</v>
      </c>
      <c r="AG328">
        <f t="shared" si="246"/>
        <v>21796.240862022958</v>
      </c>
      <c r="AH328">
        <f t="shared" si="247"/>
        <v>-13457.816554201683</v>
      </c>
      <c r="AJ328">
        <f t="shared" si="232"/>
        <v>55000</v>
      </c>
      <c r="AK328">
        <f t="shared" si="233"/>
        <v>21125.875394373754</v>
      </c>
      <c r="AL328">
        <v>1</v>
      </c>
      <c r="AM328">
        <f t="shared" si="234"/>
        <v>29.93078569860225</v>
      </c>
      <c r="AN328">
        <f t="shared" si="248"/>
        <v>766.36290137787262</v>
      </c>
      <c r="AO328">
        <f t="shared" si="249"/>
        <v>-1811.9683741264037</v>
      </c>
      <c r="AQ328">
        <f t="shared" si="235"/>
        <v>3.5041776141695007E-2</v>
      </c>
      <c r="AR328">
        <f t="shared" si="236"/>
        <v>-10.526199135203765</v>
      </c>
      <c r="AT328">
        <f t="shared" si="261"/>
        <v>-140895.8779815512</v>
      </c>
      <c r="AU328">
        <f t="shared" si="262"/>
        <v>-229903.15750756735</v>
      </c>
      <c r="AV328">
        <f t="shared" si="250"/>
        <v>-2.1206099567948531</v>
      </c>
      <c r="AW328">
        <f t="shared" si="251"/>
        <v>2084.8021324830565</v>
      </c>
      <c r="AX328">
        <f t="shared" si="252"/>
        <v>-32682.506613470483</v>
      </c>
      <c r="AY328">
        <f t="shared" si="260"/>
        <v>-1.5070930961673814</v>
      </c>
      <c r="BA328">
        <f t="shared" si="237"/>
        <v>8.233628770119342</v>
      </c>
      <c r="BB328">
        <f t="shared" si="253"/>
        <v>18.311825641076883</v>
      </c>
      <c r="BC328">
        <f t="shared" si="254"/>
        <v>-0.61351686062747168</v>
      </c>
      <c r="BD328">
        <f t="shared" si="238"/>
        <v>-215.15192681423702</v>
      </c>
      <c r="BF328">
        <f t="shared" si="239"/>
        <v>-18.244429421877271</v>
      </c>
      <c r="BG328">
        <f t="shared" si="240"/>
        <v>-180.82999420131191</v>
      </c>
      <c r="BH328">
        <f t="shared" si="255"/>
        <v>-0.82999420131190504</v>
      </c>
      <c r="BI328">
        <f t="shared" si="256"/>
        <v>-0.82999420131190504</v>
      </c>
      <c r="BJ328">
        <f t="shared" si="241"/>
        <v>0</v>
      </c>
      <c r="BK328">
        <f t="shared" si="257"/>
        <v>0</v>
      </c>
      <c r="BM328">
        <f t="shared" si="258"/>
        <v>-36.556255062954158</v>
      </c>
      <c r="BN328">
        <f t="shared" si="242"/>
        <v>-145.67806738707489</v>
      </c>
      <c r="BQ328" s="75">
        <f t="shared" si="259"/>
        <v>35.213786441362018</v>
      </c>
      <c r="BR328" s="80"/>
      <c r="BS328" s="80"/>
      <c r="BT328" s="80">
        <v>151356.125</v>
      </c>
      <c r="BU328" s="80">
        <v>10.0764</v>
      </c>
      <c r="BV328" s="80">
        <v>-136.34200000000001</v>
      </c>
      <c r="BY328" s="80"/>
      <c r="BZ328" s="80"/>
      <c r="CA328" s="80"/>
      <c r="CC328" s="80"/>
    </row>
    <row r="329" spans="1:81">
      <c r="A329">
        <f t="shared" si="263"/>
        <v>575000</v>
      </c>
      <c r="B329">
        <f t="shared" si="243"/>
        <v>575</v>
      </c>
      <c r="C329">
        <f t="shared" ref="C329:C392" si="264">SQRT((A329/Fesr)^2+1)</f>
        <v>1.2048095624404658</v>
      </c>
      <c r="D329">
        <f t="shared" ref="D329:D392" si="265">ATAN(A329/Fesr)</f>
        <v>0.59167664352416582</v>
      </c>
      <c r="F329">
        <f t="shared" ref="F329:F392" si="266">(Ro/(Ro+Rdcr))/SQRT((A329/(Q*Fo))^2+(1-(A329^2/Fo^2))^2)</f>
        <v>1.350838291031545E-3</v>
      </c>
      <c r="G329">
        <f t="shared" ref="G329:G392" si="267">-ATAN(A329*Fo/(Q*(Fo^2-A329^2)))</f>
        <v>1.1291231129585376E-2</v>
      </c>
      <c r="H329">
        <f t="shared" ref="H329:H392" si="268">IF(G329&gt;0,G329-Pi,G329)</f>
        <v>-3.130301418870415</v>
      </c>
      <c r="J329">
        <f t="shared" ref="J329:J392" si="269">Vin/Vramp</f>
        <v>9</v>
      </c>
      <c r="M329">
        <f t="shared" ref="M329:M392" si="270">1/(2*Pi*_Rfb1*(Cc1ea_u+Cc2ea_u)*A329)</f>
        <v>7.3403841543834038E-3</v>
      </c>
      <c r="N329">
        <f t="shared" ref="N329:N392" si="271">-Pi/2</f>
        <v>-1.5707963250000001</v>
      </c>
      <c r="O329">
        <f t="shared" ref="O329:O392" si="272">SQRT(1+(A329/Fz1_u)^2)</f>
        <v>73.95419736477524</v>
      </c>
      <c r="P329">
        <f t="shared" ref="P329:P392" si="273">ATAN2(Fz1_u,A329)</f>
        <v>1.5572740317569551</v>
      </c>
      <c r="Q329">
        <f t="shared" ref="Q329:Q392" si="274">SQRT(1+(A329/Fz2_u)^2)</f>
        <v>30.20989185686858</v>
      </c>
      <c r="R329">
        <f t="shared" ref="R329:R392" si="275">ATAN2(Fz2_u,A329)</f>
        <v>1.5376885382694039</v>
      </c>
      <c r="S329">
        <f t="shared" ref="S329:S392" si="276">1/SQRT(1+(A329/Fp1_u)^2)</f>
        <v>0.93244894699609326</v>
      </c>
      <c r="T329">
        <f t="shared" ref="T329:T392" si="277">-ATAN2(Fp1_u,A329)</f>
        <v>-0.36966358141599698</v>
      </c>
      <c r="U329">
        <f t="shared" ref="U329:U392" si="278">1/SQRT(1+(A329/Fp2_u)^2)</f>
        <v>0.85597688786965465</v>
      </c>
      <c r="V329">
        <f t="shared" ref="V329:V392" si="279">-ATAN2(Fp2_u,A329)</f>
        <v>-0.54335895210540586</v>
      </c>
      <c r="X329">
        <f t="shared" si="244"/>
        <v>-14.346356661251798</v>
      </c>
      <c r="Y329">
        <f t="shared" ref="Y329:Y392" si="280">(180/Pi)*(D329+H329+N329+P329+R329+T329+V329)</f>
        <v>-110.4365301756842</v>
      </c>
      <c r="Z329">
        <f t="shared" si="245"/>
        <v>69.563469824315803</v>
      </c>
      <c r="AC329">
        <v>1</v>
      </c>
      <c r="AD329">
        <f t="shared" ref="AD329:AD392" si="281">Rcea1_u*Cc1ea_u*A329*2*Pi</f>
        <v>73.947436114230001</v>
      </c>
      <c r="AE329">
        <f t="shared" ref="AE329:AE392" si="282">-Rcea1_u*Cc1ea_u*Cc2ea_u*(A329*2*Pi)^2</f>
        <v>-1.4960939282812938E-3</v>
      </c>
      <c r="AF329">
        <f t="shared" ref="AF329:AF392" si="283">(Cc2ea_u+Cc1ea_u)*A329*2*Pi</f>
        <v>2.476957308966E-3</v>
      </c>
      <c r="AG329">
        <f t="shared" si="246"/>
        <v>21695.355965006562</v>
      </c>
      <c r="AH329">
        <f t="shared" si="247"/>
        <v>-13507.818729873366</v>
      </c>
      <c r="AJ329">
        <f t="shared" ref="AJ329:AJ392" si="284">_Rfb1</f>
        <v>55000</v>
      </c>
      <c r="AK329">
        <f t="shared" ref="AK329:AK392" si="285">_Rfb1*Rcea2_u*Cc3ea_u*A329*2*Pi</f>
        <v>21311.190090815628</v>
      </c>
      <c r="AL329">
        <v>1</v>
      </c>
      <c r="AM329">
        <f t="shared" ref="AM329:AM392" si="286">(_Rfb1+Rcea2_u)*Cc3ea_u*A329*2*Pi</f>
        <v>30.193336450344379</v>
      </c>
      <c r="AN329">
        <f t="shared" si="248"/>
        <v>765.31578206634322</v>
      </c>
      <c r="AO329">
        <f t="shared" si="249"/>
        <v>-1796.2468078719094</v>
      </c>
      <c r="AQ329">
        <f t="shared" ref="AQ329:AQ392" si="287">Eadcg/(1+(Eadcg*A329/GBP)^2)</f>
        <v>3.4435010217550632E-2</v>
      </c>
      <c r="AR329">
        <f t="shared" ref="AR329:AR392" si="288">-(A329*Eadcg*Eadcg/GBP)/(1+(Eadcg*A329/GBP)^2)</f>
        <v>-10.434668971173281</v>
      </c>
      <c r="AT329">
        <f t="shared" si="261"/>
        <v>-140202.53716451451</v>
      </c>
      <c r="AU329">
        <f t="shared" si="262"/>
        <v>-226848.99958259313</v>
      </c>
      <c r="AV329">
        <f t="shared" si="250"/>
        <v>-2.124377528166784</v>
      </c>
      <c r="AW329">
        <f t="shared" si="251"/>
        <v>2316.3177720483545</v>
      </c>
      <c r="AX329">
        <f t="shared" si="252"/>
        <v>-32540.947026818569</v>
      </c>
      <c r="AY329">
        <f t="shared" si="260"/>
        <v>-1.4997345505374486</v>
      </c>
      <c r="BA329">
        <f t="shared" ref="BA329:BA392" si="289">SQRT(AT329^2+AU329^2)/SQRT(AW329^2+AX329^2)</f>
        <v>8.1744723455338342</v>
      </c>
      <c r="BB329">
        <f t="shared" si="253"/>
        <v>18.249194578771743</v>
      </c>
      <c r="BC329">
        <f t="shared" si="254"/>
        <v>-0.62464297762933541</v>
      </c>
      <c r="BD329">
        <f t="shared" ref="BD329:BD392" si="290">BC329*180/Pi-180</f>
        <v>-215.78940636154098</v>
      </c>
      <c r="BF329">
        <f t="shared" ref="BF329:BF392" si="291">20*LOG(BA329*J329*F329*C329)</f>
        <v>-18.435519862014985</v>
      </c>
      <c r="BG329">
        <f t="shared" ref="BG329:BG392" si="292">(180/Pi)*(D329+H329+BC329)</f>
        <v>-181.24189192243148</v>
      </c>
      <c r="BH329">
        <f t="shared" si="255"/>
        <v>-1.2418919224314777</v>
      </c>
      <c r="BI329">
        <f t="shared" si="256"/>
        <v>-1.2418919224314777</v>
      </c>
      <c r="BJ329">
        <f t="shared" ref="BJ329:BJ392" si="293">SUM((BF330&lt;0)*(BF329&gt;0))*A329</f>
        <v>0</v>
      </c>
      <c r="BK329">
        <f t="shared" si="257"/>
        <v>0</v>
      </c>
      <c r="BM329">
        <f t="shared" si="258"/>
        <v>-36.684714440786728</v>
      </c>
      <c r="BN329">
        <f t="shared" ref="BN329:BN392" si="294">(H329+D329)*180/Pi</f>
        <v>-145.45248556089052</v>
      </c>
      <c r="BQ329" s="75">
        <f t="shared" si="259"/>
        <v>35.151155379056881</v>
      </c>
      <c r="BR329" s="80"/>
      <c r="BS329" s="80"/>
      <c r="BT329" s="80">
        <v>154881.66200000001</v>
      </c>
      <c r="BU329" s="80">
        <v>10.266</v>
      </c>
      <c r="BV329" s="80">
        <v>-136.816</v>
      </c>
      <c r="BY329" s="80"/>
      <c r="BZ329" s="80"/>
      <c r="CA329" s="80"/>
      <c r="CC329" s="80"/>
    </row>
    <row r="330" spans="1:81">
      <c r="A330">
        <f t="shared" si="263"/>
        <v>580000</v>
      </c>
      <c r="B330">
        <f t="shared" ref="B330:B393" si="295">A330/1000</f>
        <v>580</v>
      </c>
      <c r="C330">
        <f t="shared" si="264"/>
        <v>1.2080784534922098</v>
      </c>
      <c r="D330">
        <f t="shared" si="265"/>
        <v>0.59569131894048466</v>
      </c>
      <c r="F330">
        <f t="shared" si="266"/>
        <v>1.3276189885113154E-3</v>
      </c>
      <c r="G330">
        <f t="shared" si="267"/>
        <v>1.1193641152794134E-2</v>
      </c>
      <c r="H330">
        <f t="shared" si="268"/>
        <v>-3.1303990088472062</v>
      </c>
      <c r="J330">
        <f t="shared" si="269"/>
        <v>9</v>
      </c>
      <c r="M330">
        <f t="shared" si="270"/>
        <v>7.2771049806387182E-3</v>
      </c>
      <c r="N330">
        <f t="shared" si="271"/>
        <v>-1.5707963250000001</v>
      </c>
      <c r="O330">
        <f t="shared" si="272"/>
        <v>74.597160266994763</v>
      </c>
      <c r="P330">
        <f t="shared" si="273"/>
        <v>1.5573905892393562</v>
      </c>
      <c r="Q330">
        <f t="shared" si="274"/>
        <v>30.472299966793059</v>
      </c>
      <c r="R330">
        <f t="shared" si="275"/>
        <v>1.5379737444065438</v>
      </c>
      <c r="S330">
        <f t="shared" si="276"/>
        <v>0.93138771676446841</v>
      </c>
      <c r="T330">
        <f t="shared" si="277"/>
        <v>-0.37258977707564972</v>
      </c>
      <c r="U330">
        <f t="shared" si="278"/>
        <v>0.85398559306419808</v>
      </c>
      <c r="V330">
        <f t="shared" si="279"/>
        <v>-0.54719828834432926</v>
      </c>
      <c r="X330">
        <f t="shared" ref="X330:X393" si="296">20*LOG(C330*J330*O330*Q330*F330*M330*S330*U330)</f>
        <v>-14.428433522786923</v>
      </c>
      <c r="Y330">
        <f t="shared" si="280"/>
        <v>-110.57671477635527</v>
      </c>
      <c r="Z330">
        <f t="shared" ref="Z330:Z393" si="297">Y330+180</f>
        <v>69.423285223644726</v>
      </c>
      <c r="AC330">
        <v>1</v>
      </c>
      <c r="AD330">
        <f t="shared" si="281"/>
        <v>74.590457297832018</v>
      </c>
      <c r="AE330">
        <f t="shared" si="282"/>
        <v>-1.5222260793159234E-3</v>
      </c>
      <c r="AF330">
        <f t="shared" si="283"/>
        <v>2.4984960681744004E-3</v>
      </c>
      <c r="AG330">
        <f t="shared" ref="AG330:AG359" si="298">AC330*AE330/(AE330^2+AF330^2)+AD330*AF330/(AE330^2+AF330^2)</f>
        <v>21594.531750911396</v>
      </c>
      <c r="AH330">
        <f t="shared" ref="AH330:AH359" si="299">AD330*AE330/(AE330^2+AF330^2)-AC330*AF330/(AE330^2+AF330^2)</f>
        <v>-13556.859197542173</v>
      </c>
      <c r="AJ330">
        <f t="shared" si="284"/>
        <v>55000</v>
      </c>
      <c r="AK330">
        <f t="shared" si="285"/>
        <v>21496.504787257501</v>
      </c>
      <c r="AL330">
        <v>1</v>
      </c>
      <c r="AM330">
        <f t="shared" si="286"/>
        <v>30.455887202086501</v>
      </c>
      <c r="AN330">
        <f t="shared" ref="AN330:AN359" si="300">AJ330*AL330/(AL330^2+AM330^2)+AK330*AM330/(AL330^2+AM330^2)</f>
        <v>764.29558764275669</v>
      </c>
      <c r="AO330">
        <f t="shared" ref="AO330:AO359" si="301">AK330*AL330/(AL330^2+AM330^2)-AJ330*AM330/(AL330^2+AM330^2)</f>
        <v>-1780.7954190427135</v>
      </c>
      <c r="AQ330">
        <f t="shared" si="287"/>
        <v>3.3843868554284846E-2</v>
      </c>
      <c r="AR330">
        <f t="shared" si="288"/>
        <v>-10.344716862302706</v>
      </c>
      <c r="AT330">
        <f t="shared" si="261"/>
        <v>-139511.02744660887</v>
      </c>
      <c r="AU330">
        <f t="shared" si="262"/>
        <v>-223848.13329787483</v>
      </c>
      <c r="AV330">
        <f t="shared" ref="AV330:AV393" si="302">ATAN2(AT330,AU330)</f>
        <v>-2.12812875538987</v>
      </c>
      <c r="AW330">
        <f t="shared" ref="AW330:AW393" si="303">AG330-AH330*AO330/_Rfb2+AG330*AN330/_Rfb2+AN330-AO330*AR330+AQ330*AN330</f>
        <v>2539.5383661516298</v>
      </c>
      <c r="AX330">
        <f t="shared" ref="AX330:AX393" si="304">AH330+AH330*AN330/_Rfb2+AG330*AO330/_Rfb2+AO330+AO330*AQ330+AN330*AR330</f>
        <v>-32402.038377305227</v>
      </c>
      <c r="AY330">
        <f t="shared" si="260"/>
        <v>-1.4925803368870862</v>
      </c>
      <c r="BA330">
        <f t="shared" si="289"/>
        <v>8.1154566498704703</v>
      </c>
      <c r="BB330">
        <f t="shared" ref="BB330:BB393" si="305">20*LOG(BA330)</f>
        <v>18.186259244647694</v>
      </c>
      <c r="BC330">
        <f t="shared" ref="BC330:BC393" si="306">AV330-AY330</f>
        <v>-0.63554841850278376</v>
      </c>
      <c r="BD330">
        <f t="shared" si="290"/>
        <v>-216.41424209803301</v>
      </c>
      <c r="BF330">
        <f t="shared" si="291"/>
        <v>-18.625518687434226</v>
      </c>
      <c r="BG330">
        <f t="shared" si="292"/>
        <v>-181.64229519499</v>
      </c>
      <c r="BH330">
        <f t="shared" ref="BH330:BH393" si="307">IF(BG330&gt;180,BG330-180,BG330+180)</f>
        <v>-1.6422951949899982</v>
      </c>
      <c r="BI330">
        <f t="shared" ref="BI330:BI393" si="308">IF(BH330&gt;180,BH330-360,BH330)</f>
        <v>-1.6422951949899982</v>
      </c>
      <c r="BJ330">
        <f t="shared" si="293"/>
        <v>0</v>
      </c>
      <c r="BK330">
        <f t="shared" ref="BK330:BK393" si="309">IF(BJ330&gt;0,BI330,0)</f>
        <v>0</v>
      </c>
      <c r="BM330">
        <f t="shared" ref="BM330:BM393" si="310">20*LOG(J330*F330*C330)</f>
        <v>-36.811777932081924</v>
      </c>
      <c r="BN330">
        <f t="shared" si="294"/>
        <v>-145.22805309695701</v>
      </c>
      <c r="BQ330" s="75">
        <f t="shared" ref="BQ330:BQ393" si="311">20*LOG(BA330*7)</f>
        <v>35.088220044932832</v>
      </c>
      <c r="BR330" s="80"/>
      <c r="BS330" s="80"/>
      <c r="BT330" s="80">
        <v>158489.31899999999</v>
      </c>
      <c r="BU330" s="80">
        <v>10.4788</v>
      </c>
      <c r="BV330" s="80">
        <v>-137.47</v>
      </c>
      <c r="BY330" s="80"/>
      <c r="BZ330" s="80"/>
      <c r="CA330" s="80"/>
      <c r="CC330" s="80"/>
    </row>
    <row r="331" spans="1:81">
      <c r="A331">
        <f t="shared" si="263"/>
        <v>585000</v>
      </c>
      <c r="B331">
        <f t="shared" si="295"/>
        <v>585</v>
      </c>
      <c r="C331">
        <f t="shared" si="264"/>
        <v>1.2113667106218857</v>
      </c>
      <c r="D331">
        <f t="shared" si="265"/>
        <v>0.59968426273609765</v>
      </c>
      <c r="F331">
        <f t="shared" si="266"/>
        <v>1.3049934931806085E-3</v>
      </c>
      <c r="G331">
        <f t="shared" si="267"/>
        <v>1.1097725764443993E-2</v>
      </c>
      <c r="H331">
        <f t="shared" si="268"/>
        <v>-3.1304949242355562</v>
      </c>
      <c r="J331">
        <f t="shared" si="269"/>
        <v>9</v>
      </c>
      <c r="M331">
        <f t="shared" si="270"/>
        <v>7.2149075021717222E-3</v>
      </c>
      <c r="N331">
        <f t="shared" si="271"/>
        <v>-1.5707963250000001</v>
      </c>
      <c r="O331">
        <f t="shared" si="272"/>
        <v>75.240124165344085</v>
      </c>
      <c r="P331">
        <f t="shared" si="273"/>
        <v>1.5575051546411656</v>
      </c>
      <c r="Q331">
        <f t="shared" si="274"/>
        <v>30.734710513086323</v>
      </c>
      <c r="R331">
        <f t="shared" si="275"/>
        <v>1.5382540804309319</v>
      </c>
      <c r="S331">
        <f t="shared" si="276"/>
        <v>0.9303209605826851</v>
      </c>
      <c r="T331">
        <f t="shared" si="277"/>
        <v>-0.37550929470500499</v>
      </c>
      <c r="U331">
        <f t="shared" si="278"/>
        <v>0.85199107025933818</v>
      </c>
      <c r="V331">
        <f t="shared" si="279"/>
        <v>-0.55101974680071342</v>
      </c>
      <c r="X331">
        <f t="shared" si="296"/>
        <v>-14.509925252085216</v>
      </c>
      <c r="Y331">
        <f t="shared" si="280"/>
        <v>-110.71703479060349</v>
      </c>
      <c r="Z331">
        <f t="shared" si="297"/>
        <v>69.282965209396508</v>
      </c>
      <c r="AC331">
        <v>1</v>
      </c>
      <c r="AD331">
        <f t="shared" si="281"/>
        <v>75.23347848143402</v>
      </c>
      <c r="AE331">
        <f t="shared" si="282"/>
        <v>-1.5485844827404635E-3</v>
      </c>
      <c r="AF331">
        <f t="shared" si="283"/>
        <v>2.5200348273828003E-3</v>
      </c>
      <c r="AG331">
        <f t="shared" si="298"/>
        <v>21493.779491197474</v>
      </c>
      <c r="AH331">
        <f t="shared" si="299"/>
        <v>-13604.944274171194</v>
      </c>
      <c r="AJ331">
        <f t="shared" si="284"/>
        <v>55000</v>
      </c>
      <c r="AK331">
        <f t="shared" si="285"/>
        <v>21681.819483699379</v>
      </c>
      <c r="AL331">
        <v>1</v>
      </c>
      <c r="AM331">
        <f t="shared" si="286"/>
        <v>30.718437953828627</v>
      </c>
      <c r="AN331">
        <f t="shared" si="300"/>
        <v>763.30140317483074</v>
      </c>
      <c r="AO331">
        <f t="shared" si="301"/>
        <v>-1765.6073097969918</v>
      </c>
      <c r="AQ331">
        <f t="shared" si="287"/>
        <v>3.3267819287904156E-2</v>
      </c>
      <c r="AR331">
        <f t="shared" si="288"/>
        <v>-10.256302347364413</v>
      </c>
      <c r="AT331">
        <f t="shared" si="261"/>
        <v>-138821.37072301682</v>
      </c>
      <c r="AU331">
        <f t="shared" si="262"/>
        <v>-220899.30787683686</v>
      </c>
      <c r="AV331">
        <f t="shared" si="302"/>
        <v>-2.1318636106175961</v>
      </c>
      <c r="AW331">
        <f t="shared" si="303"/>
        <v>2754.7580642364278</v>
      </c>
      <c r="AX331">
        <f t="shared" si="304"/>
        <v>-32265.685538448572</v>
      </c>
      <c r="AY331">
        <f t="shared" ref="AY331:AY394" si="312">ATAN2(AW331,AX331)</f>
        <v>-1.4856255414148845</v>
      </c>
      <c r="BA331">
        <f t="shared" si="289"/>
        <v>8.0566240537559253</v>
      </c>
      <c r="BB331">
        <f t="shared" si="305"/>
        <v>18.123061972673447</v>
      </c>
      <c r="BC331">
        <f t="shared" si="306"/>
        <v>-0.64623806920271165</v>
      </c>
      <c r="BD331">
        <f t="shared" si="290"/>
        <v>-217.02671396830777</v>
      </c>
      <c r="BF331">
        <f t="shared" si="291"/>
        <v>-18.814408219344848</v>
      </c>
      <c r="BG331">
        <f t="shared" si="292"/>
        <v>-182.03148378463086</v>
      </c>
      <c r="BH331">
        <f t="shared" si="307"/>
        <v>-2.0314837846308649</v>
      </c>
      <c r="BI331">
        <f t="shared" si="308"/>
        <v>-2.0314837846308649</v>
      </c>
      <c r="BJ331">
        <f t="shared" si="293"/>
        <v>0</v>
      </c>
      <c r="BK331">
        <f t="shared" si="309"/>
        <v>0</v>
      </c>
      <c r="BM331">
        <f t="shared" si="310"/>
        <v>-36.937470192018296</v>
      </c>
      <c r="BN331">
        <f t="shared" si="294"/>
        <v>-145.00476981632309</v>
      </c>
      <c r="BQ331" s="75">
        <f t="shared" si="311"/>
        <v>35.025022772958586</v>
      </c>
      <c r="BR331" s="80"/>
      <c r="BS331" s="80"/>
      <c r="BT331" s="80">
        <v>162181.01</v>
      </c>
      <c r="BU331" s="80">
        <v>10.741899999999999</v>
      </c>
      <c r="BV331" s="80">
        <v>-137.46899999999999</v>
      </c>
      <c r="BY331" s="80"/>
      <c r="BZ331" s="80"/>
      <c r="CA331" s="80"/>
      <c r="CC331" s="80"/>
    </row>
    <row r="332" spans="1:81">
      <c r="A332">
        <f t="shared" si="263"/>
        <v>590000</v>
      </c>
      <c r="B332">
        <f t="shared" si="295"/>
        <v>590</v>
      </c>
      <c r="C332">
        <f t="shared" si="264"/>
        <v>1.2146741765511697</v>
      </c>
      <c r="D332">
        <f t="shared" si="265"/>
        <v>0.60365552459362171</v>
      </c>
      <c r="F332">
        <f t="shared" si="266"/>
        <v>1.2829417202853716E-3</v>
      </c>
      <c r="G332">
        <f t="shared" si="267"/>
        <v>1.1003442176169036E-2</v>
      </c>
      <c r="H332">
        <f t="shared" si="268"/>
        <v>-3.1305892078238311</v>
      </c>
      <c r="J332">
        <f t="shared" si="269"/>
        <v>9</v>
      </c>
      <c r="M332">
        <f t="shared" si="270"/>
        <v>7.1537642182550121E-3</v>
      </c>
      <c r="N332">
        <f t="shared" si="271"/>
        <v>-1.5707963250000001</v>
      </c>
      <c r="O332">
        <f t="shared" si="272"/>
        <v>75.883089034502348</v>
      </c>
      <c r="P332">
        <f t="shared" si="273"/>
        <v>1.5576177785966203</v>
      </c>
      <c r="Q332">
        <f t="shared" si="274"/>
        <v>30.997123433872094</v>
      </c>
      <c r="R332">
        <f t="shared" si="275"/>
        <v>1.5385296699849473</v>
      </c>
      <c r="S332">
        <f t="shared" si="276"/>
        <v>0.92924875187705169</v>
      </c>
      <c r="T332">
        <f t="shared" si="277"/>
        <v>-0.37842210753971189</v>
      </c>
      <c r="U332">
        <f t="shared" si="278"/>
        <v>0.8499935161675618</v>
      </c>
      <c r="V332">
        <f t="shared" si="279"/>
        <v>-0.55482334122065324</v>
      </c>
      <c r="X332">
        <f t="shared" si="296"/>
        <v>-14.59084295425744</v>
      </c>
      <c r="Y332">
        <f t="shared" si="280"/>
        <v>-110.85747909221178</v>
      </c>
      <c r="Z332">
        <f t="shared" si="297"/>
        <v>69.142520907788224</v>
      </c>
      <c r="AC332">
        <v>1</v>
      </c>
      <c r="AD332">
        <f t="shared" si="281"/>
        <v>75.876499665036008</v>
      </c>
      <c r="AE332">
        <f t="shared" si="282"/>
        <v>-1.5751691385549134E-3</v>
      </c>
      <c r="AF332">
        <f t="shared" si="283"/>
        <v>2.5415735865912002E-3</v>
      </c>
      <c r="AG332">
        <f t="shared" si="298"/>
        <v>21393.11023164546</v>
      </c>
      <c r="AH332">
        <f t="shared" si="299"/>
        <v>-13652.080426728266</v>
      </c>
      <c r="AJ332">
        <f t="shared" si="284"/>
        <v>55000</v>
      </c>
      <c r="AK332">
        <f t="shared" si="285"/>
        <v>21867.134180141253</v>
      </c>
      <c r="AL332">
        <v>1</v>
      </c>
      <c r="AM332">
        <f t="shared" si="286"/>
        <v>30.980988705570756</v>
      </c>
      <c r="AN332">
        <f t="shared" si="300"/>
        <v>762.332352252178</v>
      </c>
      <c r="AO332">
        <f t="shared" si="301"/>
        <v>-1750.675814874663</v>
      </c>
      <c r="AQ332">
        <f t="shared" si="287"/>
        <v>3.2706352994647102E-2</v>
      </c>
      <c r="AR332">
        <f t="shared" si="288"/>
        <v>-10.169386336625625</v>
      </c>
      <c r="AT332">
        <f t="shared" si="261"/>
        <v>-138133.58954319498</v>
      </c>
      <c r="AU332">
        <f t="shared" si="262"/>
        <v>-218001.31264916906</v>
      </c>
      <c r="AV332">
        <f t="shared" si="302"/>
        <v>-2.1355820693250385</v>
      </c>
      <c r="AW332">
        <f t="shared" si="303"/>
        <v>2962.258864091501</v>
      </c>
      <c r="AX332">
        <f t="shared" si="304"/>
        <v>-32131.797370497367</v>
      </c>
      <c r="AY332">
        <f t="shared" si="312"/>
        <v>-1.4788652987446878</v>
      </c>
      <c r="BA332">
        <f t="shared" si="289"/>
        <v>7.9980134297213921</v>
      </c>
      <c r="BB332">
        <f t="shared" si="305"/>
        <v>18.059642580718741</v>
      </c>
      <c r="BC332">
        <f t="shared" si="306"/>
        <v>-0.65671677058035072</v>
      </c>
      <c r="BD332">
        <f t="shared" si="290"/>
        <v>-217.62709933271049</v>
      </c>
      <c r="BF332">
        <f t="shared" si="291"/>
        <v>-19.00217269124191</v>
      </c>
      <c r="BG332">
        <f t="shared" si="292"/>
        <v>-182.40973465668782</v>
      </c>
      <c r="BH332">
        <f t="shared" si="307"/>
        <v>-2.4097346566878173</v>
      </c>
      <c r="BI332">
        <f t="shared" si="308"/>
        <v>-2.4097346566878173</v>
      </c>
      <c r="BJ332">
        <f t="shared" si="293"/>
        <v>0</v>
      </c>
      <c r="BK332">
        <f t="shared" si="309"/>
        <v>0</v>
      </c>
      <c r="BM332">
        <f t="shared" si="310"/>
        <v>-37.061815271960647</v>
      </c>
      <c r="BN332">
        <f t="shared" si="294"/>
        <v>-144.78263532397736</v>
      </c>
      <c r="BQ332" s="75">
        <f t="shared" si="311"/>
        <v>34.961603381003876</v>
      </c>
      <c r="BR332" s="80"/>
      <c r="BS332" s="80"/>
      <c r="BT332" s="80">
        <v>165958.69099999999</v>
      </c>
      <c r="BU332" s="80">
        <v>11.0235</v>
      </c>
      <c r="BV332" s="80">
        <v>-138.31200000000001</v>
      </c>
      <c r="BY332" s="80"/>
      <c r="BZ332" s="80"/>
      <c r="CA332" s="80"/>
      <c r="CC332" s="80"/>
    </row>
    <row r="333" spans="1:81">
      <c r="A333">
        <f t="shared" si="263"/>
        <v>595000</v>
      </c>
      <c r="B333">
        <f t="shared" si="295"/>
        <v>595</v>
      </c>
      <c r="C333">
        <f t="shared" si="264"/>
        <v>1.2180006947962929</v>
      </c>
      <c r="D333">
        <f t="shared" si="265"/>
        <v>0.60760515639313706</v>
      </c>
      <c r="F333">
        <f t="shared" si="266"/>
        <v>1.2614444274553496E-3</v>
      </c>
      <c r="G333">
        <f t="shared" si="267"/>
        <v>1.0910749046770904E-2</v>
      </c>
      <c r="H333">
        <f t="shared" si="268"/>
        <v>-3.1306819009532294</v>
      </c>
      <c r="J333">
        <f t="shared" si="269"/>
        <v>9</v>
      </c>
      <c r="M333">
        <f t="shared" si="270"/>
        <v>7.0936485525553896E-3</v>
      </c>
      <c r="N333">
        <f t="shared" si="271"/>
        <v>-1.5707963250000001</v>
      </c>
      <c r="O333">
        <f t="shared" si="272"/>
        <v>76.52605484999961</v>
      </c>
      <c r="P333">
        <f t="shared" si="273"/>
        <v>1.5577285100384597</v>
      </c>
      <c r="Q333">
        <f t="shared" si="274"/>
        <v>31.259538669351258</v>
      </c>
      <c r="R333">
        <f t="shared" si="275"/>
        <v>1.5388006325621342</v>
      </c>
      <c r="S333">
        <f t="shared" si="276"/>
        <v>0.92817116396561272</v>
      </c>
      <c r="T333">
        <f t="shared" si="277"/>
        <v>-0.38132818939329283</v>
      </c>
      <c r="U333">
        <f t="shared" si="278"/>
        <v>0.84799312484357547</v>
      </c>
      <c r="V333">
        <f t="shared" si="279"/>
        <v>-0.55860908728956771</v>
      </c>
      <c r="X333">
        <f t="shared" si="296"/>
        <v>-14.671197437093021</v>
      </c>
      <c r="Y333">
        <f t="shared" si="280"/>
        <v>-110.99803682556508</v>
      </c>
      <c r="Z333">
        <f t="shared" si="297"/>
        <v>69.00196317443492</v>
      </c>
      <c r="AC333">
        <v>1</v>
      </c>
      <c r="AD333">
        <f t="shared" si="281"/>
        <v>76.51952084863801</v>
      </c>
      <c r="AE333">
        <f t="shared" si="282"/>
        <v>-1.6019800467592738E-3</v>
      </c>
      <c r="AF333">
        <f t="shared" si="283"/>
        <v>2.5631123457996001E-3</v>
      </c>
      <c r="AG333">
        <f t="shared" si="298"/>
        <v>21292.53479318984</v>
      </c>
      <c r="AH333">
        <f t="shared" si="299"/>
        <v>-13698.274264550268</v>
      </c>
      <c r="AJ333">
        <f t="shared" si="284"/>
        <v>55000</v>
      </c>
      <c r="AK333">
        <f t="shared" si="285"/>
        <v>22052.44887658313</v>
      </c>
      <c r="AL333">
        <v>1</v>
      </c>
      <c r="AM333">
        <f t="shared" si="286"/>
        <v>31.243539457312878</v>
      </c>
      <c r="AN333">
        <f t="shared" si="300"/>
        <v>761.38759505693565</v>
      </c>
      <c r="AO333">
        <f t="shared" si="301"/>
        <v>-1735.9944918868002</v>
      </c>
      <c r="AQ333">
        <f t="shared" si="287"/>
        <v>3.2158981564352498E-2</v>
      </c>
      <c r="AR333">
        <f t="shared" si="288"/>
        <v>-10.083931054226191</v>
      </c>
      <c r="AT333">
        <f t="shared" si="261"/>
        <v>-137447.70701173338</v>
      </c>
      <c r="AU333">
        <f t="shared" si="262"/>
        <v>-215152.97537377581</v>
      </c>
      <c r="AV333">
        <f t="shared" si="302"/>
        <v>-2.1392841102125333</v>
      </c>
      <c r="AW333">
        <f t="shared" si="303"/>
        <v>3162.3112106166027</v>
      </c>
      <c r="AX333">
        <f t="shared" si="304"/>
        <v>-32000.286530567773</v>
      </c>
      <c r="AY333">
        <f t="shared" si="312"/>
        <v>-1.4722947996023439</v>
      </c>
      <c r="BA333">
        <f t="shared" si="289"/>
        <v>7.9396603565902764</v>
      </c>
      <c r="BB333">
        <f t="shared" si="305"/>
        <v>17.996038490825029</v>
      </c>
      <c r="BC333">
        <f t="shared" si="306"/>
        <v>-0.6669893106101894</v>
      </c>
      <c r="BD333">
        <f t="shared" si="290"/>
        <v>-218.21567252197195</v>
      </c>
      <c r="BF333">
        <f t="shared" si="291"/>
        <v>-19.188798148356078</v>
      </c>
      <c r="BG333">
        <f t="shared" si="292"/>
        <v>-182.77732153805829</v>
      </c>
      <c r="BH333">
        <f t="shared" si="307"/>
        <v>-2.7773215380582883</v>
      </c>
      <c r="BI333">
        <f t="shared" si="308"/>
        <v>-2.7773215380582883</v>
      </c>
      <c r="BJ333">
        <f t="shared" si="293"/>
        <v>0</v>
      </c>
      <c r="BK333">
        <f t="shared" si="309"/>
        <v>0</v>
      </c>
      <c r="BM333">
        <f t="shared" si="310"/>
        <v>-37.1848366391811</v>
      </c>
      <c r="BN333">
        <f t="shared" si="294"/>
        <v>-144.56164901608636</v>
      </c>
      <c r="BQ333" s="75">
        <f t="shared" si="311"/>
        <v>34.89799929111016</v>
      </c>
      <c r="BR333" s="80"/>
      <c r="BS333" s="80"/>
      <c r="BT333" s="80">
        <v>169824.36499999999</v>
      </c>
      <c r="BU333" s="80">
        <v>11.234299999999999</v>
      </c>
      <c r="BV333" s="80">
        <v>-140.114</v>
      </c>
      <c r="BY333" s="80"/>
      <c r="BZ333" s="80"/>
      <c r="CA333" s="80"/>
      <c r="CC333" s="80"/>
    </row>
    <row r="334" spans="1:81">
      <c r="A334">
        <f t="shared" si="263"/>
        <v>600000</v>
      </c>
      <c r="B334">
        <f t="shared" si="295"/>
        <v>600</v>
      </c>
      <c r="C334">
        <f t="shared" si="264"/>
        <v>1.2213461096817964</v>
      </c>
      <c r="D334">
        <f t="shared" si="265"/>
        <v>0.61153321215048606</v>
      </c>
      <c r="F334">
        <f t="shared" si="266"/>
        <v>1.2404831726437217E-3</v>
      </c>
      <c r="G334">
        <f t="shared" si="267"/>
        <v>1.0819606421479338E-2</v>
      </c>
      <c r="H334">
        <f t="shared" si="268"/>
        <v>-3.1307730435785208</v>
      </c>
      <c r="J334">
        <f t="shared" si="269"/>
        <v>9</v>
      </c>
      <c r="M334">
        <f t="shared" si="270"/>
        <v>7.0345348146174285E-3</v>
      </c>
      <c r="N334">
        <f t="shared" si="271"/>
        <v>-1.5707963250000001</v>
      </c>
      <c r="O334">
        <f t="shared" si="272"/>
        <v>77.169021588181394</v>
      </c>
      <c r="P334">
        <f t="shared" si="273"/>
        <v>1.5578373962687955</v>
      </c>
      <c r="Q334">
        <f t="shared" si="274"/>
        <v>31.521956161715465</v>
      </c>
      <c r="R334">
        <f t="shared" si="275"/>
        <v>1.5390670836797151</v>
      </c>
      <c r="S334">
        <f t="shared" si="276"/>
        <v>0.92708827004781169</v>
      </c>
      <c r="T334">
        <f t="shared" si="277"/>
        <v>-0.38422751465490701</v>
      </c>
      <c r="U334">
        <f t="shared" si="278"/>
        <v>0.84599008767848782</v>
      </c>
      <c r="V334">
        <f t="shared" si="279"/>
        <v>-0.5623770025923992</v>
      </c>
      <c r="X334">
        <f t="shared" si="296"/>
        <v>-14.75099922101367</v>
      </c>
      <c r="Y334">
        <f t="shared" si="280"/>
        <v>-111.13869739631247</v>
      </c>
      <c r="Z334">
        <f t="shared" si="297"/>
        <v>68.861302603687534</v>
      </c>
      <c r="AC334">
        <v>1</v>
      </c>
      <c r="AD334">
        <f t="shared" si="281"/>
        <v>77.162542032240012</v>
      </c>
      <c r="AE334">
        <f t="shared" si="282"/>
        <v>-1.6290172073535447E-3</v>
      </c>
      <c r="AF334">
        <f t="shared" si="283"/>
        <v>2.584651105008E-3</v>
      </c>
      <c r="AG334">
        <f t="shared" si="298"/>
        <v>21192.063772862137</v>
      </c>
      <c r="AH334">
        <f t="shared" si="299"/>
        <v>-13743.532531914459</v>
      </c>
      <c r="AJ334">
        <f t="shared" si="284"/>
        <v>55000</v>
      </c>
      <c r="AK334">
        <f t="shared" si="285"/>
        <v>22237.763573025</v>
      </c>
      <c r="AL334">
        <v>1</v>
      </c>
      <c r="AM334">
        <f t="shared" si="286"/>
        <v>31.506090209055003</v>
      </c>
      <c r="AN334">
        <f t="shared" si="300"/>
        <v>760.46632654616064</v>
      </c>
      <c r="AO334">
        <f t="shared" si="301"/>
        <v>-1721.557112087019</v>
      </c>
      <c r="AQ334">
        <f t="shared" si="287"/>
        <v>3.1625237139270269E-2</v>
      </c>
      <c r="AR334">
        <f t="shared" si="288"/>
        <v>-9.9998999834372579</v>
      </c>
      <c r="AT334">
        <f t="shared" si="261"/>
        <v>-136763.7466959735</v>
      </c>
      <c r="AU334">
        <f t="shared" si="262"/>
        <v>-212353.16064669847</v>
      </c>
      <c r="AV334">
        <f t="shared" si="302"/>
        <v>-2.1429697151123177</v>
      </c>
      <c r="AW334">
        <f t="shared" si="303"/>
        <v>3355.1745600597233</v>
      </c>
      <c r="AX334">
        <f t="shared" si="304"/>
        <v>-31871.06929332489</v>
      </c>
      <c r="AY334">
        <f t="shared" si="312"/>
        <v>-1.4659092975022097</v>
      </c>
      <c r="BA334">
        <f t="shared" si="289"/>
        <v>7.8815973168249105</v>
      </c>
      <c r="BB334">
        <f t="shared" si="305"/>
        <v>17.932284846195984</v>
      </c>
      <c r="BC334">
        <f t="shared" si="306"/>
        <v>-0.67706041761010805</v>
      </c>
      <c r="BD334">
        <f t="shared" si="290"/>
        <v>-218.79270444875132</v>
      </c>
      <c r="BF334">
        <f t="shared" si="291"/>
        <v>-19.374272349561132</v>
      </c>
      <c r="BG334">
        <f t="shared" si="292"/>
        <v>-183.13451453576124</v>
      </c>
      <c r="BH334">
        <f t="shared" si="307"/>
        <v>-3.1345145357612409</v>
      </c>
      <c r="BI334">
        <f t="shared" si="308"/>
        <v>-3.1345145357612409</v>
      </c>
      <c r="BJ334">
        <f t="shared" si="293"/>
        <v>0</v>
      </c>
      <c r="BK334">
        <f t="shared" si="309"/>
        <v>0</v>
      </c>
      <c r="BM334">
        <f t="shared" si="310"/>
        <v>-37.306557195757115</v>
      </c>
      <c r="BN334">
        <f t="shared" si="294"/>
        <v>-144.34181008700992</v>
      </c>
      <c r="BQ334" s="75">
        <f t="shared" si="311"/>
        <v>34.834245646481122</v>
      </c>
      <c r="BR334" s="80"/>
      <c r="BS334" s="80"/>
      <c r="BT334" s="80">
        <v>173780.08300000001</v>
      </c>
      <c r="BU334" s="80">
        <v>11.3918</v>
      </c>
      <c r="BV334" s="80">
        <v>-141.173</v>
      </c>
      <c r="BY334" s="80"/>
      <c r="BZ334" s="80"/>
      <c r="CA334" s="80"/>
      <c r="CC334" s="80"/>
    </row>
    <row r="335" spans="1:81">
      <c r="A335">
        <f t="shared" si="263"/>
        <v>605000</v>
      </c>
      <c r="B335">
        <f t="shared" si="295"/>
        <v>605</v>
      </c>
      <c r="C335">
        <f t="shared" si="264"/>
        <v>1.2247102663536715</v>
      </c>
      <c r="D335">
        <f t="shared" si="265"/>
        <v>0.61543974795625922</v>
      </c>
      <c r="F335">
        <f t="shared" si="266"/>
        <v>1.2200402744975195E-3</v>
      </c>
      <c r="G335">
        <f t="shared" si="267"/>
        <v>1.0729975674249869E-2</v>
      </c>
      <c r="H335">
        <f t="shared" si="268"/>
        <v>-3.1308626743257504</v>
      </c>
      <c r="J335">
        <f t="shared" si="269"/>
        <v>9</v>
      </c>
      <c r="M335">
        <f t="shared" si="270"/>
        <v>6.9763981632569531E-3</v>
      </c>
      <c r="N335">
        <f t="shared" si="271"/>
        <v>-1.5707963250000001</v>
      </c>
      <c r="O335">
        <f t="shared" si="272"/>
        <v>77.811989226175086</v>
      </c>
      <c r="P335">
        <f t="shared" si="273"/>
        <v>1.5579444830264715</v>
      </c>
      <c r="Q335">
        <f t="shared" si="274"/>
        <v>31.784375855064972</v>
      </c>
      <c r="R335">
        <f t="shared" si="275"/>
        <v>1.5393291350425691</v>
      </c>
      <c r="S335">
        <f t="shared" si="276"/>
        <v>0.92600014319431689</v>
      </c>
      <c r="T335">
        <f t="shared" si="277"/>
        <v>-0.38712005828702684</v>
      </c>
      <c r="U335">
        <f t="shared" si="278"/>
        <v>0.84398459339545306</v>
      </c>
      <c r="V335">
        <f t="shared" si="279"/>
        <v>-0.56612710657398968</v>
      </c>
      <c r="X335">
        <f t="shared" si="296"/>
        <v>-14.830258548613514</v>
      </c>
      <c r="Y335">
        <f t="shared" si="280"/>
        <v>-111.27945046251115</v>
      </c>
      <c r="Z335">
        <f t="shared" si="297"/>
        <v>68.72054953748885</v>
      </c>
      <c r="AC335">
        <v>1</v>
      </c>
      <c r="AD335">
        <f t="shared" si="281"/>
        <v>77.805563215842014</v>
      </c>
      <c r="AE335">
        <f t="shared" si="282"/>
        <v>-1.6562806203377254E-3</v>
      </c>
      <c r="AF335">
        <f t="shared" si="283"/>
        <v>2.6061898642163999E-3</v>
      </c>
      <c r="AG335">
        <f t="shared" si="298"/>
        <v>21091.707544839905</v>
      </c>
      <c r="AH335">
        <f t="shared" si="299"/>
        <v>-13787.862100811866</v>
      </c>
      <c r="AJ335">
        <f t="shared" si="284"/>
        <v>55000</v>
      </c>
      <c r="AK335">
        <f t="shared" si="285"/>
        <v>22423.078269466878</v>
      </c>
      <c r="AL335">
        <v>1</v>
      </c>
      <c r="AM335">
        <f t="shared" si="286"/>
        <v>31.768640960797125</v>
      </c>
      <c r="AN335">
        <f t="shared" si="300"/>
        <v>759.56777473865884</v>
      </c>
      <c r="AO335">
        <f t="shared" si="301"/>
        <v>-1707.3576515972047</v>
      </c>
      <c r="AQ335">
        <f t="shared" si="287"/>
        <v>3.1104671114006215E-2</v>
      </c>
      <c r="AR335">
        <f t="shared" si="288"/>
        <v>-9.9172578146341728</v>
      </c>
      <c r="AT335">
        <f t="shared" si="261"/>
        <v>-136081.73253995978</v>
      </c>
      <c r="AU335">
        <f t="shared" si="262"/>
        <v>-209600.76838905312</v>
      </c>
      <c r="AV335">
        <f t="shared" si="302"/>
        <v>-2.1466388688980058</v>
      </c>
      <c r="AW335">
        <f t="shared" si="303"/>
        <v>3541.0979119939539</v>
      </c>
      <c r="AX335">
        <f t="shared" si="304"/>
        <v>-31744.065381526565</v>
      </c>
      <c r="AY335">
        <f t="shared" si="312"/>
        <v>-1.4597041145239793</v>
      </c>
      <c r="BA335">
        <f t="shared" si="289"/>
        <v>7.8238538864112934</v>
      </c>
      <c r="BB335">
        <f t="shared" si="305"/>
        <v>17.868414624655731</v>
      </c>
      <c r="BC335">
        <f t="shared" si="306"/>
        <v>-0.68693475437402651</v>
      </c>
      <c r="BD335">
        <f t="shared" si="290"/>
        <v>-219.35846227146118</v>
      </c>
      <c r="BF335">
        <f t="shared" si="291"/>
        <v>-19.558584672032588</v>
      </c>
      <c r="BG335">
        <f t="shared" si="292"/>
        <v>-183.48157980756451</v>
      </c>
      <c r="BH335">
        <f t="shared" si="307"/>
        <v>-3.4815798075645148</v>
      </c>
      <c r="BI335">
        <f t="shared" si="308"/>
        <v>-3.4815798075645148</v>
      </c>
      <c r="BJ335">
        <f t="shared" si="293"/>
        <v>0</v>
      </c>
      <c r="BK335">
        <f t="shared" si="309"/>
        <v>0</v>
      </c>
      <c r="BM335">
        <f t="shared" si="310"/>
        <v>-37.426999296688315</v>
      </c>
      <c r="BN335">
        <f t="shared" si="294"/>
        <v>-144.12311753610336</v>
      </c>
      <c r="BQ335" s="75">
        <f t="shared" si="311"/>
        <v>34.770375424940866</v>
      </c>
      <c r="BR335" s="80"/>
      <c r="BS335" s="80"/>
      <c r="BT335" s="80">
        <v>177827.94099999999</v>
      </c>
      <c r="BU335" s="80">
        <v>11.612500000000001</v>
      </c>
      <c r="BV335" s="80">
        <v>-141.86199999999999</v>
      </c>
      <c r="BY335" s="80"/>
      <c r="BZ335" s="80"/>
      <c r="CA335" s="80"/>
      <c r="CC335" s="80"/>
    </row>
    <row r="336" spans="1:81">
      <c r="A336">
        <f t="shared" si="263"/>
        <v>610000</v>
      </c>
      <c r="B336">
        <f t="shared" si="295"/>
        <v>610</v>
      </c>
      <c r="C336">
        <f t="shared" si="264"/>
        <v>1.2280930107919024</v>
      </c>
      <c r="D336">
        <f t="shared" si="265"/>
        <v>0.6193248219154871</v>
      </c>
      <c r="F336">
        <f t="shared" si="266"/>
        <v>1.2000987749995365E-3</v>
      </c>
      <c r="G336">
        <f t="shared" si="267"/>
        <v>1.0641819452922712E-2</v>
      </c>
      <c r="H336">
        <f t="shared" si="268"/>
        <v>-3.1309508305470777</v>
      </c>
      <c r="J336">
        <f t="shared" si="269"/>
        <v>9</v>
      </c>
      <c r="M336">
        <f t="shared" si="270"/>
        <v>6.9192145717548465E-3</v>
      </c>
      <c r="N336">
        <f t="shared" si="271"/>
        <v>-1.5707963250000001</v>
      </c>
      <c r="O336">
        <f t="shared" si="272"/>
        <v>78.454957741857783</v>
      </c>
      <c r="P336">
        <f t="shared" si="273"/>
        <v>1.5580498145511099</v>
      </c>
      <c r="Q336">
        <f t="shared" si="274"/>
        <v>32.046797695330547</v>
      </c>
      <c r="R336">
        <f t="shared" si="275"/>
        <v>1.5395868946991647</v>
      </c>
      <c r="S336">
        <f t="shared" si="276"/>
        <v>0.92490685633700598</v>
      </c>
      <c r="T336">
        <f t="shared" si="277"/>
        <v>-0.39000579582303069</v>
      </c>
      <c r="U336">
        <f t="shared" si="278"/>
        <v>0.84197682804672758</v>
      </c>
      <c r="V336">
        <f t="shared" si="279"/>
        <v>-0.56985942049965144</v>
      </c>
      <c r="X336">
        <f t="shared" si="296"/>
        <v>-14.90898539380661</v>
      </c>
      <c r="Y336">
        <f t="shared" si="280"/>
        <v>-111.42028592622272</v>
      </c>
      <c r="Z336">
        <f t="shared" si="297"/>
        <v>68.579714073777282</v>
      </c>
      <c r="AC336">
        <v>1</v>
      </c>
      <c r="AD336">
        <f t="shared" si="281"/>
        <v>78.448584399444016</v>
      </c>
      <c r="AE336">
        <f t="shared" si="282"/>
        <v>-1.6837702857118166E-3</v>
      </c>
      <c r="AF336">
        <f t="shared" si="283"/>
        <v>2.6277286234248002E-3</v>
      </c>
      <c r="AG336">
        <f t="shared" si="298"/>
        <v>20991.476261597149</v>
      </c>
      <c r="AH336">
        <f t="shared" si="299"/>
        <v>-13831.269963917699</v>
      </c>
      <c r="AJ336">
        <f t="shared" si="284"/>
        <v>55000</v>
      </c>
      <c r="AK336">
        <f t="shared" si="285"/>
        <v>22608.392965908752</v>
      </c>
      <c r="AL336">
        <v>1</v>
      </c>
      <c r="AM336">
        <f t="shared" si="286"/>
        <v>32.031191712539254</v>
      </c>
      <c r="AN336">
        <f t="shared" si="300"/>
        <v>758.69119909944015</v>
      </c>
      <c r="AO336">
        <f t="shared" si="301"/>
        <v>-1693.3902830617042</v>
      </c>
      <c r="AQ336">
        <f t="shared" si="287"/>
        <v>3.0596853192608756E-2</v>
      </c>
      <c r="AR336">
        <f t="shared" si="288"/>
        <v>-9.8359703958279372</v>
      </c>
      <c r="AT336">
        <f t="shared" si="261"/>
        <v>-135401.68878432643</v>
      </c>
      <c r="AU336">
        <f t="shared" si="262"/>
        <v>-206894.73241034776</v>
      </c>
      <c r="AV336">
        <f t="shared" si="302"/>
        <v>-2.1502915593967575</v>
      </c>
      <c r="AW336">
        <f t="shared" si="303"/>
        <v>3720.3203111361777</v>
      </c>
      <c r="AX336">
        <f t="shared" si="304"/>
        <v>-31619.197805797034</v>
      </c>
      <c r="AY336">
        <f t="shared" si="312"/>
        <v>-1.4536746462563541</v>
      </c>
      <c r="BA336">
        <f t="shared" si="289"/>
        <v>7.7664569169905135</v>
      </c>
      <c r="BB336">
        <f t="shared" si="305"/>
        <v>17.804458748383773</v>
      </c>
      <c r="BC336">
        <f t="shared" si="306"/>
        <v>-0.69661691314040342</v>
      </c>
      <c r="BD336">
        <f t="shared" si="290"/>
        <v>-219.91320910598407</v>
      </c>
      <c r="BF336">
        <f t="shared" si="291"/>
        <v>-19.741726018887324</v>
      </c>
      <c r="BG336">
        <f t="shared" si="292"/>
        <v>-183.81877928029877</v>
      </c>
      <c r="BH336">
        <f t="shared" si="307"/>
        <v>-3.8187792802987701</v>
      </c>
      <c r="BI336">
        <f t="shared" si="308"/>
        <v>-3.8187792802987701</v>
      </c>
      <c r="BJ336">
        <f t="shared" si="293"/>
        <v>0</v>
      </c>
      <c r="BK336">
        <f t="shared" si="309"/>
        <v>0</v>
      </c>
      <c r="BM336">
        <f t="shared" si="310"/>
        <v>-37.546184767271093</v>
      </c>
      <c r="BN336">
        <f t="shared" si="294"/>
        <v>-143.9055701743147</v>
      </c>
      <c r="BQ336" s="75">
        <f t="shared" si="311"/>
        <v>34.706419548668904</v>
      </c>
      <c r="BR336" s="80"/>
      <c r="BS336" s="80"/>
      <c r="BT336" s="80">
        <v>181970.08600000001</v>
      </c>
      <c r="BU336" s="80">
        <v>11.8933</v>
      </c>
      <c r="BV336" s="80">
        <v>-143.41399999999999</v>
      </c>
      <c r="BY336" s="80"/>
      <c r="BZ336" s="80"/>
      <c r="CA336" s="80"/>
      <c r="CC336" s="80"/>
    </row>
    <row r="337" spans="1:81">
      <c r="A337">
        <f t="shared" si="263"/>
        <v>615000</v>
      </c>
      <c r="B337">
        <f t="shared" si="295"/>
        <v>615</v>
      </c>
      <c r="C337">
        <f t="shared" si="264"/>
        <v>1.2314941898224179</v>
      </c>
      <c r="D337">
        <f t="shared" si="265"/>
        <v>0.6231884940880571</v>
      </c>
      <c r="F337">
        <f t="shared" si="266"/>
        <v>1.1806424042340898E-3</v>
      </c>
      <c r="G337">
        <f t="shared" si="267"/>
        <v>1.0555101627078577E-2</v>
      </c>
      <c r="H337">
        <f t="shared" si="268"/>
        <v>-3.1310375483729218</v>
      </c>
      <c r="J337">
        <f t="shared" si="269"/>
        <v>9</v>
      </c>
      <c r="M337">
        <f t="shared" si="270"/>
        <v>6.8629607947487108E-3</v>
      </c>
      <c r="N337">
        <f t="shared" si="271"/>
        <v>-1.5707963250000001</v>
      </c>
      <c r="O337">
        <f t="shared" si="272"/>
        <v>79.097927113825918</v>
      </c>
      <c r="P337">
        <f t="shared" si="273"/>
        <v>1.5581534336440357</v>
      </c>
      <c r="Q337">
        <f t="shared" si="274"/>
        <v>32.309221630199175</v>
      </c>
      <c r="R337">
        <f t="shared" si="275"/>
        <v>1.5398404671899026</v>
      </c>
      <c r="S337">
        <f t="shared" si="276"/>
        <v>0.92380848225911238</v>
      </c>
      <c r="T337">
        <f t="shared" si="277"/>
        <v>-0.39288470336471215</v>
      </c>
      <c r="U337">
        <f t="shared" si="278"/>
        <v>0.83996697501210849</v>
      </c>
      <c r="V337">
        <f t="shared" si="279"/>
        <v>-0.57357396741595179</v>
      </c>
      <c r="X337">
        <f t="shared" si="296"/>
        <v>-14.98718947060139</v>
      </c>
      <c r="Y337">
        <f t="shared" si="280"/>
        <v>-111.56119392553526</v>
      </c>
      <c r="Z337">
        <f t="shared" si="297"/>
        <v>68.438806074464736</v>
      </c>
      <c r="AC337">
        <v>1</v>
      </c>
      <c r="AD337">
        <f t="shared" si="281"/>
        <v>79.091605583046004</v>
      </c>
      <c r="AE337">
        <f t="shared" si="282"/>
        <v>-1.7114862034758179E-3</v>
      </c>
      <c r="AF337">
        <f t="shared" si="283"/>
        <v>2.6492673826332002E-3</v>
      </c>
      <c r="AG337">
        <f t="shared" si="298"/>
        <v>20891.379855151987</v>
      </c>
      <c r="AH337">
        <f t="shared" si="299"/>
        <v>-13873.763227754256</v>
      </c>
      <c r="AJ337">
        <f t="shared" si="284"/>
        <v>55000</v>
      </c>
      <c r="AK337">
        <f t="shared" si="285"/>
        <v>22793.707662350629</v>
      </c>
      <c r="AL337">
        <v>1</v>
      </c>
      <c r="AM337">
        <f t="shared" si="286"/>
        <v>32.29374246428138</v>
      </c>
      <c r="AN337">
        <f t="shared" si="300"/>
        <v>757.8358890155049</v>
      </c>
      <c r="AO337">
        <f t="shared" si="301"/>
        <v>-1679.6493677058104</v>
      </c>
      <c r="AQ337">
        <f t="shared" si="287"/>
        <v>3.0101370499096291E-2</v>
      </c>
      <c r="AR337">
        <f t="shared" si="288"/>
        <v>-9.7560046856096037</v>
      </c>
      <c r="AT337">
        <f t="shared" si="261"/>
        <v>-134723.63989175146</v>
      </c>
      <c r="AU337">
        <f t="shared" si="262"/>
        <v>-204234.01904284823</v>
      </c>
      <c r="AV337">
        <f t="shared" si="302"/>
        <v>-2.1539277773040233</v>
      </c>
      <c r="AW337">
        <f t="shared" si="303"/>
        <v>3893.0713209565206</v>
      </c>
      <c r="AX337">
        <f t="shared" si="304"/>
        <v>-31496.392713044574</v>
      </c>
      <c r="AY337">
        <f t="shared" si="312"/>
        <v>-1.4478163659798962</v>
      </c>
      <c r="BA337">
        <f t="shared" si="289"/>
        <v>7.7094307100571502</v>
      </c>
      <c r="BB337">
        <f t="shared" si="305"/>
        <v>17.740446189789438</v>
      </c>
      <c r="BC337">
        <f t="shared" si="306"/>
        <v>-0.70611141132412714</v>
      </c>
      <c r="BD337">
        <f t="shared" si="290"/>
        <v>-220.45720378112767</v>
      </c>
      <c r="BF337">
        <f t="shared" si="291"/>
        <v>-19.923688729978434</v>
      </c>
      <c r="BG337">
        <f t="shared" si="292"/>
        <v>-184.14637041171409</v>
      </c>
      <c r="BH337">
        <f t="shared" si="307"/>
        <v>-4.1463704117140878</v>
      </c>
      <c r="BI337">
        <f t="shared" si="308"/>
        <v>-4.1463704117140878</v>
      </c>
      <c r="BJ337">
        <f t="shared" si="293"/>
        <v>0</v>
      </c>
      <c r="BK337">
        <f t="shared" si="309"/>
        <v>0</v>
      </c>
      <c r="BM337">
        <f t="shared" si="310"/>
        <v>-37.664134919767875</v>
      </c>
      <c r="BN337">
        <f t="shared" si="294"/>
        <v>-143.68916663058644</v>
      </c>
      <c r="BQ337" s="75">
        <f t="shared" si="311"/>
        <v>34.642406990074576</v>
      </c>
      <c r="BR337" s="80"/>
      <c r="BS337" s="80"/>
      <c r="BT337" s="80">
        <v>186208.71400000001</v>
      </c>
      <c r="BU337" s="80">
        <v>12.027799999999999</v>
      </c>
      <c r="BV337" s="80">
        <v>-144.279</v>
      </c>
      <c r="BY337" s="80"/>
      <c r="BZ337" s="80"/>
      <c r="CA337" s="80"/>
      <c r="CC337" s="80"/>
    </row>
    <row r="338" spans="1:81">
      <c r="A338">
        <f t="shared" si="263"/>
        <v>620000</v>
      </c>
      <c r="B338">
        <f t="shared" si="295"/>
        <v>620</v>
      </c>
      <c r="C338">
        <f t="shared" si="264"/>
        <v>1.234913651128468</v>
      </c>
      <c r="D338">
        <f t="shared" si="265"/>
        <v>0.62703082642986985</v>
      </c>
      <c r="F338">
        <f t="shared" si="266"/>
        <v>1.1616555471396955E-3</v>
      </c>
      <c r="G338">
        <f t="shared" si="267"/>
        <v>1.0469787238437734E-2</v>
      </c>
      <c r="H338">
        <f t="shared" si="268"/>
        <v>-3.1311228627615626</v>
      </c>
      <c r="J338">
        <f t="shared" si="269"/>
        <v>9</v>
      </c>
      <c r="M338">
        <f t="shared" si="270"/>
        <v>6.8076143367265434E-3</v>
      </c>
      <c r="N338">
        <f t="shared" si="271"/>
        <v>-1.5707963250000001</v>
      </c>
      <c r="O338">
        <f t="shared" si="272"/>
        <v>79.740897321366177</v>
      </c>
      <c r="P338">
        <f t="shared" si="273"/>
        <v>1.5582553817262541</v>
      </c>
      <c r="Q338">
        <f t="shared" si="274"/>
        <v>32.571647609043332</v>
      </c>
      <c r="R338">
        <f t="shared" si="275"/>
        <v>1.5400899536882997</v>
      </c>
      <c r="S338">
        <f t="shared" si="276"/>
        <v>0.92270509358553499</v>
      </c>
      <c r="T338">
        <f t="shared" si="277"/>
        <v>-0.39575675757970863</v>
      </c>
      <c r="U338">
        <f t="shared" si="278"/>
        <v>0.83795521499870396</v>
      </c>
      <c r="V338">
        <f t="shared" si="279"/>
        <v>-0.57727077211172573</v>
      </c>
      <c r="X338">
        <f t="shared" si="296"/>
        <v>-15.064880241520633</v>
      </c>
      <c r="Y338">
        <f t="shared" si="280"/>
        <v>-111.70216482698454</v>
      </c>
      <c r="Z338">
        <f t="shared" si="297"/>
        <v>68.297835173015457</v>
      </c>
      <c r="AC338">
        <v>1</v>
      </c>
      <c r="AD338">
        <f t="shared" si="281"/>
        <v>79.734626766648006</v>
      </c>
      <c r="AE338">
        <f t="shared" si="282"/>
        <v>-1.7394283736297295E-3</v>
      </c>
      <c r="AF338">
        <f t="shared" si="283"/>
        <v>2.6708061418416001E-3</v>
      </c>
      <c r="AG338">
        <f t="shared" si="298"/>
        <v>20791.428038407299</v>
      </c>
      <c r="AH338">
        <f t="shared" si="299"/>
        <v>-13915.349106041764</v>
      </c>
      <c r="AJ338">
        <f t="shared" si="284"/>
        <v>55000</v>
      </c>
      <c r="AK338">
        <f t="shared" si="285"/>
        <v>22979.022358792503</v>
      </c>
      <c r="AL338">
        <v>1</v>
      </c>
      <c r="AM338">
        <f t="shared" si="286"/>
        <v>32.556293216023505</v>
      </c>
      <c r="AN338">
        <f t="shared" si="300"/>
        <v>757.00116235710072</v>
      </c>
      <c r="AO338">
        <f t="shared" si="301"/>
        <v>-1666.1294477758809</v>
      </c>
      <c r="AQ338">
        <f t="shared" si="287"/>
        <v>2.9617826737991588E-2</v>
      </c>
      <c r="AR338">
        <f t="shared" si="288"/>
        <v>-9.6773287083713715</v>
      </c>
      <c r="AT338">
        <f t="shared" si="261"/>
        <v>-134047.61047763089</v>
      </c>
      <c r="AU338">
        <f t="shared" si="262"/>
        <v>-201617.62584293785</v>
      </c>
      <c r="AV338">
        <f t="shared" si="302"/>
        <v>-2.1575475161007436</v>
      </c>
      <c r="AW338">
        <f t="shared" si="303"/>
        <v>4059.571470887513</v>
      </c>
      <c r="AX338">
        <f t="shared" si="304"/>
        <v>-31375.57924297954</v>
      </c>
      <c r="AY338">
        <f t="shared" si="312"/>
        <v>-1.442124828157143</v>
      </c>
      <c r="BA338">
        <f t="shared" si="289"/>
        <v>7.6527971831401382</v>
      </c>
      <c r="BB338">
        <f t="shared" si="305"/>
        <v>17.676404073435368</v>
      </c>
      <c r="BC338">
        <f t="shared" si="306"/>
        <v>-0.71542268794360053</v>
      </c>
      <c r="BD338">
        <f t="shared" si="290"/>
        <v>-220.99070063391193</v>
      </c>
      <c r="BF338">
        <f t="shared" si="291"/>
        <v>-20.104466495970506</v>
      </c>
      <c r="BG338">
        <f t="shared" si="292"/>
        <v>-184.46460599198076</v>
      </c>
      <c r="BH338">
        <f t="shared" si="307"/>
        <v>-4.4646059919807612</v>
      </c>
      <c r="BI338">
        <f t="shared" si="308"/>
        <v>-4.4646059919807612</v>
      </c>
      <c r="BJ338">
        <f t="shared" si="293"/>
        <v>0</v>
      </c>
      <c r="BK338">
        <f t="shared" si="309"/>
        <v>0</v>
      </c>
      <c r="BM338">
        <f t="shared" si="310"/>
        <v>-37.78087056940587</v>
      </c>
      <c r="BN338">
        <f t="shared" si="294"/>
        <v>-143.47390535806883</v>
      </c>
      <c r="BQ338" s="75">
        <f t="shared" si="311"/>
        <v>34.578364873720503</v>
      </c>
      <c r="BR338" s="80"/>
      <c r="BS338" s="80"/>
      <c r="BT338" s="80">
        <v>190546.07199999999</v>
      </c>
      <c r="BU338" s="80">
        <v>12.182600000000001</v>
      </c>
      <c r="BV338" s="80">
        <v>-145.40799999999999</v>
      </c>
      <c r="BY338" s="80"/>
      <c r="BZ338" s="80"/>
      <c r="CA338" s="80"/>
      <c r="CC338" s="80"/>
    </row>
    <row r="339" spans="1:81">
      <c r="A339">
        <f t="shared" si="263"/>
        <v>625000</v>
      </c>
      <c r="B339">
        <f t="shared" si="295"/>
        <v>625</v>
      </c>
      <c r="C339">
        <f t="shared" si="264"/>
        <v>1.2383512432614301</v>
      </c>
      <c r="D339">
        <f t="shared" si="265"/>
        <v>0.63085188273475379</v>
      </c>
      <c r="F339">
        <f t="shared" si="266"/>
        <v>1.1431232121215968E-3</v>
      </c>
      <c r="G339">
        <f t="shared" si="267"/>
        <v>1.0385842453658622E-2</v>
      </c>
      <c r="H339">
        <f t="shared" si="268"/>
        <v>-3.1312068075463415</v>
      </c>
      <c r="J339">
        <f t="shared" si="269"/>
        <v>9</v>
      </c>
      <c r="M339">
        <f t="shared" si="270"/>
        <v>6.7531534220327313E-3</v>
      </c>
      <c r="N339">
        <f t="shared" si="271"/>
        <v>-1.5707963250000001</v>
      </c>
      <c r="O339">
        <f t="shared" si="272"/>
        <v>80.383868344427981</v>
      </c>
      <c r="P339">
        <f t="shared" si="273"/>
        <v>1.5583556988936453</v>
      </c>
      <c r="Q339">
        <f t="shared" si="274"/>
        <v>32.83407558285365</v>
      </c>
      <c r="R339">
        <f t="shared" si="275"/>
        <v>1.5403354521354071</v>
      </c>
      <c r="S339">
        <f t="shared" si="276"/>
        <v>0.92159676277331193</v>
      </c>
      <c r="T339">
        <f t="shared" si="277"/>
        <v>-0.39862193569885118</v>
      </c>
      <c r="U339">
        <f t="shared" si="278"/>
        <v>0.83594172604200134</v>
      </c>
      <c r="V339">
        <f t="shared" si="279"/>
        <v>-0.58094986107933577</v>
      </c>
      <c r="X339">
        <f t="shared" si="296"/>
        <v>-15.142066925684199</v>
      </c>
      <c r="Y339">
        <f t="shared" si="280"/>
        <v>-111.84318921835076</v>
      </c>
      <c r="Z339">
        <f t="shared" si="297"/>
        <v>68.156810781649241</v>
      </c>
      <c r="AC339">
        <v>1</v>
      </c>
      <c r="AD339">
        <f t="shared" si="281"/>
        <v>80.377647950250008</v>
      </c>
      <c r="AE339">
        <f t="shared" si="282"/>
        <v>-1.7675967961735513E-3</v>
      </c>
      <c r="AF339">
        <f t="shared" si="283"/>
        <v>2.6923449010500004E-3</v>
      </c>
      <c r="AG339">
        <f t="shared" si="298"/>
        <v>20691.63030658026</v>
      </c>
      <c r="AH339">
        <f t="shared" si="299"/>
        <v>-13956.034913233065</v>
      </c>
      <c r="AJ339">
        <f t="shared" si="284"/>
        <v>55000</v>
      </c>
      <c r="AK339">
        <f t="shared" si="285"/>
        <v>23164.337055234377</v>
      </c>
      <c r="AL339">
        <v>1</v>
      </c>
      <c r="AM339">
        <f t="shared" si="286"/>
        <v>32.818843967765631</v>
      </c>
      <c r="AN339">
        <f t="shared" si="300"/>
        <v>756.18636411902469</v>
      </c>
      <c r="AO339">
        <f t="shared" si="301"/>
        <v>-1652.8252393398975</v>
      </c>
      <c r="AQ339">
        <f t="shared" si="287"/>
        <v>2.9145841401675775E-2</v>
      </c>
      <c r="AR339">
        <f t="shared" si="288"/>
        <v>-9.5999115116769591</v>
      </c>
      <c r="AT339">
        <f t="shared" si="261"/>
        <v>-133373.62524565394</v>
      </c>
      <c r="AU339">
        <f t="shared" si="262"/>
        <v>-199044.58035568104</v>
      </c>
      <c r="AV339">
        <f t="shared" si="302"/>
        <v>-2.1611507719728955</v>
      </c>
      <c r="AW339">
        <f t="shared" si="303"/>
        <v>4220.0326788115626</v>
      </c>
      <c r="AX339">
        <f t="shared" si="304"/>
        <v>-31256.68939222848</v>
      </c>
      <c r="AY339">
        <f t="shared" si="312"/>
        <v>-1.4365956712938182</v>
      </c>
      <c r="BA339">
        <f t="shared" si="289"/>
        <v>7.5965760279620671</v>
      </c>
      <c r="BB339">
        <f t="shared" si="305"/>
        <v>17.612357773959971</v>
      </c>
      <c r="BC339">
        <f t="shared" si="306"/>
        <v>-0.72455510067907736</v>
      </c>
      <c r="BD339">
        <f t="shared" si="290"/>
        <v>-221.51394934102419</v>
      </c>
      <c r="BF339">
        <f t="shared" si="291"/>
        <v>-20.28405427577804</v>
      </c>
      <c r="BG339">
        <f t="shared" si="292"/>
        <v>-184.7737339811766</v>
      </c>
      <c r="BH339">
        <f t="shared" si="307"/>
        <v>-4.7737339811766049</v>
      </c>
      <c r="BI339">
        <f t="shared" si="308"/>
        <v>-4.7737339811766049</v>
      </c>
      <c r="BJ339">
        <f t="shared" si="293"/>
        <v>0</v>
      </c>
      <c r="BK339">
        <f t="shared" si="309"/>
        <v>0</v>
      </c>
      <c r="BM339">
        <f t="shared" si="310"/>
        <v>-37.896412049738011</v>
      </c>
      <c r="BN339">
        <f t="shared" si="294"/>
        <v>-143.25978464015245</v>
      </c>
      <c r="BQ339" s="75">
        <f t="shared" si="311"/>
        <v>34.514318574245102</v>
      </c>
      <c r="BR339" s="80"/>
      <c r="BS339" s="80"/>
      <c r="BT339" s="80">
        <v>194984.46</v>
      </c>
      <c r="BU339" s="80">
        <v>12.458399999999999</v>
      </c>
      <c r="BV339" s="80">
        <v>-146.886</v>
      </c>
      <c r="BY339" s="80"/>
      <c r="BZ339" s="80"/>
      <c r="CA339" s="80"/>
      <c r="CC339" s="80"/>
    </row>
    <row r="340" spans="1:81">
      <c r="A340">
        <f t="shared" si="263"/>
        <v>630000</v>
      </c>
      <c r="B340">
        <f t="shared" si="295"/>
        <v>630</v>
      </c>
      <c r="C340">
        <f t="shared" si="264"/>
        <v>1.2418068156510624</v>
      </c>
      <c r="D340">
        <f t="shared" si="265"/>
        <v>0.6346517285771478</v>
      </c>
      <c r="F340">
        <f t="shared" si="266"/>
        <v>1.1250310014061333E-3</v>
      </c>
      <c r="G340">
        <f t="shared" si="267"/>
        <v>1.030323451940153E-2</v>
      </c>
      <c r="H340">
        <f t="shared" si="268"/>
        <v>-3.1312894154805986</v>
      </c>
      <c r="J340">
        <f t="shared" si="269"/>
        <v>9</v>
      </c>
      <c r="M340">
        <f t="shared" si="270"/>
        <v>6.6995569663023122E-3</v>
      </c>
      <c r="N340">
        <f t="shared" si="271"/>
        <v>-1.5707963250000001</v>
      </c>
      <c r="O340">
        <f t="shared" si="272"/>
        <v>81.026840163597157</v>
      </c>
      <c r="P340">
        <f t="shared" si="273"/>
        <v>1.558454423969533</v>
      </c>
      <c r="Q340">
        <f t="shared" si="274"/>
        <v>33.096505504174843</v>
      </c>
      <c r="R340">
        <f t="shared" si="275"/>
        <v>1.5405770573678452</v>
      </c>
      <c r="S340">
        <f t="shared" si="276"/>
        <v>0.92048356210225779</v>
      </c>
      <c r="T340">
        <f t="shared" si="277"/>
        <v>-0.40148021551343699</v>
      </c>
      <c r="U340">
        <f t="shared" si="278"/>
        <v>0.83392668350818988</v>
      </c>
      <c r="V340">
        <f t="shared" si="279"/>
        <v>-0.58461126247619233</v>
      </c>
      <c r="X340">
        <f t="shared" si="296"/>
        <v>-15.218758506571039</v>
      </c>
      <c r="Y340">
        <f t="shared" si="280"/>
        <v>-111.9842579018086</v>
      </c>
      <c r="Z340">
        <f t="shared" si="297"/>
        <v>68.015742098191396</v>
      </c>
      <c r="AC340">
        <v>1</v>
      </c>
      <c r="AD340">
        <f t="shared" si="281"/>
        <v>81.02066913385201</v>
      </c>
      <c r="AE340">
        <f t="shared" si="282"/>
        <v>-1.795991471107283E-3</v>
      </c>
      <c r="AF340">
        <f t="shared" si="283"/>
        <v>2.7138836602584003E-3</v>
      </c>
      <c r="AG340">
        <f t="shared" si="298"/>
        <v>20591.995938716685</v>
      </c>
      <c r="AH340">
        <f t="shared" si="299"/>
        <v>-13995.828058227984</v>
      </c>
      <c r="AJ340">
        <f t="shared" si="284"/>
        <v>55000</v>
      </c>
      <c r="AK340">
        <f t="shared" si="285"/>
        <v>23349.651751676251</v>
      </c>
      <c r="AL340">
        <v>1</v>
      </c>
      <c r="AM340">
        <f t="shared" si="286"/>
        <v>33.081394719507749</v>
      </c>
      <c r="AN340">
        <f t="shared" si="300"/>
        <v>755.39086513691825</v>
      </c>
      <c r="AO340">
        <f t="shared" si="301"/>
        <v>-1639.7316254285861</v>
      </c>
      <c r="AQ340">
        <f t="shared" si="287"/>
        <v>2.8685049021601197E-2</v>
      </c>
      <c r="AR340">
        <f t="shared" si="288"/>
        <v>-9.5237231256618138</v>
      </c>
      <c r="AT340">
        <f t="shared" si="261"/>
        <v>-132701.70892797766</v>
      </c>
      <c r="AU340">
        <f t="shared" si="262"/>
        <v>-196513.93893903843</v>
      </c>
      <c r="AV340">
        <f t="shared" si="302"/>
        <v>-2.1647375437332892</v>
      </c>
      <c r="AW340">
        <f t="shared" si="303"/>
        <v>4374.6586503870067</v>
      </c>
      <c r="AX340">
        <f t="shared" si="304"/>
        <v>-31139.65788557582</v>
      </c>
      <c r="AY340">
        <f t="shared" si="312"/>
        <v>-1.4312246202307373</v>
      </c>
      <c r="BA340">
        <f t="shared" si="289"/>
        <v>7.5407848606402421</v>
      </c>
      <c r="BB340">
        <f t="shared" si="305"/>
        <v>17.548331009983706</v>
      </c>
      <c r="BC340">
        <f t="shared" si="306"/>
        <v>-0.73351292350255193</v>
      </c>
      <c r="BD340">
        <f t="shared" si="290"/>
        <v>-222.02719478302171</v>
      </c>
      <c r="BF340">
        <f t="shared" si="291"/>
        <v>-20.462448217413204</v>
      </c>
      <c r="BG340">
        <f t="shared" si="292"/>
        <v>-185.07399737934847</v>
      </c>
      <c r="BH340">
        <f t="shared" si="307"/>
        <v>-5.0739973793484694</v>
      </c>
      <c r="BI340">
        <f t="shared" si="308"/>
        <v>-5.0739973793484694</v>
      </c>
      <c r="BJ340">
        <f t="shared" si="293"/>
        <v>0</v>
      </c>
      <c r="BK340">
        <f t="shared" si="309"/>
        <v>0</v>
      </c>
      <c r="BM340">
        <f t="shared" si="310"/>
        <v>-38.01077922739691</v>
      </c>
      <c r="BN340">
        <f t="shared" si="294"/>
        <v>-143.04680259632676</v>
      </c>
      <c r="BQ340" s="75">
        <f t="shared" si="311"/>
        <v>34.450291810268837</v>
      </c>
      <c r="BR340" s="80"/>
      <c r="BS340" s="80"/>
      <c r="BT340" s="80">
        <v>199526.231</v>
      </c>
      <c r="BU340" s="80">
        <v>12.6511</v>
      </c>
      <c r="BV340" s="80">
        <v>-147.23699999999999</v>
      </c>
      <c r="BY340" s="80"/>
      <c r="BZ340" s="80"/>
      <c r="CA340" s="80"/>
      <c r="CC340" s="80"/>
    </row>
    <row r="341" spans="1:81">
      <c r="A341">
        <f t="shared" si="263"/>
        <v>635000</v>
      </c>
      <c r="B341">
        <f t="shared" si="295"/>
        <v>635</v>
      </c>
      <c r="C341">
        <f t="shared" si="264"/>
        <v>1.2452802186152119</v>
      </c>
      <c r="D341">
        <f t="shared" si="265"/>
        <v>0.63843043125556809</v>
      </c>
      <c r="F341">
        <f t="shared" si="266"/>
        <v>1.1073650830273182E-3</v>
      </c>
      <c r="G341">
        <f t="shared" si="267"/>
        <v>1.0221931719531436E-2</v>
      </c>
      <c r="H341">
        <f t="shared" si="268"/>
        <v>-3.1313707182804689</v>
      </c>
      <c r="J341">
        <f t="shared" si="269"/>
        <v>9</v>
      </c>
      <c r="M341">
        <f t="shared" si="270"/>
        <v>6.6468045492448138E-3</v>
      </c>
      <c r="N341">
        <f t="shared" si="271"/>
        <v>-1.5707963250000001</v>
      </c>
      <c r="O341">
        <f t="shared" si="272"/>
        <v>81.669812760070855</v>
      </c>
      <c r="P341">
        <f t="shared" si="273"/>
        <v>1.5585515945547694</v>
      </c>
      <c r="Q341">
        <f t="shared" si="274"/>
        <v>33.358937327044529</v>
      </c>
      <c r="R341">
        <f t="shared" si="275"/>
        <v>1.5408148612398</v>
      </c>
      <c r="S341">
        <f t="shared" si="276"/>
        <v>0.91936556366576649</v>
      </c>
      <c r="T341">
        <f t="shared" si="277"/>
        <v>-0.40433157537242692</v>
      </c>
      <c r="U341">
        <f t="shared" si="278"/>
        <v>0.83191026009769786</v>
      </c>
      <c r="V341">
        <f t="shared" si="279"/>
        <v>-0.58825500608654957</v>
      </c>
      <c r="X341">
        <f t="shared" si="296"/>
        <v>-15.29496373947593</v>
      </c>
      <c r="Y341">
        <f t="shared" si="280"/>
        <v>-112.12536188740935</v>
      </c>
      <c r="Z341">
        <f t="shared" si="297"/>
        <v>67.874638112590645</v>
      </c>
      <c r="AC341">
        <v>1</v>
      </c>
      <c r="AD341">
        <f t="shared" si="281"/>
        <v>81.663690317454012</v>
      </c>
      <c r="AE341">
        <f t="shared" si="282"/>
        <v>-1.824612398430925E-3</v>
      </c>
      <c r="AF341">
        <f t="shared" si="283"/>
        <v>2.7354224194667998E-3</v>
      </c>
      <c r="AG341">
        <f t="shared" si="298"/>
        <v>20492.533999286159</v>
      </c>
      <c r="AH341">
        <f t="shared" si="299"/>
        <v>-14034.73603826356</v>
      </c>
      <c r="AJ341">
        <f t="shared" si="284"/>
        <v>55000</v>
      </c>
      <c r="AK341">
        <f t="shared" si="285"/>
        <v>23534.966448118128</v>
      </c>
      <c r="AL341">
        <v>1</v>
      </c>
      <c r="AM341">
        <f t="shared" si="286"/>
        <v>33.343945471249882</v>
      </c>
      <c r="AN341">
        <f t="shared" si="300"/>
        <v>754.61406087386513</v>
      </c>
      <c r="AO341">
        <f t="shared" si="301"/>
        <v>-1626.8436494984696</v>
      </c>
      <c r="AQ341">
        <f t="shared" si="287"/>
        <v>2.8235098460611386E-2</v>
      </c>
      <c r="AR341">
        <f t="shared" si="288"/>
        <v>-9.4487345243512966</v>
      </c>
      <c r="AT341">
        <f t="shared" si="261"/>
        <v>-132031.88622972096</v>
      </c>
      <c r="AU341">
        <f t="shared" si="262"/>
        <v>-194024.78564440695</v>
      </c>
      <c r="AV341">
        <f t="shared" si="302"/>
        <v>-2.1683078327455112</v>
      </c>
      <c r="AW341">
        <f t="shared" si="303"/>
        <v>4523.6452566624739</v>
      </c>
      <c r="AX341">
        <f t="shared" si="304"/>
        <v>-31024.422053897633</v>
      </c>
      <c r="AY341">
        <f t="shared" si="312"/>
        <v>-1.4260074879219073</v>
      </c>
      <c r="BA341">
        <f t="shared" si="289"/>
        <v>7.4854393640483687</v>
      </c>
      <c r="BB341">
        <f t="shared" si="305"/>
        <v>17.484345934013405</v>
      </c>
      <c r="BC341">
        <f t="shared" si="306"/>
        <v>-0.74230034482360385</v>
      </c>
      <c r="BD341">
        <f t="shared" si="290"/>
        <v>-222.53067693809658</v>
      </c>
      <c r="BF341">
        <f t="shared" si="291"/>
        <v>-20.639645582257764</v>
      </c>
      <c r="BG341">
        <f t="shared" si="292"/>
        <v>-185.36563412596814</v>
      </c>
      <c r="BH341">
        <f t="shared" si="307"/>
        <v>-5.3656341259681426</v>
      </c>
      <c r="BI341">
        <f t="shared" si="308"/>
        <v>-5.3656341259681426</v>
      </c>
      <c r="BJ341">
        <f t="shared" si="293"/>
        <v>0</v>
      </c>
      <c r="BK341">
        <f t="shared" si="309"/>
        <v>0</v>
      </c>
      <c r="BM341">
        <f t="shared" si="310"/>
        <v>-38.123991516271161</v>
      </c>
      <c r="BN341">
        <f t="shared" si="294"/>
        <v>-142.83495718787162</v>
      </c>
      <c r="BQ341" s="75">
        <f t="shared" si="311"/>
        <v>34.386306734298543</v>
      </c>
      <c r="BR341" s="80"/>
      <c r="BS341" s="80"/>
      <c r="BT341" s="80">
        <v>204173.79399999999</v>
      </c>
      <c r="BU341" s="80">
        <v>12.903600000000001</v>
      </c>
      <c r="BV341" s="80">
        <v>-148.923</v>
      </c>
      <c r="BY341" s="80"/>
      <c r="BZ341" s="80"/>
      <c r="CA341" s="80"/>
      <c r="CC341" s="80"/>
    </row>
    <row r="342" spans="1:81">
      <c r="A342">
        <f t="shared" si="263"/>
        <v>640000</v>
      </c>
      <c r="B342">
        <f t="shared" si="295"/>
        <v>640</v>
      </c>
      <c r="C342">
        <f t="shared" si="264"/>
        <v>1.2487713033689891</v>
      </c>
      <c r="D342">
        <f t="shared" si="265"/>
        <v>0.64218805973686954</v>
      </c>
      <c r="F342">
        <f t="shared" si="266"/>
        <v>1.0901121643436848E-3</v>
      </c>
      <c r="G342">
        <f t="shared" si="267"/>
        <v>1.0141903334341978E-2</v>
      </c>
      <c r="H342">
        <f t="shared" si="268"/>
        <v>-3.1314507466656583</v>
      </c>
      <c r="J342">
        <f t="shared" si="269"/>
        <v>9</v>
      </c>
      <c r="M342">
        <f t="shared" si="270"/>
        <v>6.5948763887038395E-3</v>
      </c>
      <c r="N342">
        <f t="shared" si="271"/>
        <v>-1.5707963250000001</v>
      </c>
      <c r="O342">
        <f t="shared" si="272"/>
        <v>82.312786115633742</v>
      </c>
      <c r="P342">
        <f t="shared" si="273"/>
        <v>1.558647247075474</v>
      </c>
      <c r="Q342">
        <f t="shared" si="274"/>
        <v>33.621371006935092</v>
      </c>
      <c r="R342">
        <f t="shared" si="275"/>
        <v>1.5410489527393154</v>
      </c>
      <c r="S342">
        <f t="shared" si="276"/>
        <v>0.91824283936178042</v>
      </c>
      <c r="T342">
        <f t="shared" si="277"/>
        <v>-0.40717599417956946</v>
      </c>
      <c r="U342">
        <f t="shared" si="278"/>
        <v>0.82989262584990653</v>
      </c>
      <c r="V342">
        <f t="shared" si="279"/>
        <v>-0.59188112328359199</v>
      </c>
      <c r="X342">
        <f t="shared" si="296"/>
        <v>-15.370691158675417</v>
      </c>
      <c r="Y342">
        <f t="shared" si="280"/>
        <v>-112.26649238687544</v>
      </c>
      <c r="Z342">
        <f t="shared" si="297"/>
        <v>67.733507613124559</v>
      </c>
      <c r="AC342">
        <v>1</v>
      </c>
      <c r="AD342">
        <f t="shared" si="281"/>
        <v>82.306711501056</v>
      </c>
      <c r="AE342">
        <f t="shared" si="282"/>
        <v>-1.8534595781444774E-3</v>
      </c>
      <c r="AF342">
        <f t="shared" si="283"/>
        <v>2.7569611786752001E-3</v>
      </c>
      <c r="AG342">
        <f t="shared" si="298"/>
        <v>20393.253339854014</v>
      </c>
      <c r="AH342">
        <f t="shared" si="299"/>
        <v>-14072.766432976354</v>
      </c>
      <c r="AJ342">
        <f t="shared" si="284"/>
        <v>55000</v>
      </c>
      <c r="AK342">
        <f t="shared" si="285"/>
        <v>23720.281144560002</v>
      </c>
      <c r="AL342">
        <v>1</v>
      </c>
      <c r="AM342">
        <f t="shared" si="286"/>
        <v>33.606496222992007</v>
      </c>
      <c r="AN342">
        <f t="shared" si="300"/>
        <v>753.85537027292776</v>
      </c>
      <c r="AO342">
        <f t="shared" si="301"/>
        <v>-1614.1565091993846</v>
      </c>
      <c r="AQ342">
        <f t="shared" si="287"/>
        <v>2.7795652243809216E-2</v>
      </c>
      <c r="AR342">
        <f t="shared" si="288"/>
        <v>-9.3749175887919733</v>
      </c>
      <c r="AT342">
        <f t="shared" ref="AT342:AT405" si="313">-AR342*AH342+AG342*AQ342</f>
        <v>-131364.18177751682</v>
      </c>
      <c r="AU342">
        <f t="shared" ref="AU342:AU405" si="314">AQ342*AH342+AG342*AR342</f>
        <v>-191576.23115036741</v>
      </c>
      <c r="AV342">
        <f t="shared" si="302"/>
        <v>-2.1718616428499349</v>
      </c>
      <c r="AW342">
        <f t="shared" si="303"/>
        <v>4667.1808913280329</v>
      </c>
      <c r="AX342">
        <f t="shared" si="304"/>
        <v>-30910.921718382684</v>
      </c>
      <c r="AY342">
        <f t="shared" si="312"/>
        <v>-1.420940176750316</v>
      </c>
      <c r="BA342">
        <f t="shared" si="289"/>
        <v>7.4305534225030989</v>
      </c>
      <c r="BB342">
        <f t="shared" si="305"/>
        <v>17.420423218383903</v>
      </c>
      <c r="BC342">
        <f t="shared" si="306"/>
        <v>-0.75092146609961885</v>
      </c>
      <c r="BD342">
        <f t="shared" si="290"/>
        <v>-223.02463080244709</v>
      </c>
      <c r="BF342">
        <f t="shared" si="291"/>
        <v>-20.815644672747446</v>
      </c>
      <c r="BG342">
        <f t="shared" si="292"/>
        <v>-185.64887702583377</v>
      </c>
      <c r="BH342">
        <f t="shared" si="307"/>
        <v>-5.6488770258337695</v>
      </c>
      <c r="BI342">
        <f t="shared" si="308"/>
        <v>-5.6488770258337695</v>
      </c>
      <c r="BJ342">
        <f t="shared" si="293"/>
        <v>0</v>
      </c>
      <c r="BK342">
        <f t="shared" si="309"/>
        <v>0</v>
      </c>
      <c r="BM342">
        <f t="shared" si="310"/>
        <v>-38.236067891131349</v>
      </c>
      <c r="BN342">
        <f t="shared" si="294"/>
        <v>-142.62424622338671</v>
      </c>
      <c r="BQ342" s="75">
        <f t="shared" si="311"/>
        <v>34.322384018669041</v>
      </c>
      <c r="BR342" s="80"/>
      <c r="BS342" s="80"/>
      <c r="BT342" s="80">
        <v>208929.61300000001</v>
      </c>
      <c r="BU342" s="80">
        <v>13.1541</v>
      </c>
      <c r="BV342" s="80">
        <v>-149.92099999999999</v>
      </c>
      <c r="BY342" s="80"/>
      <c r="BZ342" s="80"/>
      <c r="CA342" s="80"/>
      <c r="CC342" s="80"/>
    </row>
    <row r="343" spans="1:81">
      <c r="A343">
        <f t="shared" si="263"/>
        <v>645000</v>
      </c>
      <c r="B343">
        <f t="shared" si="295"/>
        <v>645</v>
      </c>
      <c r="C343">
        <f t="shared" si="264"/>
        <v>1.252279922033422</v>
      </c>
      <c r="D343">
        <f t="shared" si="265"/>
        <v>0.64592468460131114</v>
      </c>
      <c r="F343">
        <f t="shared" si="266"/>
        <v>1.0732594669905747E-3</v>
      </c>
      <c r="G343">
        <f t="shared" si="267"/>
        <v>1.0063119601689985E-2</v>
      </c>
      <c r="H343">
        <f t="shared" si="268"/>
        <v>-3.1315295303983102</v>
      </c>
      <c r="J343">
        <f t="shared" si="269"/>
        <v>9</v>
      </c>
      <c r="M343">
        <f t="shared" si="270"/>
        <v>6.5437533159231889E-3</v>
      </c>
      <c r="N343">
        <f t="shared" si="271"/>
        <v>-1.5707963250000001</v>
      </c>
      <c r="O343">
        <f t="shared" si="272"/>
        <v>82.955760212635155</v>
      </c>
      <c r="P343">
        <f t="shared" si="273"/>
        <v>1.5587414168285516</v>
      </c>
      <c r="Q343">
        <f t="shared" si="274"/>
        <v>33.883806500698043</v>
      </c>
      <c r="R343">
        <f t="shared" si="275"/>
        <v>1.5412794180991849</v>
      </c>
      <c r="S343">
        <f t="shared" si="276"/>
        <v>0.91711546088392426</v>
      </c>
      <c r="T343">
        <f t="shared" si="277"/>
        <v>-0.41001345139045348</v>
      </c>
      <c r="U343">
        <f t="shared" si="278"/>
        <v>0.82787394814899717</v>
      </c>
      <c r="V343">
        <f t="shared" si="279"/>
        <v>-0.59548964699182327</v>
      </c>
      <c r="X343">
        <f t="shared" si="296"/>
        <v>-15.445949084316927</v>
      </c>
      <c r="Y343">
        <f t="shared" si="280"/>
        <v>-112.40764080768936</v>
      </c>
      <c r="Z343">
        <f t="shared" si="297"/>
        <v>67.592359192310639</v>
      </c>
      <c r="AC343">
        <v>1</v>
      </c>
      <c r="AD343">
        <f t="shared" si="281"/>
        <v>82.949732684658002</v>
      </c>
      <c r="AE343">
        <f t="shared" si="282"/>
        <v>-1.8825330102479401E-3</v>
      </c>
      <c r="AF343">
        <f t="shared" si="283"/>
        <v>2.7784999378836E-3</v>
      </c>
      <c r="AG343">
        <f t="shared" si="298"/>
        <v>20294.162600826294</v>
      </c>
      <c r="AH343">
        <f t="shared" si="299"/>
        <v>-14109.926898633275</v>
      </c>
      <c r="AJ343">
        <f t="shared" si="284"/>
        <v>55000</v>
      </c>
      <c r="AK343">
        <f t="shared" si="285"/>
        <v>23905.595841001879</v>
      </c>
      <c r="AL343">
        <v>1</v>
      </c>
      <c r="AM343">
        <f t="shared" si="286"/>
        <v>33.869046974734125</v>
      </c>
      <c r="AN343">
        <f t="shared" si="300"/>
        <v>753.11423467155748</v>
      </c>
      <c r="AO343">
        <f t="shared" si="301"/>
        <v>-1601.6655504300409</v>
      </c>
      <c r="AQ343">
        <f t="shared" si="287"/>
        <v>2.7366385925591995E-2</v>
      </c>
      <c r="AR343">
        <f t="shared" si="288"/>
        <v>-9.3022450718976035</v>
      </c>
      <c r="AT343">
        <f t="shared" si="313"/>
        <v>-130698.62007187589</v>
      </c>
      <c r="AU343">
        <f t="shared" si="314"/>
        <v>-189167.41174671493</v>
      </c>
      <c r="AV343">
        <f t="shared" si="302"/>
        <v>-2.1753989802917104</v>
      </c>
      <c r="AW343">
        <f t="shared" si="303"/>
        <v>4805.4468088583162</v>
      </c>
      <c r="AX343">
        <f t="shared" si="304"/>
        <v>-30799.099080663655</v>
      </c>
      <c r="AY343">
        <f t="shared" si="312"/>
        <v>-1.4160186794290486</v>
      </c>
      <c r="BA343">
        <f t="shared" si="289"/>
        <v>7.3761392489758943</v>
      </c>
      <c r="BB343">
        <f t="shared" si="305"/>
        <v>17.356582137297046</v>
      </c>
      <c r="BC343">
        <f t="shared" si="306"/>
        <v>-0.75938030086266184</v>
      </c>
      <c r="BD343">
        <f t="shared" si="290"/>
        <v>-223.50928633452179</v>
      </c>
      <c r="BF343">
        <f t="shared" si="291"/>
        <v>-20.990444763434791</v>
      </c>
      <c r="BG343">
        <f t="shared" si="292"/>
        <v>-185.92395369868814</v>
      </c>
      <c r="BH343">
        <f t="shared" si="307"/>
        <v>-5.9239536986881376</v>
      </c>
      <c r="BI343">
        <f t="shared" si="308"/>
        <v>-5.9239536986881376</v>
      </c>
      <c r="BJ343">
        <f t="shared" si="293"/>
        <v>0</v>
      </c>
      <c r="BK343">
        <f t="shared" si="309"/>
        <v>0</v>
      </c>
      <c r="BM343">
        <f t="shared" si="310"/>
        <v>-38.347026900731834</v>
      </c>
      <c r="BN343">
        <f t="shared" si="294"/>
        <v>-142.41466736416632</v>
      </c>
      <c r="BQ343" s="75">
        <f t="shared" si="311"/>
        <v>34.258542937582185</v>
      </c>
      <c r="BR343" s="80"/>
      <c r="BS343" s="80"/>
      <c r="BT343" s="80">
        <v>213796.209</v>
      </c>
      <c r="BU343" s="80">
        <v>13.368399999999999</v>
      </c>
      <c r="BV343" s="80">
        <v>-151.101</v>
      </c>
      <c r="BY343" s="80"/>
      <c r="BZ343" s="80"/>
      <c r="CA343" s="80"/>
      <c r="CC343" s="80"/>
    </row>
    <row r="344" spans="1:81">
      <c r="A344">
        <f t="shared" si="263"/>
        <v>650000</v>
      </c>
      <c r="B344">
        <f t="shared" si="295"/>
        <v>650</v>
      </c>
      <c r="C344">
        <f t="shared" si="264"/>
        <v>1.2558059276435987</v>
      </c>
      <c r="D344">
        <f t="shared" si="265"/>
        <v>0.64964037798843621</v>
      </c>
      <c r="F344">
        <f t="shared" si="266"/>
        <v>1.0567947031796083E-3</v>
      </c>
      <c r="G344">
        <f t="shared" si="267"/>
        <v>9.9855516799368296E-3</v>
      </c>
      <c r="H344">
        <f t="shared" si="268"/>
        <v>-3.1316070983200635</v>
      </c>
      <c r="J344">
        <f t="shared" si="269"/>
        <v>9</v>
      </c>
      <c r="M344">
        <f t="shared" si="270"/>
        <v>6.4934167519545482E-3</v>
      </c>
      <c r="N344">
        <f t="shared" si="271"/>
        <v>-1.5707963250000001</v>
      </c>
      <c r="O344">
        <f t="shared" si="272"/>
        <v>83.598735033967472</v>
      </c>
      <c r="P344">
        <f t="shared" si="273"/>
        <v>1.5588341380251123</v>
      </c>
      <c r="Q344">
        <f t="shared" si="274"/>
        <v>34.146243766511112</v>
      </c>
      <c r="R344">
        <f t="shared" si="275"/>
        <v>1.5415063409027387</v>
      </c>
      <c r="S344">
        <f t="shared" si="276"/>
        <v>0.91598349971280757</v>
      </c>
      <c r="T344">
        <f t="shared" si="277"/>
        <v>-0.41284392700949119</v>
      </c>
      <c r="U344">
        <f t="shared" si="278"/>
        <v>0.82585439173089703</v>
      </c>
      <c r="V344">
        <f t="shared" si="279"/>
        <v>-0.59908061164977122</v>
      </c>
      <c r="X344">
        <f t="shared" si="296"/>
        <v>-15.520745629043864</v>
      </c>
      <c r="Y344">
        <f t="shared" si="280"/>
        <v>-112.54879874745914</v>
      </c>
      <c r="Z344">
        <f t="shared" si="297"/>
        <v>67.451201252540855</v>
      </c>
      <c r="AC344">
        <v>1</v>
      </c>
      <c r="AD344">
        <f t="shared" si="281"/>
        <v>83.592753868260019</v>
      </c>
      <c r="AE344">
        <f t="shared" si="282"/>
        <v>-1.9118326947413129E-3</v>
      </c>
      <c r="AF344">
        <f t="shared" si="283"/>
        <v>2.8000386970919999E-3</v>
      </c>
      <c r="AG344">
        <f t="shared" si="298"/>
        <v>20195.270213263793</v>
      </c>
      <c r="AH344">
        <f t="shared" si="299"/>
        <v>-14146.225162527329</v>
      </c>
      <c r="AJ344">
        <f t="shared" si="284"/>
        <v>55000</v>
      </c>
      <c r="AK344">
        <f t="shared" si="285"/>
        <v>24090.910537443753</v>
      </c>
      <c r="AL344">
        <v>1</v>
      </c>
      <c r="AM344">
        <f t="shared" si="286"/>
        <v>34.131597726476251</v>
      </c>
      <c r="AN344">
        <f t="shared" si="300"/>
        <v>752.39011677409803</v>
      </c>
      <c r="AO344">
        <f t="shared" si="301"/>
        <v>-1589.3662616662518</v>
      </c>
      <c r="AQ344">
        <f t="shared" si="287"/>
        <v>2.6946987490636572E-2</v>
      </c>
      <c r="AR344">
        <f t="shared" si="288"/>
        <v>-9.230690564917559</v>
      </c>
      <c r="AT344">
        <f t="shared" si="313"/>
        <v>-130035.22544313355</v>
      </c>
      <c r="AU344">
        <f t="shared" si="314"/>
        <v>-186797.48836602908</v>
      </c>
      <c r="AV344">
        <f t="shared" si="302"/>
        <v>-2.1789198536506542</v>
      </c>
      <c r="AW344">
        <f t="shared" si="303"/>
        <v>4938.6174447156382</v>
      </c>
      <c r="AX344">
        <f t="shared" si="304"/>
        <v>-30688.89861850773</v>
      </c>
      <c r="AY344">
        <f t="shared" si="312"/>
        <v>-1.4112390795317171</v>
      </c>
      <c r="BA344">
        <f t="shared" si="289"/>
        <v>7.3222075050590583</v>
      </c>
      <c r="BB344">
        <f t="shared" si="305"/>
        <v>17.292840645035255</v>
      </c>
      <c r="BC344">
        <f t="shared" si="306"/>
        <v>-0.76768077411893709</v>
      </c>
      <c r="BD344">
        <f t="shared" si="290"/>
        <v>-223.98486842061101</v>
      </c>
      <c r="BF344">
        <f t="shared" si="291"/>
        <v>-21.164046035377723</v>
      </c>
      <c r="BG344">
        <f t="shared" si="292"/>
        <v>-186.19108655003427</v>
      </c>
      <c r="BH344">
        <f t="shared" si="307"/>
        <v>-6.1910865500342709</v>
      </c>
      <c r="BI344">
        <f t="shared" si="308"/>
        <v>-6.1910865500342709</v>
      </c>
      <c r="BJ344">
        <f t="shared" si="293"/>
        <v>0</v>
      </c>
      <c r="BK344">
        <f t="shared" si="309"/>
        <v>0</v>
      </c>
      <c r="BM344">
        <f t="shared" si="310"/>
        <v>-38.456886680412985</v>
      </c>
      <c r="BN344">
        <f t="shared" si="294"/>
        <v>-142.20621812942326</v>
      </c>
      <c r="BQ344" s="75">
        <f t="shared" si="311"/>
        <v>34.194801445320394</v>
      </c>
      <c r="BR344" s="80"/>
      <c r="BS344" s="80"/>
      <c r="BT344" s="80">
        <v>218776.16200000001</v>
      </c>
      <c r="BU344" s="80">
        <v>13.6015</v>
      </c>
      <c r="BV344" s="80">
        <v>-153.08699999999999</v>
      </c>
      <c r="BY344" s="80"/>
      <c r="BZ344" s="80"/>
      <c r="CA344" s="80"/>
      <c r="CC344" s="80"/>
    </row>
    <row r="345" spans="1:81">
      <c r="A345">
        <f t="shared" si="263"/>
        <v>655000</v>
      </c>
      <c r="B345">
        <f t="shared" si="295"/>
        <v>655</v>
      </c>
      <c r="C345">
        <f t="shared" si="264"/>
        <v>1.2593491741563105</v>
      </c>
      <c r="D345">
        <f t="shared" si="265"/>
        <v>0.65333521354377533</v>
      </c>
      <c r="F345">
        <f t="shared" si="266"/>
        <v>1.0407060532631296E-3</v>
      </c>
      <c r="G345">
        <f t="shared" si="267"/>
        <v>9.9091716125992765E-3</v>
      </c>
      <c r="H345">
        <f t="shared" si="268"/>
        <v>-3.131683478387401</v>
      </c>
      <c r="J345">
        <f t="shared" si="269"/>
        <v>9</v>
      </c>
      <c r="M345">
        <f t="shared" si="270"/>
        <v>6.4438486851457356E-3</v>
      </c>
      <c r="N345">
        <f t="shared" si="271"/>
        <v>-1.5707963250000001</v>
      </c>
      <c r="O345">
        <f t="shared" si="272"/>
        <v>84.241710563045316</v>
      </c>
      <c r="P345">
        <f t="shared" si="273"/>
        <v>1.5589254438319005</v>
      </c>
      <c r="Q345">
        <f t="shared" si="274"/>
        <v>34.40868276382767</v>
      </c>
      <c r="R345">
        <f t="shared" si="275"/>
        <v>1.5417298021847934</v>
      </c>
      <c r="S345">
        <f t="shared" si="276"/>
        <v>0.91484702710749322</v>
      </c>
      <c r="T345">
        <f t="shared" si="277"/>
        <v>-0.41566740158683385</v>
      </c>
      <c r="U345">
        <f t="shared" si="278"/>
        <v>0.82383411869128176</v>
      </c>
      <c r="V345">
        <f t="shared" si="279"/>
        <v>-0.60265405317302045</v>
      </c>
      <c r="X345">
        <f t="shared" si="296"/>
        <v>-15.595088704369056</v>
      </c>
      <c r="Y345">
        <f t="shared" si="280"/>
        <v>-112.68995798854489</v>
      </c>
      <c r="Z345">
        <f t="shared" si="297"/>
        <v>67.31004201145511</v>
      </c>
      <c r="AC345">
        <v>1</v>
      </c>
      <c r="AD345">
        <f t="shared" si="281"/>
        <v>84.235775051862021</v>
      </c>
      <c r="AE345">
        <f t="shared" si="282"/>
        <v>-1.9413586316245957E-3</v>
      </c>
      <c r="AF345">
        <f t="shared" si="283"/>
        <v>2.8215774563004003E-3</v>
      </c>
      <c r="AG345">
        <f t="shared" si="298"/>
        <v>20096.584400761611</v>
      </c>
      <c r="AH345">
        <f t="shared" si="299"/>
        <v>-14181.669017535054</v>
      </c>
      <c r="AJ345">
        <f t="shared" si="284"/>
        <v>55000</v>
      </c>
      <c r="AK345">
        <f t="shared" si="285"/>
        <v>24276.225233885627</v>
      </c>
      <c r="AL345">
        <v>1</v>
      </c>
      <c r="AM345">
        <f t="shared" si="286"/>
        <v>34.394148478218376</v>
      </c>
      <c r="AN345">
        <f t="shared" si="300"/>
        <v>751.68249967885777</v>
      </c>
      <c r="AO345">
        <f t="shared" si="301"/>
        <v>-1577.2542685473461</v>
      </c>
      <c r="AQ345">
        <f t="shared" si="287"/>
        <v>2.653715678676909E-2</v>
      </c>
      <c r="AR345">
        <f t="shared" si="288"/>
        <v>-9.1602284654408876</v>
      </c>
      <c r="AT345">
        <f t="shared" si="313"/>
        <v>-129374.02201076415</v>
      </c>
      <c r="AU345">
        <f t="shared" si="314"/>
        <v>-184465.64566020819</v>
      </c>
      <c r="AV345">
        <f t="shared" si="302"/>
        <v>-2.1824242737729747</v>
      </c>
      <c r="AW345">
        <f t="shared" si="303"/>
        <v>5066.8607187022762</v>
      </c>
      <c r="AX345">
        <f t="shared" si="304"/>
        <v>-30580.266986739342</v>
      </c>
      <c r="AY345">
        <f t="shared" si="312"/>
        <v>-1.4065975516926503</v>
      </c>
      <c r="BA345">
        <f t="shared" si="289"/>
        <v>7.2687674139363034</v>
      </c>
      <c r="BB345">
        <f t="shared" si="305"/>
        <v>17.229215450440702</v>
      </c>
      <c r="BC345">
        <f t="shared" si="306"/>
        <v>-0.77582672208032433</v>
      </c>
      <c r="BD345">
        <f t="shared" si="290"/>
        <v>-224.45159685946501</v>
      </c>
      <c r="BF345">
        <f t="shared" si="291"/>
        <v>-21.336449513786121</v>
      </c>
      <c r="BG345">
        <f t="shared" si="292"/>
        <v>-186.45049276083293</v>
      </c>
      <c r="BH345">
        <f t="shared" si="307"/>
        <v>-6.4504927608329297</v>
      </c>
      <c r="BI345">
        <f t="shared" si="308"/>
        <v>-6.4504927608329297</v>
      </c>
      <c r="BJ345">
        <f t="shared" si="293"/>
        <v>0</v>
      </c>
      <c r="BK345">
        <f t="shared" si="309"/>
        <v>0</v>
      </c>
      <c r="BM345">
        <f t="shared" si="310"/>
        <v>-38.565664964226826</v>
      </c>
      <c r="BN345">
        <f t="shared" si="294"/>
        <v>-141.99889590136792</v>
      </c>
      <c r="BQ345" s="75">
        <f t="shared" si="311"/>
        <v>34.131176250725836</v>
      </c>
      <c r="BR345" s="80"/>
      <c r="BS345" s="80"/>
      <c r="BT345" s="80">
        <v>223872.114</v>
      </c>
      <c r="BU345" s="80">
        <v>13.8704</v>
      </c>
      <c r="BV345" s="80">
        <v>-154.70699999999999</v>
      </c>
      <c r="BY345" s="80"/>
      <c r="BZ345" s="80"/>
      <c r="CA345" s="80"/>
      <c r="CC345" s="80"/>
    </row>
    <row r="346" spans="1:81">
      <c r="A346">
        <f t="shared" si="263"/>
        <v>660000</v>
      </c>
      <c r="B346">
        <f t="shared" si="295"/>
        <v>660</v>
      </c>
      <c r="C346">
        <f t="shared" si="264"/>
        <v>1.2629095164572082</v>
      </c>
      <c r="D346">
        <f t="shared" si="265"/>
        <v>0.65700926636637735</v>
      </c>
      <c r="F346">
        <f t="shared" si="266"/>
        <v>1.0249821444870246E-3</v>
      </c>
      <c r="G346">
        <f t="shared" si="267"/>
        <v>9.8339522946184199E-3</v>
      </c>
      <c r="H346">
        <f t="shared" si="268"/>
        <v>-3.131758697705382</v>
      </c>
      <c r="J346">
        <f t="shared" si="269"/>
        <v>9</v>
      </c>
      <c r="M346">
        <f t="shared" si="270"/>
        <v>6.3950316496522068E-3</v>
      </c>
      <c r="N346">
        <f t="shared" si="271"/>
        <v>-1.5707963250000001</v>
      </c>
      <c r="O346">
        <f t="shared" si="272"/>
        <v>84.88468678378581</v>
      </c>
      <c r="P346">
        <f t="shared" si="273"/>
        <v>1.5590153664108442</v>
      </c>
      <c r="Q346">
        <f t="shared" si="274"/>
        <v>34.671123453328491</v>
      </c>
      <c r="R346">
        <f t="shared" si="275"/>
        <v>1.5419498805280225</v>
      </c>
      <c r="S346">
        <f t="shared" si="276"/>
        <v>0.91370611409713309</v>
      </c>
      <c r="T346">
        <f t="shared" si="277"/>
        <v>-0.41848385621522094</v>
      </c>
      <c r="U346">
        <f t="shared" si="278"/>
        <v>0.82181328849459778</v>
      </c>
      <c r="V346">
        <f t="shared" si="279"/>
        <v>-0.60621000891758359</v>
      </c>
      <c r="X346">
        <f t="shared" si="296"/>
        <v>-15.668986026808243</v>
      </c>
      <c r="Y346">
        <f t="shared" si="280"/>
        <v>-112.83111049293088</v>
      </c>
      <c r="Z346">
        <f t="shared" si="297"/>
        <v>67.168889507069125</v>
      </c>
      <c r="AC346">
        <v>1</v>
      </c>
      <c r="AD346">
        <f t="shared" si="281"/>
        <v>84.878796235464009</v>
      </c>
      <c r="AE346">
        <f t="shared" si="282"/>
        <v>-1.9711108208977893E-3</v>
      </c>
      <c r="AF346">
        <f t="shared" si="283"/>
        <v>2.8431162155088002E-3</v>
      </c>
      <c r="AG346">
        <f t="shared" si="298"/>
        <v>19998.11318139037</v>
      </c>
      <c r="AH346">
        <f t="shared" si="299"/>
        <v>-14216.266316832227</v>
      </c>
      <c r="AJ346">
        <f t="shared" si="284"/>
        <v>55000</v>
      </c>
      <c r="AK346">
        <f t="shared" si="285"/>
        <v>24461.539930327504</v>
      </c>
      <c r="AL346">
        <v>1</v>
      </c>
      <c r="AM346">
        <f t="shared" si="286"/>
        <v>34.656699229960502</v>
      </c>
      <c r="AN346">
        <f t="shared" si="300"/>
        <v>750.99088595646219</v>
      </c>
      <c r="AO346">
        <f t="shared" si="301"/>
        <v>-1565.3253287071725</v>
      </c>
      <c r="AQ346">
        <f t="shared" si="287"/>
        <v>2.6136604987794635E-2</v>
      </c>
      <c r="AR346">
        <f t="shared" si="288"/>
        <v>-9.0908339468547315</v>
      </c>
      <c r="AT346">
        <f t="shared" si="313"/>
        <v>-128715.03364586268</v>
      </c>
      <c r="AU346">
        <f t="shared" si="314"/>
        <v>-182171.09111955098</v>
      </c>
      <c r="AV346">
        <f t="shared" si="302"/>
        <v>-2.1859122537047528</v>
      </c>
      <c r="AW346">
        <f t="shared" si="303"/>
        <v>5190.3383224761692</v>
      </c>
      <c r="AX346">
        <f t="shared" si="304"/>
        <v>-30473.152923090238</v>
      </c>
      <c r="AY346">
        <f t="shared" si="312"/>
        <v>-1.402090361514017</v>
      </c>
      <c r="BA346">
        <f t="shared" si="289"/>
        <v>7.2158268666239733</v>
      </c>
      <c r="BB346">
        <f t="shared" si="305"/>
        <v>17.165722087762287</v>
      </c>
      <c r="BC346">
        <f t="shared" si="306"/>
        <v>-0.78382189219073584</v>
      </c>
      <c r="BD346">
        <f t="shared" si="290"/>
        <v>-224.90968636380418</v>
      </c>
      <c r="BF346">
        <f t="shared" si="291"/>
        <v>-21.507657008846138</v>
      </c>
      <c r="BG346">
        <f t="shared" si="292"/>
        <v>-186.70238429395144</v>
      </c>
      <c r="BH346">
        <f t="shared" si="307"/>
        <v>-6.7023842939514395</v>
      </c>
      <c r="BI346">
        <f t="shared" si="308"/>
        <v>-6.7023842939514395</v>
      </c>
      <c r="BJ346">
        <f t="shared" si="293"/>
        <v>0</v>
      </c>
      <c r="BK346">
        <f t="shared" si="309"/>
        <v>0</v>
      </c>
      <c r="BM346">
        <f t="shared" si="310"/>
        <v>-38.673379096608429</v>
      </c>
      <c r="BN346">
        <f t="shared" si="294"/>
        <v>-141.79269793014723</v>
      </c>
      <c r="BQ346" s="75">
        <f t="shared" si="311"/>
        <v>34.067682888047422</v>
      </c>
      <c r="BR346" s="80"/>
      <c r="BS346" s="80"/>
      <c r="BT346" s="80">
        <v>229086.76500000001</v>
      </c>
      <c r="BU346" s="80">
        <v>14.1297</v>
      </c>
      <c r="BV346" s="80">
        <v>-156.46</v>
      </c>
      <c r="BY346" s="80"/>
      <c r="BZ346" s="80"/>
      <c r="CA346" s="80"/>
      <c r="CC346" s="80"/>
    </row>
    <row r="347" spans="1:81">
      <c r="A347">
        <f t="shared" si="263"/>
        <v>665000</v>
      </c>
      <c r="B347">
        <f t="shared" si="295"/>
        <v>665</v>
      </c>
      <c r="C347">
        <f t="shared" si="264"/>
        <v>1.2664868103674798</v>
      </c>
      <c r="D347">
        <f t="shared" si="265"/>
        <v>0.6606626129571771</v>
      </c>
      <c r="F347">
        <f t="shared" si="266"/>
        <v>1.0096120308604969E-3</v>
      </c>
      <c r="G347">
        <f t="shared" si="267"/>
        <v>9.7598674401608888E-3</v>
      </c>
      <c r="H347">
        <f t="shared" si="268"/>
        <v>-3.1318327825598393</v>
      </c>
      <c r="J347">
        <f t="shared" si="269"/>
        <v>9</v>
      </c>
      <c r="M347">
        <f t="shared" si="270"/>
        <v>6.3469487049179806E-3</v>
      </c>
      <c r="N347">
        <f t="shared" si="271"/>
        <v>-1.5707963250000001</v>
      </c>
      <c r="O347">
        <f t="shared" si="272"/>
        <v>85.527663680589711</v>
      </c>
      <c r="P347">
        <f t="shared" si="273"/>
        <v>1.5591039369568189</v>
      </c>
      <c r="Q347">
        <f t="shared" si="274"/>
        <v>34.933565796875634</v>
      </c>
      <c r="R347">
        <f t="shared" si="275"/>
        <v>1.5421666521549893</v>
      </c>
      <c r="S347">
        <f t="shared" si="276"/>
        <v>0.91256083147277189</v>
      </c>
      <c r="T347">
        <f t="shared" si="277"/>
        <v>-0.42129327252676618</v>
      </c>
      <c r="U347">
        <f t="shared" si="278"/>
        <v>0.81979205798406563</v>
      </c>
      <c r="V347">
        <f t="shared" si="279"/>
        <v>-0.60974851764362226</v>
      </c>
      <c r="X347">
        <f t="shared" si="296"/>
        <v>-15.7424451237844</v>
      </c>
      <c r="Y347">
        <f t="shared" si="280"/>
        <v>-112.97224839732917</v>
      </c>
      <c r="Z347">
        <f t="shared" si="297"/>
        <v>67.027751602670833</v>
      </c>
      <c r="AC347">
        <v>1</v>
      </c>
      <c r="AD347">
        <f t="shared" si="281"/>
        <v>85.521817419066011</v>
      </c>
      <c r="AE347">
        <f t="shared" si="282"/>
        <v>-2.0010892625608925E-3</v>
      </c>
      <c r="AF347">
        <f t="shared" si="283"/>
        <v>2.8646549747172001E-3</v>
      </c>
      <c r="AG347">
        <f t="shared" si="298"/>
        <v>19899.864369695693</v>
      </c>
      <c r="AH347">
        <f t="shared" si="299"/>
        <v>-14250.024968764708</v>
      </c>
      <c r="AJ347">
        <f t="shared" si="284"/>
        <v>55000</v>
      </c>
      <c r="AK347">
        <f t="shared" si="285"/>
        <v>24646.854626769378</v>
      </c>
      <c r="AL347">
        <v>1</v>
      </c>
      <c r="AM347">
        <f t="shared" si="286"/>
        <v>34.919249981702627</v>
      </c>
      <c r="AN347">
        <f t="shared" si="300"/>
        <v>750.3147967764221</v>
      </c>
      <c r="AO347">
        <f t="shared" si="301"/>
        <v>-1553.5753268369142</v>
      </c>
      <c r="AQ347">
        <f t="shared" si="287"/>
        <v>2.5745054084491292E-2</v>
      </c>
      <c r="AR347">
        <f t="shared" si="288"/>
        <v>-9.022482929180395</v>
      </c>
      <c r="AT347">
        <f t="shared" si="313"/>
        <v>-128058.28393660211</v>
      </c>
      <c r="AU347">
        <f t="shared" si="314"/>
        <v>-179913.05423211079</v>
      </c>
      <c r="AV347">
        <f t="shared" si="302"/>
        <v>-2.1893838086271238</v>
      </c>
      <c r="AW347">
        <f t="shared" si="303"/>
        <v>5309.205992176765</v>
      </c>
      <c r="AX347">
        <f t="shared" si="304"/>
        <v>-30367.50715869198</v>
      </c>
      <c r="AY347">
        <f t="shared" si="312"/>
        <v>-1.3977138652139061</v>
      </c>
      <c r="BA347">
        <f t="shared" si="289"/>
        <v>7.1633925217595467</v>
      </c>
      <c r="BB347">
        <f t="shared" si="305"/>
        <v>17.102374983981083</v>
      </c>
      <c r="BC347">
        <f t="shared" si="306"/>
        <v>-0.79166994341321772</v>
      </c>
      <c r="BD347">
        <f t="shared" si="290"/>
        <v>-225.3593465767687</v>
      </c>
      <c r="BF347">
        <f t="shared" si="291"/>
        <v>-21.677671059632424</v>
      </c>
      <c r="BG347">
        <f t="shared" si="292"/>
        <v>-186.94696791541651</v>
      </c>
      <c r="BH347">
        <f t="shared" si="307"/>
        <v>-6.9469679154165078</v>
      </c>
      <c r="BI347">
        <f t="shared" si="308"/>
        <v>-6.9469679154165078</v>
      </c>
      <c r="BJ347">
        <f t="shared" si="293"/>
        <v>0</v>
      </c>
      <c r="BK347">
        <f t="shared" si="309"/>
        <v>0</v>
      </c>
      <c r="BM347">
        <f t="shared" si="310"/>
        <v>-38.780046043613503</v>
      </c>
      <c r="BN347">
        <f t="shared" si="294"/>
        <v>-141.58762133864784</v>
      </c>
      <c r="BQ347" s="75">
        <f t="shared" si="311"/>
        <v>34.004335784266218</v>
      </c>
      <c r="BR347" s="80"/>
      <c r="BS347" s="80"/>
      <c r="BT347" s="80">
        <v>234422.88200000001</v>
      </c>
      <c r="BU347" s="80">
        <v>14.451599999999999</v>
      </c>
      <c r="BV347" s="80">
        <v>-158.77500000000001</v>
      </c>
      <c r="BY347" s="80"/>
      <c r="BZ347" s="80"/>
      <c r="CA347" s="80"/>
      <c r="CC347" s="80"/>
    </row>
    <row r="348" spans="1:81">
      <c r="A348">
        <f t="shared" si="263"/>
        <v>670000</v>
      </c>
      <c r="B348">
        <f t="shared" si="295"/>
        <v>670</v>
      </c>
      <c r="C348">
        <f t="shared" si="264"/>
        <v>1.2700809126500652</v>
      </c>
      <c r="D348">
        <f t="shared" si="265"/>
        <v>0.6642953311682035</v>
      </c>
      <c r="F348">
        <f t="shared" si="266"/>
        <v>9.9458517407616741E-4</v>
      </c>
      <c r="G348">
        <f t="shared" si="267"/>
        <v>9.686891551871659E-3</v>
      </c>
      <c r="H348">
        <f t="shared" si="268"/>
        <v>-3.1319057584481285</v>
      </c>
      <c r="J348">
        <f t="shared" si="269"/>
        <v>9</v>
      </c>
      <c r="M348">
        <f t="shared" si="270"/>
        <v>6.2995834160753088E-3</v>
      </c>
      <c r="N348">
        <f t="shared" si="271"/>
        <v>-1.5707963250000001</v>
      </c>
      <c r="O348">
        <f t="shared" si="272"/>
        <v>86.170641238323327</v>
      </c>
      <c r="P348">
        <f t="shared" si="273"/>
        <v>1.5591911857337228</v>
      </c>
      <c r="Q348">
        <f t="shared" si="274"/>
        <v>35.196009757468438</v>
      </c>
      <c r="R348">
        <f t="shared" si="275"/>
        <v>1.5423801910160646</v>
      </c>
      <c r="S348">
        <f t="shared" si="276"/>
        <v>0.91141124977931809</v>
      </c>
      <c r="T348">
        <f t="shared" si="277"/>
        <v>-0.42409563268968087</v>
      </c>
      <c r="U348">
        <f t="shared" si="278"/>
        <v>0.81777058139262837</v>
      </c>
      <c r="V348">
        <f t="shared" si="279"/>
        <v>-0.61326961947952796</v>
      </c>
      <c r="X348">
        <f t="shared" si="296"/>
        <v>-15.815473339313487</v>
      </c>
      <c r="Y348">
        <f t="shared" si="280"/>
        <v>-113.11336400850131</v>
      </c>
      <c r="Z348">
        <f t="shared" si="297"/>
        <v>66.886635991498693</v>
      </c>
      <c r="AC348">
        <v>1</v>
      </c>
      <c r="AD348">
        <f t="shared" si="281"/>
        <v>86.164838602668013</v>
      </c>
      <c r="AE348">
        <f t="shared" si="282"/>
        <v>-2.0312939566139066E-3</v>
      </c>
      <c r="AF348">
        <f t="shared" si="283"/>
        <v>2.8861937339256004E-3</v>
      </c>
      <c r="AG348">
        <f t="shared" si="298"/>
        <v>19801.845578752214</v>
      </c>
      <c r="AH348">
        <f t="shared" si="299"/>
        <v>-14282.952931871281</v>
      </c>
      <c r="AJ348">
        <f t="shared" si="284"/>
        <v>55000</v>
      </c>
      <c r="AK348">
        <f t="shared" si="285"/>
        <v>24832.169323211256</v>
      </c>
      <c r="AL348">
        <v>1</v>
      </c>
      <c r="AM348">
        <f t="shared" si="286"/>
        <v>35.181800733444753</v>
      </c>
      <c r="AN348">
        <f t="shared" si="300"/>
        <v>749.65377107906113</v>
      </c>
      <c r="AO348">
        <f t="shared" si="301"/>
        <v>-1542.0002699676802</v>
      </c>
      <c r="AQ348">
        <f t="shared" si="287"/>
        <v>2.5362236402093705E-2</v>
      </c>
      <c r="AR348">
        <f t="shared" si="288"/>
        <v>-8.9551520512152667</v>
      </c>
      <c r="AT348">
        <f t="shared" si="313"/>
        <v>-127403.79615649214</v>
      </c>
      <c r="AU348">
        <f t="shared" si="314"/>
        <v>-177690.78568118895</v>
      </c>
      <c r="AV348">
        <f t="shared" si="302"/>
        <v>-2.1928389557930958</v>
      </c>
      <c r="AW348">
        <f t="shared" si="303"/>
        <v>5423.6137670438184</v>
      </c>
      <c r="AX348">
        <f t="shared" si="304"/>
        <v>-30263.28233294547</v>
      </c>
      <c r="AY348">
        <f t="shared" si="312"/>
        <v>-1.3934645090464803</v>
      </c>
      <c r="BA348">
        <f t="shared" si="289"/>
        <v>7.1114698992206469</v>
      </c>
      <c r="BB348">
        <f t="shared" si="305"/>
        <v>17.039187522731343</v>
      </c>
      <c r="BC348">
        <f t="shared" si="306"/>
        <v>-0.79937444674661551</v>
      </c>
      <c r="BD348">
        <f t="shared" si="290"/>
        <v>-225.80078210152126</v>
      </c>
      <c r="BF348">
        <f t="shared" si="291"/>
        <v>-21.846494881010759</v>
      </c>
      <c r="BG348">
        <f t="shared" si="292"/>
        <v>-187.18444522868907</v>
      </c>
      <c r="BH348">
        <f t="shared" si="307"/>
        <v>-7.1844452286890714</v>
      </c>
      <c r="BI348">
        <f t="shared" si="308"/>
        <v>-7.1844452286890714</v>
      </c>
      <c r="BJ348">
        <f t="shared" si="293"/>
        <v>0</v>
      </c>
      <c r="BK348">
        <f t="shared" si="309"/>
        <v>0</v>
      </c>
      <c r="BM348">
        <f t="shared" si="310"/>
        <v>-38.885682403742102</v>
      </c>
      <c r="BN348">
        <f t="shared" si="294"/>
        <v>-141.38366312716781</v>
      </c>
      <c r="BQ348" s="75">
        <f t="shared" si="311"/>
        <v>33.941148323016478</v>
      </c>
      <c r="BR348" s="80"/>
      <c r="BS348" s="80"/>
      <c r="BT348" s="80">
        <v>239883.29199999999</v>
      </c>
      <c r="BU348" s="80">
        <v>14.4628</v>
      </c>
      <c r="BV348" s="80">
        <v>-161.529</v>
      </c>
      <c r="BY348" s="80"/>
      <c r="BZ348" s="80"/>
      <c r="CA348" s="80"/>
      <c r="CC348" s="80"/>
    </row>
    <row r="349" spans="1:81">
      <c r="A349">
        <f t="shared" si="263"/>
        <v>675000</v>
      </c>
      <c r="B349">
        <f t="shared" si="295"/>
        <v>675</v>
      </c>
      <c r="C349">
        <f t="shared" si="264"/>
        <v>1.2736916810154129</v>
      </c>
      <c r="D349">
        <f t="shared" si="265"/>
        <v>0.66790750015263156</v>
      </c>
      <c r="F349">
        <f t="shared" si="266"/>
        <v>9.7989142541831786E-4</v>
      </c>
      <c r="G349">
        <f t="shared" si="267"/>
        <v>9.6149998915025965E-3</v>
      </c>
      <c r="H349">
        <f t="shared" si="268"/>
        <v>-3.1319776501084977</v>
      </c>
      <c r="J349">
        <f t="shared" si="269"/>
        <v>9</v>
      </c>
      <c r="M349">
        <f t="shared" si="270"/>
        <v>6.2529198352154914E-3</v>
      </c>
      <c r="N349">
        <f t="shared" si="271"/>
        <v>-1.5707963250000001</v>
      </c>
      <c r="O349">
        <f t="shared" si="272"/>
        <v>86.813619442301302</v>
      </c>
      <c r="P349">
        <f t="shared" si="273"/>
        <v>1.5592771421089464</v>
      </c>
      <c r="Q349">
        <f t="shared" si="274"/>
        <v>35.458455299201475</v>
      </c>
      <c r="R349">
        <f t="shared" si="275"/>
        <v>1.5425905688734458</v>
      </c>
      <c r="S349">
        <f t="shared" si="276"/>
        <v>0.91025743930768332</v>
      </c>
      <c r="T349">
        <f t="shared" si="277"/>
        <v>-0.42689091940493717</v>
      </c>
      <c r="U349">
        <f t="shared" si="278"/>
        <v>0.81574901035480651</v>
      </c>
      <c r="V349">
        <f t="shared" si="279"/>
        <v>-0.61677335588637083</v>
      </c>
      <c r="X349">
        <f t="shared" si="296"/>
        <v>-15.888077839481339</v>
      </c>
      <c r="Y349">
        <f t="shared" si="280"/>
        <v>-113.25444979878617</v>
      </c>
      <c r="Z349">
        <f t="shared" si="297"/>
        <v>66.745550201213831</v>
      </c>
      <c r="AC349">
        <v>1</v>
      </c>
      <c r="AD349">
        <f t="shared" si="281"/>
        <v>86.807859786270015</v>
      </c>
      <c r="AE349">
        <f t="shared" si="282"/>
        <v>-2.0617249030568303E-3</v>
      </c>
      <c r="AF349">
        <f t="shared" si="283"/>
        <v>2.9077324931339999E-3</v>
      </c>
      <c r="AG349">
        <f t="shared" si="298"/>
        <v>19704.064222268928</v>
      </c>
      <c r="AH349">
        <f t="shared" si="299"/>
        <v>-14315.058210055484</v>
      </c>
      <c r="AJ349">
        <f t="shared" si="284"/>
        <v>55000</v>
      </c>
      <c r="AK349">
        <f t="shared" si="285"/>
        <v>25017.48401965313</v>
      </c>
      <c r="AL349">
        <v>1</v>
      </c>
      <c r="AM349">
        <f t="shared" si="286"/>
        <v>35.444351485186878</v>
      </c>
      <c r="AN349">
        <f t="shared" si="300"/>
        <v>749.00736479012244</v>
      </c>
      <c r="AO349">
        <f t="shared" si="301"/>
        <v>-1530.5962829615542</v>
      </c>
      <c r="AQ349">
        <f t="shared" si="287"/>
        <v>2.498789414270218E-2</v>
      </c>
      <c r="AR349">
        <f t="shared" si="288"/>
        <v>-8.8888186439127335</v>
      </c>
      <c r="AT349">
        <f t="shared" si="313"/>
        <v>-126751.59323527018</v>
      </c>
      <c r="AU349">
        <f t="shared" si="314"/>
        <v>-175503.55657895736</v>
      </c>
      <c r="AV349">
        <f t="shared" si="302"/>
        <v>-2.1962777144659458</v>
      </c>
      <c r="AW349">
        <f t="shared" si="303"/>
        <v>5533.7062348539703</v>
      </c>
      <c r="AX349">
        <f t="shared" si="304"/>
        <v>-30160.432912519049</v>
      </c>
      <c r="AY349">
        <f t="shared" si="312"/>
        <v>-1.3893388285225587</v>
      </c>
      <c r="BA349">
        <f t="shared" si="289"/>
        <v>7.0600634678603944</v>
      </c>
      <c r="BB349">
        <f t="shared" si="305"/>
        <v>16.976172104938772</v>
      </c>
      <c r="BC349">
        <f t="shared" si="306"/>
        <v>-0.80693888594338703</v>
      </c>
      <c r="BD349">
        <f t="shared" si="290"/>
        <v>-226.23419254237484</v>
      </c>
      <c r="BF349">
        <f t="shared" si="291"/>
        <v>-22.014132313428195</v>
      </c>
      <c r="BG349">
        <f t="shared" si="292"/>
        <v>-187.41501272033642</v>
      </c>
      <c r="BH349">
        <f t="shared" si="307"/>
        <v>-7.4150127203364207</v>
      </c>
      <c r="BI349">
        <f t="shared" si="308"/>
        <v>-7.4150127203364207</v>
      </c>
      <c r="BJ349">
        <f t="shared" si="293"/>
        <v>0</v>
      </c>
      <c r="BK349">
        <f t="shared" si="309"/>
        <v>0</v>
      </c>
      <c r="BM349">
        <f t="shared" si="310"/>
        <v>-38.990304418366968</v>
      </c>
      <c r="BN349">
        <f t="shared" si="294"/>
        <v>-141.18082017796158</v>
      </c>
      <c r="BQ349" s="75">
        <f t="shared" si="311"/>
        <v>33.878132905223907</v>
      </c>
      <c r="BR349" s="80"/>
      <c r="BS349" s="80"/>
      <c r="BT349" s="80">
        <v>245470.89199999999</v>
      </c>
      <c r="BU349" s="80">
        <v>14.575900000000001</v>
      </c>
      <c r="BV349" s="80">
        <v>-163.59700000000001</v>
      </c>
      <c r="BY349" s="80"/>
      <c r="BZ349" s="80"/>
      <c r="CA349" s="80"/>
      <c r="CC349" s="80"/>
    </row>
    <row r="350" spans="1:81">
      <c r="A350">
        <f t="shared" si="263"/>
        <v>680000</v>
      </c>
      <c r="B350">
        <f t="shared" si="295"/>
        <v>680</v>
      </c>
      <c r="C350">
        <f t="shared" si="264"/>
        <v>1.2773189741267956</v>
      </c>
      <c r="D350">
        <f t="shared" si="265"/>
        <v>0.671499200315684</v>
      </c>
      <c r="F350">
        <f t="shared" si="266"/>
        <v>9.6552100860120081E-4</v>
      </c>
      <c r="G350">
        <f t="shared" si="267"/>
        <v>9.5441684518454018E-3</v>
      </c>
      <c r="H350">
        <f t="shared" si="268"/>
        <v>-3.1320484815481549</v>
      </c>
      <c r="J350">
        <f t="shared" si="269"/>
        <v>9</v>
      </c>
      <c r="M350">
        <f t="shared" si="270"/>
        <v>6.2069424834859666E-3</v>
      </c>
      <c r="N350">
        <f t="shared" si="271"/>
        <v>-1.5707963250000001</v>
      </c>
      <c r="O350">
        <f t="shared" si="272"/>
        <v>87.456598278270135</v>
      </c>
      <c r="P350">
        <f t="shared" si="273"/>
        <v>1.5593618345863247</v>
      </c>
      <c r="Q350">
        <f t="shared" si="274"/>
        <v>35.720902387224285</v>
      </c>
      <c r="R350">
        <f t="shared" si="275"/>
        <v>1.5427978553814765</v>
      </c>
      <c r="S350">
        <f t="shared" si="276"/>
        <v>0.90909947008708791</v>
      </c>
      <c r="T350">
        <f t="shared" si="277"/>
        <v>-0.42967911590287317</v>
      </c>
      <c r="U350">
        <f t="shared" si="278"/>
        <v>0.81372749391942367</v>
      </c>
      <c r="V350">
        <f t="shared" si="279"/>
        <v>-0.62025976962272755</v>
      </c>
      <c r="X350">
        <f t="shared" si="296"/>
        <v>-15.96026561772103</v>
      </c>
      <c r="Y350">
        <f t="shared" si="280"/>
        <v>-113.39549840182137</v>
      </c>
      <c r="Z350">
        <f t="shared" si="297"/>
        <v>66.604501598178629</v>
      </c>
      <c r="AC350">
        <v>1</v>
      </c>
      <c r="AD350">
        <f t="shared" si="281"/>
        <v>87.450880969872017</v>
      </c>
      <c r="AE350">
        <f t="shared" si="282"/>
        <v>-2.0923821018896645E-3</v>
      </c>
      <c r="AF350">
        <f t="shared" si="283"/>
        <v>2.9292712523424002E-3</v>
      </c>
      <c r="AG350">
        <f t="shared" si="298"/>
        <v>19606.527516742342</v>
      </c>
      <c r="AH350">
        <f t="shared" si="299"/>
        <v>-14346.348847903379</v>
      </c>
      <c r="AJ350">
        <f t="shared" si="284"/>
        <v>55000</v>
      </c>
      <c r="AK350">
        <f t="shared" si="285"/>
        <v>25202.798716095003</v>
      </c>
      <c r="AL350">
        <v>1</v>
      </c>
      <c r="AM350">
        <f t="shared" si="286"/>
        <v>35.706902236929004</v>
      </c>
      <c r="AN350">
        <f t="shared" si="300"/>
        <v>748.37515007556988</v>
      </c>
      <c r="AO350">
        <f t="shared" si="301"/>
        <v>-1519.3596042004447</v>
      </c>
      <c r="AQ350">
        <f t="shared" si="287"/>
        <v>2.4621778951156692E-2</v>
      </c>
      <c r="AR350">
        <f t="shared" si="288"/>
        <v>-8.8234607049365135</v>
      </c>
      <c r="AT350">
        <f t="shared" si="313"/>
        <v>-126101.69773226969</v>
      </c>
      <c r="AU350">
        <f t="shared" si="314"/>
        <v>-173350.65773432178</v>
      </c>
      <c r="AV350">
        <f t="shared" si="302"/>
        <v>-2.1997001058591445</v>
      </c>
      <c r="AW350">
        <f t="shared" si="303"/>
        <v>5639.6227649449365</v>
      </c>
      <c r="AX350">
        <f t="shared" si="304"/>
        <v>-30058.915114243184</v>
      </c>
      <c r="AY350">
        <f t="shared" si="312"/>
        <v>-1.3853334474564547</v>
      </c>
      <c r="BA350">
        <f t="shared" si="289"/>
        <v>7.0091767276449195</v>
      </c>
      <c r="BB350">
        <f t="shared" si="305"/>
        <v>16.913340206300589</v>
      </c>
      <c r="BC350">
        <f t="shared" si="306"/>
        <v>-0.81436665840268985</v>
      </c>
      <c r="BD350">
        <f t="shared" si="290"/>
        <v>-226.65977255596272</v>
      </c>
      <c r="BF350">
        <f t="shared" si="291"/>
        <v>-22.180587775483623</v>
      </c>
      <c r="BG350">
        <f t="shared" si="292"/>
        <v>-187.63886181562364</v>
      </c>
      <c r="BH350">
        <f t="shared" si="307"/>
        <v>-7.6388618156236419</v>
      </c>
      <c r="BI350">
        <f t="shared" si="308"/>
        <v>-7.6388618156236419</v>
      </c>
      <c r="BJ350">
        <f t="shared" si="293"/>
        <v>0</v>
      </c>
      <c r="BK350">
        <f t="shared" si="309"/>
        <v>0</v>
      </c>
      <c r="BM350">
        <f t="shared" si="310"/>
        <v>-39.093927981784212</v>
      </c>
      <c r="BN350">
        <f t="shared" si="294"/>
        <v>-140.97908925966092</v>
      </c>
      <c r="BQ350" s="75">
        <f t="shared" si="311"/>
        <v>33.815301006585727</v>
      </c>
      <c r="BR350" s="80"/>
      <c r="BS350" s="80"/>
      <c r="BT350" s="80">
        <v>251188.64300000001</v>
      </c>
      <c r="BU350" s="80">
        <v>14.7446</v>
      </c>
      <c r="BV350" s="80">
        <v>-165.89599999999999</v>
      </c>
      <c r="BY350" s="80"/>
      <c r="BZ350" s="80"/>
      <c r="CA350" s="80"/>
      <c r="CC350" s="80"/>
    </row>
    <row r="351" spans="1:81">
      <c r="A351">
        <f t="shared" si="263"/>
        <v>685000</v>
      </c>
      <c r="B351">
        <f t="shared" si="295"/>
        <v>685</v>
      </c>
      <c r="C351">
        <f t="shared" si="264"/>
        <v>1.2809626516051931</v>
      </c>
      <c r="D351">
        <f t="shared" si="265"/>
        <v>0.67507051326638157</v>
      </c>
      <c r="F351">
        <f t="shared" si="266"/>
        <v>9.5146450348315432E-4</v>
      </c>
      <c r="G351">
        <f t="shared" si="267"/>
        <v>9.4743739299018252E-3</v>
      </c>
      <c r="H351">
        <f t="shared" si="268"/>
        <v>-3.1321182760700985</v>
      </c>
      <c r="J351">
        <f t="shared" si="269"/>
        <v>9</v>
      </c>
      <c r="M351">
        <f t="shared" si="270"/>
        <v>6.1616363339714701E-3</v>
      </c>
      <c r="N351">
        <f t="shared" si="271"/>
        <v>-1.5707963250000001</v>
      </c>
      <c r="O351">
        <f t="shared" si="272"/>
        <v>88.099577732392419</v>
      </c>
      <c r="P351">
        <f t="shared" si="273"/>
        <v>1.5594452908376455</v>
      </c>
      <c r="Q351">
        <f t="shared" si="274"/>
        <v>35.983350987702941</v>
      </c>
      <c r="R351">
        <f t="shared" si="275"/>
        <v>1.5430021181634537</v>
      </c>
      <c r="S351">
        <f t="shared" si="276"/>
        <v>0.90793741187753518</v>
      </c>
      <c r="T351">
        <f t="shared" si="277"/>
        <v>-0.43246020593974088</v>
      </c>
      <c r="U351">
        <f t="shared" si="278"/>
        <v>0.81170617856316796</v>
      </c>
      <c r="V351">
        <f t="shared" si="279"/>
        <v>-0.62372890470989417</v>
      </c>
      <c r="X351">
        <f t="shared" si="296"/>
        <v>-16.032043499899618</v>
      </c>
      <c r="Y351">
        <f t="shared" si="280"/>
        <v>-113.5365026084478</v>
      </c>
      <c r="Z351">
        <f t="shared" si="297"/>
        <v>66.463497391552195</v>
      </c>
      <c r="AC351">
        <v>1</v>
      </c>
      <c r="AD351">
        <f t="shared" si="281"/>
        <v>88.093902153474005</v>
      </c>
      <c r="AE351">
        <f t="shared" si="282"/>
        <v>-2.1232655531124088E-3</v>
      </c>
      <c r="AF351">
        <f t="shared" si="283"/>
        <v>2.9508100115508001E-3</v>
      </c>
      <c r="AG351">
        <f t="shared" si="298"/>
        <v>19509.242483654263</v>
      </c>
      <c r="AH351">
        <f t="shared" si="299"/>
        <v>-14376.832926144463</v>
      </c>
      <c r="AJ351">
        <f t="shared" si="284"/>
        <v>55000</v>
      </c>
      <c r="AK351">
        <f t="shared" si="285"/>
        <v>25388.113412536877</v>
      </c>
      <c r="AL351">
        <v>1</v>
      </c>
      <c r="AM351">
        <f t="shared" si="286"/>
        <v>35.969452988671129</v>
      </c>
      <c r="AN351">
        <f t="shared" si="300"/>
        <v>747.75671463424271</v>
      </c>
      <c r="AO351">
        <f t="shared" si="301"/>
        <v>-1508.2865814626909</v>
      </c>
      <c r="AQ351">
        <f t="shared" si="287"/>
        <v>2.4263651503010502E-2</v>
      </c>
      <c r="AR351">
        <f t="shared" si="288"/>
        <v>-8.7590568743292749</v>
      </c>
      <c r="AT351">
        <f t="shared" si="313"/>
        <v>-125454.13181211802</v>
      </c>
      <c r="AU351">
        <f t="shared" si="314"/>
        <v>-171231.39895324557</v>
      </c>
      <c r="AV351">
        <f t="shared" si="302"/>
        <v>-2.2031061530777594</v>
      </c>
      <c r="AW351">
        <f t="shared" si="303"/>
        <v>5741.4977295473254</v>
      </c>
      <c r="AX351">
        <f t="shared" si="304"/>
        <v>-29958.686831684674</v>
      </c>
      <c r="AY351">
        <f t="shared" si="312"/>
        <v>-1.381445076862504</v>
      </c>
      <c r="BA351">
        <f t="shared" si="289"/>
        <v>6.9588122864761157</v>
      </c>
      <c r="BB351">
        <f t="shared" si="305"/>
        <v>16.850702431733524</v>
      </c>
      <c r="BC351">
        <f t="shared" si="306"/>
        <v>-0.82166107621525541</v>
      </c>
      <c r="BD351">
        <f t="shared" si="290"/>
        <v>-227.07771191110533</v>
      </c>
      <c r="BF351">
        <f t="shared" si="291"/>
        <v>-22.345866219169533</v>
      </c>
      <c r="BG351">
        <f t="shared" si="292"/>
        <v>-187.85617894268213</v>
      </c>
      <c r="BH351">
        <f t="shared" si="307"/>
        <v>-7.8561789426821349</v>
      </c>
      <c r="BI351">
        <f t="shared" si="308"/>
        <v>-7.8561789426821349</v>
      </c>
      <c r="BJ351">
        <f t="shared" si="293"/>
        <v>0</v>
      </c>
      <c r="BK351">
        <f t="shared" si="309"/>
        <v>0</v>
      </c>
      <c r="BM351">
        <f t="shared" si="310"/>
        <v>-39.196568650903053</v>
      </c>
      <c r="BN351">
        <f t="shared" si="294"/>
        <v>-140.77846703157681</v>
      </c>
      <c r="BQ351" s="75">
        <f t="shared" si="311"/>
        <v>33.752663232018662</v>
      </c>
      <c r="BR351" s="80"/>
      <c r="BS351" s="80"/>
      <c r="BT351" s="80">
        <v>257039.57800000001</v>
      </c>
      <c r="BU351" s="80">
        <v>14.891</v>
      </c>
      <c r="BV351" s="80">
        <v>-168.07</v>
      </c>
      <c r="BY351" s="80"/>
      <c r="BZ351" s="80"/>
      <c r="CA351" s="80"/>
      <c r="CC351" s="80"/>
    </row>
    <row r="352" spans="1:81">
      <c r="A352">
        <f t="shared" si="263"/>
        <v>690000</v>
      </c>
      <c r="B352">
        <f t="shared" si="295"/>
        <v>690</v>
      </c>
      <c r="C352">
        <f t="shared" si="264"/>
        <v>1.2846225740337514</v>
      </c>
      <c r="D352">
        <f t="shared" si="265"/>
        <v>0.67862152177014645</v>
      </c>
      <c r="F352">
        <f t="shared" si="266"/>
        <v>9.3771283060580077E-4</v>
      </c>
      <c r="G352">
        <f t="shared" si="267"/>
        <v>9.405593701227892E-3</v>
      </c>
      <c r="H352">
        <f t="shared" si="268"/>
        <v>-3.1321870562987724</v>
      </c>
      <c r="J352">
        <f t="shared" si="269"/>
        <v>9</v>
      </c>
      <c r="M352">
        <f t="shared" si="270"/>
        <v>6.1169867953195034E-3</v>
      </c>
      <c r="N352">
        <f t="shared" si="271"/>
        <v>-1.5707963250000001</v>
      </c>
      <c r="O352">
        <f t="shared" si="272"/>
        <v>88.742557791231746</v>
      </c>
      <c r="P352">
        <f t="shared" si="273"/>
        <v>1.559527537732788</v>
      </c>
      <c r="Q352">
        <f t="shared" si="274"/>
        <v>36.245801067783283</v>
      </c>
      <c r="R352">
        <f t="shared" si="275"/>
        <v>1.5432034228851026</v>
      </c>
      <c r="S352">
        <f t="shared" si="276"/>
        <v>0.90677133416245292</v>
      </c>
      <c r="T352">
        <f t="shared" si="277"/>
        <v>-0.43523417379420021</v>
      </c>
      <c r="U352">
        <f t="shared" si="278"/>
        <v>0.80968520820495193</v>
      </c>
      <c r="V352">
        <f t="shared" si="279"/>
        <v>-0.62718080639749263</v>
      </c>
      <c r="X352">
        <f t="shared" si="296"/>
        <v>-16.103418149222474</v>
      </c>
      <c r="Y352">
        <f t="shared" si="280"/>
        <v>-113.67745536278773</v>
      </c>
      <c r="Z352">
        <f t="shared" si="297"/>
        <v>66.322544637212275</v>
      </c>
      <c r="AC352">
        <v>1</v>
      </c>
      <c r="AD352">
        <f t="shared" si="281"/>
        <v>88.736923337076007</v>
      </c>
      <c r="AE352">
        <f t="shared" si="282"/>
        <v>-2.1543752567250623E-3</v>
      </c>
      <c r="AF352">
        <f t="shared" si="283"/>
        <v>2.9723487707592E-3</v>
      </c>
      <c r="AG352">
        <f t="shared" si="298"/>
        <v>19412.215951710994</v>
      </c>
      <c r="AH352">
        <f t="shared" si="299"/>
        <v>-14406.518557252719</v>
      </c>
      <c r="AJ352">
        <f t="shared" si="284"/>
        <v>55000</v>
      </c>
      <c r="AK352">
        <f t="shared" si="285"/>
        <v>25573.428108978755</v>
      </c>
      <c r="AL352">
        <v>1</v>
      </c>
      <c r="AM352">
        <f t="shared" si="286"/>
        <v>36.232003740413255</v>
      </c>
      <c r="AN352">
        <f t="shared" si="300"/>
        <v>747.15166102618514</v>
      </c>
      <c r="AO352">
        <f t="shared" si="301"/>
        <v>-1497.3736679779615</v>
      </c>
      <c r="AQ352">
        <f t="shared" si="287"/>
        <v>2.3913281113327106E-2</v>
      </c>
      <c r="AR352">
        <f t="shared" si="288"/>
        <v>-8.6955864112391357</v>
      </c>
      <c r="AT352">
        <f t="shared" si="313"/>
        <v>-124808.9172226253</v>
      </c>
      <c r="AU352">
        <f t="shared" si="314"/>
        <v>-169145.10836986164</v>
      </c>
      <c r="AV352">
        <f t="shared" si="302"/>
        <v>-2.2064958810612798</v>
      </c>
      <c r="AW352">
        <f t="shared" si="303"/>
        <v>5839.4607140969692</v>
      </c>
      <c r="AX352">
        <f t="shared" si="304"/>
        <v>-29859.707565197128</v>
      </c>
      <c r="AY352">
        <f t="shared" si="312"/>
        <v>-1.3776705137225285</v>
      </c>
      <c r="BA352">
        <f t="shared" si="289"/>
        <v>6.9089719319781517</v>
      </c>
      <c r="BB352">
        <f t="shared" si="305"/>
        <v>16.788268566916351</v>
      </c>
      <c r="BC352">
        <f t="shared" si="306"/>
        <v>-0.82882536733875134</v>
      </c>
      <c r="BD352">
        <f t="shared" si="290"/>
        <v>-227.48819555615373</v>
      </c>
      <c r="BF352">
        <f t="shared" si="291"/>
        <v>-22.509973087674155</v>
      </c>
      <c r="BG352">
        <f t="shared" si="292"/>
        <v>-188.06714560403873</v>
      </c>
      <c r="BH352">
        <f t="shared" si="307"/>
        <v>-8.0671456040387284</v>
      </c>
      <c r="BI352">
        <f t="shared" si="308"/>
        <v>-8.0671456040387284</v>
      </c>
      <c r="BJ352">
        <f t="shared" si="293"/>
        <v>0</v>
      </c>
      <c r="BK352">
        <f t="shared" si="309"/>
        <v>0</v>
      </c>
      <c r="BM352">
        <f t="shared" si="310"/>
        <v>-39.298241654590505</v>
      </c>
      <c r="BN352">
        <f t="shared" si="294"/>
        <v>-140.578950047885</v>
      </c>
      <c r="BQ352" s="75">
        <f t="shared" si="311"/>
        <v>33.690229367201489</v>
      </c>
      <c r="BR352" s="80"/>
      <c r="BS352" s="80"/>
      <c r="BT352" s="80">
        <v>263026.799</v>
      </c>
      <c r="BU352" s="80">
        <v>14.9779</v>
      </c>
      <c r="BV352" s="80">
        <v>-170.82400000000001</v>
      </c>
      <c r="BY352" s="80"/>
      <c r="BZ352" s="80"/>
      <c r="CA352" s="80"/>
      <c r="CC352" s="80"/>
    </row>
    <row r="353" spans="1:81">
      <c r="A353">
        <f t="shared" si="263"/>
        <v>695000</v>
      </c>
      <c r="B353">
        <f t="shared" si="295"/>
        <v>695</v>
      </c>
      <c r="C353">
        <f t="shared" si="264"/>
        <v>1.2882986029618329</v>
      </c>
      <c r="D353">
        <f t="shared" si="265"/>
        <v>0.68215230970225837</v>
      </c>
      <c r="F353">
        <f t="shared" si="266"/>
        <v>9.2425723651088168E-4</v>
      </c>
      <c r="G353">
        <f t="shared" si="267"/>
        <v>9.3378057953926244E-3</v>
      </c>
      <c r="H353">
        <f t="shared" si="268"/>
        <v>-3.1322548442046076</v>
      </c>
      <c r="J353">
        <f t="shared" si="269"/>
        <v>9</v>
      </c>
      <c r="M353">
        <f t="shared" si="270"/>
        <v>6.0729796960725998E-3</v>
      </c>
      <c r="N353">
        <f t="shared" si="271"/>
        <v>-1.5707963250000001</v>
      </c>
      <c r="O353">
        <f t="shared" si="272"/>
        <v>89.385538441738333</v>
      </c>
      <c r="P353">
        <f t="shared" si="273"/>
        <v>1.5596086013685611</v>
      </c>
      <c r="Q353">
        <f t="shared" si="274"/>
        <v>36.508252595555682</v>
      </c>
      <c r="R353">
        <f t="shared" si="275"/>
        <v>1.5434018333248851</v>
      </c>
      <c r="S353">
        <f t="shared" si="276"/>
        <v>0.90560130614150081</v>
      </c>
      <c r="T353">
        <f t="shared" si="277"/>
        <v>-0.43800100426375915</v>
      </c>
      <c r="U353">
        <f t="shared" si="278"/>
        <v>0.80766472422103963</v>
      </c>
      <c r="V353">
        <f t="shared" si="279"/>
        <v>-0.63061552112947838</v>
      </c>
      <c r="X353">
        <f t="shared" si="296"/>
        <v>-16.174396070963294</v>
      </c>
      <c r="Y353">
        <f t="shared" si="280"/>
        <v>-113.81834975848484</v>
      </c>
      <c r="Z353">
        <f t="shared" si="297"/>
        <v>66.181650241515158</v>
      </c>
      <c r="AC353">
        <v>1</v>
      </c>
      <c r="AD353">
        <f t="shared" si="281"/>
        <v>89.379944520678009</v>
      </c>
      <c r="AE353">
        <f t="shared" si="282"/>
        <v>-2.1857112127276275E-3</v>
      </c>
      <c r="AF353">
        <f t="shared" si="283"/>
        <v>2.9938875299676004E-3</v>
      </c>
      <c r="AG353">
        <f t="shared" si="298"/>
        <v>19315.454559120815</v>
      </c>
      <c r="AH353">
        <f t="shared" si="299"/>
        <v>-14435.413881185123</v>
      </c>
      <c r="AJ353">
        <f t="shared" si="284"/>
        <v>55000</v>
      </c>
      <c r="AK353">
        <f t="shared" si="285"/>
        <v>25758.742805420628</v>
      </c>
      <c r="AL353">
        <v>1</v>
      </c>
      <c r="AM353">
        <f t="shared" si="286"/>
        <v>36.49455449215538</v>
      </c>
      <c r="AN353">
        <f t="shared" si="300"/>
        <v>746.55960603461074</v>
      </c>
      <c r="AO353">
        <f t="shared" si="301"/>
        <v>-1486.6174186515236</v>
      </c>
      <c r="AQ353">
        <f t="shared" si="287"/>
        <v>2.357044536510635E-2</v>
      </c>
      <c r="AR353">
        <f t="shared" si="288"/>
        <v>-8.6330291716506764</v>
      </c>
      <c r="AT353">
        <f t="shared" si="313"/>
        <v>-124166.07527473432</v>
      </c>
      <c r="AU353">
        <f t="shared" si="314"/>
        <v>-167091.13180679223</v>
      </c>
      <c r="AV353">
        <f t="shared" si="302"/>
        <v>-2.2098693165278327</v>
      </c>
      <c r="AW353">
        <f t="shared" si="303"/>
        <v>5933.6367171574366</v>
      </c>
      <c r="AX353">
        <f t="shared" si="304"/>
        <v>-29761.938355257575</v>
      </c>
      <c r="AY353">
        <f t="shared" si="312"/>
        <v>-1.3740066396434467</v>
      </c>
      <c r="BA353">
        <f t="shared" si="289"/>
        <v>6.8596566985198884</v>
      </c>
      <c r="BB353">
        <f t="shared" si="305"/>
        <v>16.726047627052843</v>
      </c>
      <c r="BC353">
        <f t="shared" si="306"/>
        <v>-0.83586267688438598</v>
      </c>
      <c r="BD353">
        <f t="shared" si="290"/>
        <v>-227.89140369270646</v>
      </c>
      <c r="BF353">
        <f t="shared" si="291"/>
        <v>-22.672914275633197</v>
      </c>
      <c r="BG353">
        <f t="shared" si="292"/>
        <v>-188.27193845440536</v>
      </c>
      <c r="BH353">
        <f t="shared" si="307"/>
        <v>-8.2719384544053582</v>
      </c>
      <c r="BI353">
        <f t="shared" si="308"/>
        <v>-8.2719384544053582</v>
      </c>
      <c r="BJ353">
        <f t="shared" si="293"/>
        <v>0</v>
      </c>
      <c r="BK353">
        <f t="shared" si="309"/>
        <v>0</v>
      </c>
      <c r="BM353">
        <f t="shared" si="310"/>
        <v>-39.39896190268604</v>
      </c>
      <c r="BN353">
        <f t="shared" si="294"/>
        <v>-140.38053476169893</v>
      </c>
      <c r="BQ353" s="75">
        <f t="shared" si="311"/>
        <v>33.628008427337981</v>
      </c>
      <c r="BR353" s="80"/>
      <c r="BS353" s="80"/>
      <c r="BT353" s="80">
        <v>269153.48</v>
      </c>
      <c r="BU353" s="80">
        <v>15.0854</v>
      </c>
      <c r="BV353" s="80">
        <v>-173.35300000000001</v>
      </c>
      <c r="BY353" s="80"/>
      <c r="BZ353" s="80"/>
      <c r="CA353" s="80"/>
      <c r="CC353" s="80"/>
    </row>
    <row r="354" spans="1:81">
      <c r="A354">
        <f t="shared" si="263"/>
        <v>700000</v>
      </c>
      <c r="B354">
        <f t="shared" si="295"/>
        <v>700</v>
      </c>
      <c r="C354">
        <f t="shared" si="264"/>
        <v>1.2919906009086659</v>
      </c>
      <c r="D354">
        <f t="shared" si="265"/>
        <v>0.68566296200216259</v>
      </c>
      <c r="F354">
        <f t="shared" si="266"/>
        <v>9.1108927979033903E-4</v>
      </c>
      <c r="G354">
        <f t="shared" si="267"/>
        <v>9.2709888724951083E-3</v>
      </c>
      <c r="H354">
        <f t="shared" si="268"/>
        <v>-3.1323216611275053</v>
      </c>
      <c r="J354">
        <f t="shared" si="269"/>
        <v>9</v>
      </c>
      <c r="M354">
        <f t="shared" si="270"/>
        <v>6.0296012696720806E-3</v>
      </c>
      <c r="N354">
        <f t="shared" si="271"/>
        <v>-1.5707963250000001</v>
      </c>
      <c r="O354">
        <f t="shared" si="272"/>
        <v>90.028519671235173</v>
      </c>
      <c r="P354">
        <f t="shared" si="273"/>
        <v>1.559688507096306</v>
      </c>
      <c r="Q354">
        <f t="shared" si="274"/>
        <v>36.77070554002136</v>
      </c>
      <c r="R354">
        <f t="shared" si="275"/>
        <v>1.5435974114413007</v>
      </c>
      <c r="S354">
        <f t="shared" si="276"/>
        <v>0.90442739672354544</v>
      </c>
      <c r="T354">
        <f t="shared" si="277"/>
        <v>-0.44076068266116347</v>
      </c>
      <c r="U354">
        <f t="shared" si="278"/>
        <v>0.80564486546090142</v>
      </c>
      <c r="V354">
        <f t="shared" si="279"/>
        <v>-0.63403309651055484</v>
      </c>
      <c r="X354">
        <f t="shared" si="296"/>
        <v>-16.244983617027223</v>
      </c>
      <c r="Y354">
        <f t="shared" si="280"/>
        <v>-113.95917903509921</v>
      </c>
      <c r="Z354">
        <f t="shared" si="297"/>
        <v>66.040820964900789</v>
      </c>
      <c r="AC354">
        <v>1</v>
      </c>
      <c r="AD354">
        <f t="shared" si="281"/>
        <v>90.022965704280011</v>
      </c>
      <c r="AE354">
        <f t="shared" si="282"/>
        <v>-2.217273421120102E-3</v>
      </c>
      <c r="AF354">
        <f t="shared" si="283"/>
        <v>3.0154262891760003E-3</v>
      </c>
      <c r="AG354">
        <f t="shared" si="298"/>
        <v>19218.964755906822</v>
      </c>
      <c r="AH354">
        <f t="shared" si="299"/>
        <v>-14463.527061254788</v>
      </c>
      <c r="AJ354">
        <f t="shared" si="284"/>
        <v>55000</v>
      </c>
      <c r="AK354">
        <f t="shared" si="285"/>
        <v>25944.057501862502</v>
      </c>
      <c r="AL354">
        <v>1</v>
      </c>
      <c r="AM354">
        <f t="shared" si="286"/>
        <v>36.757105243897506</v>
      </c>
      <c r="AN354">
        <f t="shared" si="300"/>
        <v>745.98018005959011</v>
      </c>
      <c r="AO354">
        <f t="shared" si="301"/>
        <v>-1476.0144864494673</v>
      </c>
      <c r="AQ354">
        <f t="shared" si="287"/>
        <v>2.3234929756222086E-2</v>
      </c>
      <c r="AR354">
        <f t="shared" si="288"/>
        <v>-8.5713655870703285</v>
      </c>
      <c r="AT354">
        <f t="shared" si="313"/>
        <v>-123525.62682440893</v>
      </c>
      <c r="AU354">
        <f t="shared" si="314"/>
        <v>-165068.83216319271</v>
      </c>
      <c r="AV354">
        <f t="shared" si="302"/>
        <v>-2.2132264879197341</v>
      </c>
      <c r="AW354">
        <f t="shared" si="303"/>
        <v>6024.1463405420063</v>
      </c>
      <c r="AX354">
        <f t="shared" si="304"/>
        <v>-29665.341718910851</v>
      </c>
      <c r="AY354">
        <f t="shared" si="312"/>
        <v>-1.3704504194223657</v>
      </c>
      <c r="BA354">
        <f t="shared" si="289"/>
        <v>6.81086692973797</v>
      </c>
      <c r="BB354">
        <f t="shared" si="305"/>
        <v>16.664047902979831</v>
      </c>
      <c r="BC354">
        <f t="shared" si="306"/>
        <v>-0.84277606849736841</v>
      </c>
      <c r="BD354">
        <f t="shared" si="290"/>
        <v>-228.28751185470412</v>
      </c>
      <c r="BF354">
        <f t="shared" si="291"/>
        <v>-22.834696091720687</v>
      </c>
      <c r="BG354">
        <f t="shared" si="292"/>
        <v>-188.47072938373725</v>
      </c>
      <c r="BH354">
        <f t="shared" si="307"/>
        <v>-8.4707293837372504</v>
      </c>
      <c r="BI354">
        <f t="shared" si="308"/>
        <v>-8.4707293837372504</v>
      </c>
      <c r="BJ354">
        <f t="shared" si="293"/>
        <v>0</v>
      </c>
      <c r="BK354">
        <f t="shared" si="309"/>
        <v>0</v>
      </c>
      <c r="BM354">
        <f t="shared" si="310"/>
        <v>-39.498743994700519</v>
      </c>
      <c r="BN354">
        <f t="shared" si="294"/>
        <v>-140.18321752903313</v>
      </c>
      <c r="BQ354" s="75">
        <f t="shared" si="311"/>
        <v>33.56600870326497</v>
      </c>
      <c r="BR354" s="80"/>
      <c r="BS354" s="80"/>
      <c r="BT354" s="80">
        <v>275422.87</v>
      </c>
      <c r="BU354" s="80">
        <v>15.1145</v>
      </c>
      <c r="BV354" s="80">
        <v>-175.80699999999999</v>
      </c>
      <c r="BY354" s="80"/>
      <c r="BZ354" s="80"/>
      <c r="CA354" s="80"/>
      <c r="CC354" s="80"/>
    </row>
    <row r="355" spans="1:81">
      <c r="A355">
        <f t="shared" si="263"/>
        <v>705000</v>
      </c>
      <c r="B355">
        <f t="shared" si="295"/>
        <v>705</v>
      </c>
      <c r="C355">
        <f t="shared" si="264"/>
        <v>1.2956984313666036</v>
      </c>
      <c r="D355">
        <f t="shared" si="265"/>
        <v>0.68915356462863064</v>
      </c>
      <c r="F355">
        <f t="shared" si="266"/>
        <v>8.9820081782807841E-4</v>
      </c>
      <c r="G355">
        <f t="shared" si="267"/>
        <v>9.2051222006870083E-3</v>
      </c>
      <c r="H355">
        <f t="shared" si="268"/>
        <v>-3.1323875277993132</v>
      </c>
      <c r="J355">
        <f t="shared" si="269"/>
        <v>9</v>
      </c>
      <c r="M355">
        <f t="shared" si="270"/>
        <v>5.986838140099939E-3</v>
      </c>
      <c r="N355">
        <f t="shared" si="271"/>
        <v>-1.5707963250000001</v>
      </c>
      <c r="O355">
        <f t="shared" si="272"/>
        <v>90.671501467404809</v>
      </c>
      <c r="P355">
        <f t="shared" si="273"/>
        <v>1.5597672795483253</v>
      </c>
      <c r="Q355">
        <f t="shared" si="274"/>
        <v>37.033159871060114</v>
      </c>
      <c r="R355">
        <f t="shared" si="275"/>
        <v>1.5437902174373281</v>
      </c>
      <c r="S355">
        <f t="shared" si="276"/>
        <v>0.90324967451980098</v>
      </c>
      <c r="T355">
        <f t="shared" si="277"/>
        <v>-0.4435131948107367</v>
      </c>
      <c r="U355">
        <f t="shared" si="278"/>
        <v>0.80362576826376964</v>
      </c>
      <c r="V355">
        <f t="shared" si="279"/>
        <v>-0.63743358127300043</v>
      </c>
      <c r="X355">
        <f t="shared" si="296"/>
        <v>-16.315186990354256</v>
      </c>
      <c r="Y355">
        <f t="shared" si="280"/>
        <v>-114.09993657464724</v>
      </c>
      <c r="Z355">
        <f t="shared" si="297"/>
        <v>65.900063425352755</v>
      </c>
      <c r="AC355">
        <v>1</v>
      </c>
      <c r="AD355">
        <f t="shared" si="281"/>
        <v>90.665986887882013</v>
      </c>
      <c r="AE355">
        <f t="shared" si="282"/>
        <v>-2.2490618819024874E-3</v>
      </c>
      <c r="AF355">
        <f t="shared" si="283"/>
        <v>3.0369650483844002E-3</v>
      </c>
      <c r="AG355">
        <f t="shared" si="298"/>
        <v>19122.752806251989</v>
      </c>
      <c r="AH355">
        <f t="shared" si="299"/>
        <v>-14490.866280136022</v>
      </c>
      <c r="AJ355">
        <f t="shared" si="284"/>
        <v>55000</v>
      </c>
      <c r="AK355">
        <f t="shared" si="285"/>
        <v>26129.37219830438</v>
      </c>
      <c r="AL355">
        <v>1</v>
      </c>
      <c r="AM355">
        <f t="shared" si="286"/>
        <v>37.019655995639624</v>
      </c>
      <c r="AN355">
        <f t="shared" si="300"/>
        <v>745.41302654167293</v>
      </c>
      <c r="AO355">
        <f t="shared" si="301"/>
        <v>-1465.5616189369434</v>
      </c>
      <c r="AQ355">
        <f t="shared" si="287"/>
        <v>2.2906527363824904E-2</v>
      </c>
      <c r="AR355">
        <f t="shared" si="288"/>
        <v>-8.5105766441186841</v>
      </c>
      <c r="AT355">
        <f t="shared" si="313"/>
        <v>-122887.59225634455</v>
      </c>
      <c r="AU355">
        <f t="shared" si="314"/>
        <v>-163077.58882911465</v>
      </c>
      <c r="AV355">
        <f t="shared" si="302"/>
        <v>-2.2165674253503438</v>
      </c>
      <c r="AW355">
        <f t="shared" si="303"/>
        <v>6111.1059701868253</v>
      </c>
      <c r="AX355">
        <f t="shared" si="304"/>
        <v>-29569.881589154666</v>
      </c>
      <c r="AY355">
        <f t="shared" si="312"/>
        <v>-1.3669988995347655</v>
      </c>
      <c r="BA355">
        <f t="shared" si="289"/>
        <v>6.762602336816669</v>
      </c>
      <c r="BB355">
        <f t="shared" si="305"/>
        <v>16.602277004742767</v>
      </c>
      <c r="BC355">
        <f t="shared" si="306"/>
        <v>-0.84956852581557829</v>
      </c>
      <c r="BD355">
        <f t="shared" si="290"/>
        <v>-228.67669099200498</v>
      </c>
      <c r="BF355">
        <f t="shared" si="291"/>
        <v>-22.995325223470214</v>
      </c>
      <c r="BG355">
        <f t="shared" si="292"/>
        <v>-188.66368560466515</v>
      </c>
      <c r="BH355">
        <f t="shared" si="307"/>
        <v>-8.6636856046651474</v>
      </c>
      <c r="BI355">
        <f t="shared" si="308"/>
        <v>-8.6636856046651474</v>
      </c>
      <c r="BJ355">
        <f t="shared" si="293"/>
        <v>0</v>
      </c>
      <c r="BK355">
        <f t="shared" si="309"/>
        <v>0</v>
      </c>
      <c r="BM355">
        <f t="shared" si="310"/>
        <v>-39.597602228212978</v>
      </c>
      <c r="BN355">
        <f t="shared" si="294"/>
        <v>-139.9869946126602</v>
      </c>
      <c r="BQ355" s="75">
        <f t="shared" si="311"/>
        <v>33.504237805027898</v>
      </c>
      <c r="BR355" s="80"/>
      <c r="BS355" s="80"/>
      <c r="BT355" s="80">
        <v>281838.29300000001</v>
      </c>
      <c r="BU355" s="80">
        <v>15.1486</v>
      </c>
      <c r="BV355" s="80">
        <v>-177.72399999999999</v>
      </c>
      <c r="BY355" s="80"/>
      <c r="BZ355" s="80"/>
      <c r="CA355" s="80"/>
      <c r="CC355" s="80"/>
    </row>
    <row r="356" spans="1:81">
      <c r="A356">
        <f t="shared" si="263"/>
        <v>710000</v>
      </c>
      <c r="B356">
        <f t="shared" si="295"/>
        <v>710</v>
      </c>
      <c r="C356">
        <f t="shared" si="264"/>
        <v>1.2994219588040037</v>
      </c>
      <c r="D356">
        <f t="shared" si="265"/>
        <v>0.69262420451577178</v>
      </c>
      <c r="F356">
        <f t="shared" si="266"/>
        <v>8.8558399419448293E-4</v>
      </c>
      <c r="G356">
        <f t="shared" si="267"/>
        <v>9.1401856346506188E-3</v>
      </c>
      <c r="H356">
        <f t="shared" si="268"/>
        <v>-3.1324524643653495</v>
      </c>
      <c r="J356">
        <f t="shared" si="269"/>
        <v>9</v>
      </c>
      <c r="M356">
        <f t="shared" si="270"/>
        <v>5.9446773081274044E-3</v>
      </c>
      <c r="N356">
        <f t="shared" si="271"/>
        <v>-1.5707963250000001</v>
      </c>
      <c r="O356">
        <f t="shared" si="272"/>
        <v>91.314483818276784</v>
      </c>
      <c r="P356">
        <f t="shared" si="273"/>
        <v>1.559844942663194</v>
      </c>
      <c r="Q356">
        <f t="shared" si="274"/>
        <v>37.295615559399437</v>
      </c>
      <c r="R356">
        <f t="shared" si="275"/>
        <v>1.543980309822149</v>
      </c>
      <c r="S356">
        <f t="shared" si="276"/>
        <v>0.90206820783713659</v>
      </c>
      <c r="T356">
        <f t="shared" si="277"/>
        <v>-0.44625852704467289</v>
      </c>
      <c r="U356">
        <f t="shared" si="278"/>
        <v>0.80160756647585651</v>
      </c>
      <c r="V356">
        <f t="shared" si="279"/>
        <v>-0.64081702524391559</v>
      </c>
      <c r="X356">
        <f t="shared" si="296"/>
        <v>-16.385012249169684</v>
      </c>
      <c r="Y356">
        <f t="shared" si="280"/>
        <v>-114.24061589827954</v>
      </c>
      <c r="Z356">
        <f t="shared" si="297"/>
        <v>65.759384101720457</v>
      </c>
      <c r="AC356">
        <v>1</v>
      </c>
      <c r="AD356">
        <f t="shared" si="281"/>
        <v>91.309008071484001</v>
      </c>
      <c r="AE356">
        <f t="shared" si="282"/>
        <v>-2.2810765950747828E-3</v>
      </c>
      <c r="AF356">
        <f t="shared" si="283"/>
        <v>3.0585038075928001E-3</v>
      </c>
      <c r="AG356">
        <f t="shared" si="298"/>
        <v>19026.824790873852</v>
      </c>
      <c r="AH356">
        <f t="shared" si="299"/>
        <v>-14517.439735998689</v>
      </c>
      <c r="AJ356">
        <f t="shared" si="284"/>
        <v>55000</v>
      </c>
      <c r="AK356">
        <f t="shared" si="285"/>
        <v>26314.686894746254</v>
      </c>
      <c r="AL356">
        <v>1</v>
      </c>
      <c r="AM356">
        <f t="shared" si="286"/>
        <v>37.282206747381757</v>
      </c>
      <c r="AN356">
        <f t="shared" si="300"/>
        <v>744.85780141376358</v>
      </c>
      <c r="AO356">
        <f t="shared" si="301"/>
        <v>-1455.2556549619062</v>
      </c>
      <c r="AQ356">
        <f t="shared" si="287"/>
        <v>2.2585038525229438E-2</v>
      </c>
      <c r="AR356">
        <f t="shared" si="288"/>
        <v>-8.4506438649850999</v>
      </c>
      <c r="AT356">
        <f t="shared" si="313"/>
        <v>-122251.99146939356</v>
      </c>
      <c r="AU356">
        <f t="shared" si="314"/>
        <v>-161116.79712486974</v>
      </c>
      <c r="AV356">
        <f t="shared" si="302"/>
        <v>-2.2198921605521811</v>
      </c>
      <c r="AW356">
        <f t="shared" si="303"/>
        <v>6194.6279482924328</v>
      </c>
      <c r="AX356">
        <f t="shared" si="304"/>
        <v>-29475.523257108463</v>
      </c>
      <c r="AY356">
        <f t="shared" si="312"/>
        <v>-1.3636492065597983</v>
      </c>
      <c r="BA356">
        <f t="shared" si="289"/>
        <v>6.7148620527715543</v>
      </c>
      <c r="BB356">
        <f t="shared" si="305"/>
        <v>16.540741902758917</v>
      </c>
      <c r="BC356">
        <f t="shared" si="306"/>
        <v>-0.85624295399238282</v>
      </c>
      <c r="BD356">
        <f t="shared" si="290"/>
        <v>-229.05910755763605</v>
      </c>
      <c r="BF356">
        <f t="shared" si="291"/>
        <v>-23.154808704219189</v>
      </c>
      <c r="BG356">
        <f t="shared" si="292"/>
        <v>-188.85096974350026</v>
      </c>
      <c r="BH356">
        <f t="shared" si="307"/>
        <v>-8.8509697435002579</v>
      </c>
      <c r="BI356">
        <f t="shared" si="308"/>
        <v>-8.8509697435002579</v>
      </c>
      <c r="BJ356">
        <f t="shared" si="293"/>
        <v>0</v>
      </c>
      <c r="BK356">
        <f t="shared" si="309"/>
        <v>0</v>
      </c>
      <c r="BM356">
        <f t="shared" si="310"/>
        <v>-39.695550606978109</v>
      </c>
      <c r="BN356">
        <f t="shared" si="294"/>
        <v>-139.79186218586423</v>
      </c>
      <c r="BQ356" s="75">
        <f t="shared" si="311"/>
        <v>33.442702703044056</v>
      </c>
      <c r="BR356" s="80"/>
      <c r="BS356" s="80"/>
      <c r="BT356" s="80">
        <v>288403.15000000002</v>
      </c>
      <c r="BU356" s="80">
        <v>14.961</v>
      </c>
      <c r="BV356" s="80">
        <v>-178.92099999999999</v>
      </c>
      <c r="BY356" s="80"/>
      <c r="BZ356" s="80"/>
      <c r="CA356" s="80"/>
      <c r="CC356" s="80"/>
    </row>
    <row r="357" spans="1:81">
      <c r="A357">
        <f t="shared" si="263"/>
        <v>715000</v>
      </c>
      <c r="B357">
        <f t="shared" si="295"/>
        <v>715</v>
      </c>
      <c r="C357">
        <f t="shared" si="264"/>
        <v>1.3031610486677414</v>
      </c>
      <c r="D357">
        <f t="shared" si="265"/>
        <v>0.69607496952989156</v>
      </c>
      <c r="F357">
        <f t="shared" si="266"/>
        <v>8.7323122665719998E-4</v>
      </c>
      <c r="G357">
        <f t="shared" si="267"/>
        <v>9.0761595949853512E-3</v>
      </c>
      <c r="H357">
        <f t="shared" si="268"/>
        <v>-3.1325164904050147</v>
      </c>
      <c r="J357">
        <f t="shared" si="269"/>
        <v>9</v>
      </c>
      <c r="M357">
        <f t="shared" si="270"/>
        <v>5.903106138140499E-3</v>
      </c>
      <c r="N357">
        <f t="shared" si="271"/>
        <v>-1.5707963250000001</v>
      </c>
      <c r="O357">
        <f t="shared" si="272"/>
        <v>91.95746671221535</v>
      </c>
      <c r="P357">
        <f t="shared" si="273"/>
        <v>1.5599215197100109</v>
      </c>
      <c r="Q357">
        <f t="shared" si="274"/>
        <v>37.558072576584898</v>
      </c>
      <c r="R357">
        <f t="shared" si="275"/>
        <v>1.544167745470286</v>
      </c>
      <c r="S357">
        <f t="shared" si="276"/>
        <v>0.90088306467154766</v>
      </c>
      <c r="T357">
        <f t="shared" si="277"/>
        <v>-0.44899666619928286</v>
      </c>
      <c r="U357">
        <f t="shared" si="278"/>
        <v>0.79959039146820521</v>
      </c>
      <c r="V357">
        <f t="shared" si="279"/>
        <v>-0.64418347931289233</v>
      </c>
      <c r="X357">
        <f t="shared" si="296"/>
        <v>-16.454465311088015</v>
      </c>
      <c r="Y357">
        <f t="shared" si="280"/>
        <v>-114.3812106630884</v>
      </c>
      <c r="Z357">
        <f t="shared" si="297"/>
        <v>65.618789336911604</v>
      </c>
      <c r="AC357">
        <v>1</v>
      </c>
      <c r="AD357">
        <f t="shared" si="281"/>
        <v>91.952029255086018</v>
      </c>
      <c r="AE357">
        <f t="shared" si="282"/>
        <v>-2.3133175606369883E-3</v>
      </c>
      <c r="AF357">
        <f t="shared" si="283"/>
        <v>3.0800425668012E-3</v>
      </c>
      <c r="AG357">
        <f t="shared" si="298"/>
        <v>18931.186609425829</v>
      </c>
      <c r="AH357">
        <f t="shared" si="299"/>
        <v>-14543.255638769155</v>
      </c>
      <c r="AJ357">
        <f t="shared" si="284"/>
        <v>55000</v>
      </c>
      <c r="AK357">
        <f t="shared" si="285"/>
        <v>26500.001591188127</v>
      </c>
      <c r="AL357">
        <v>1</v>
      </c>
      <c r="AM357">
        <f t="shared" si="286"/>
        <v>37.544757499123882</v>
      </c>
      <c r="AN357">
        <f t="shared" si="300"/>
        <v>744.31417257968815</v>
      </c>
      <c r="AO357">
        <f t="shared" si="301"/>
        <v>-1445.0935214773031</v>
      </c>
      <c r="AQ357">
        <f t="shared" si="287"/>
        <v>2.2270270534367344E-2</v>
      </c>
      <c r="AR357">
        <f t="shared" si="288"/>
        <v>-8.3915492887022864</v>
      </c>
      <c r="AT357">
        <f t="shared" si="313"/>
        <v>-121618.84386360031</v>
      </c>
      <c r="AU357">
        <f t="shared" si="314"/>
        <v>-159185.86776414342</v>
      </c>
      <c r="AV357">
        <f t="shared" si="302"/>
        <v>-2.2232007268262657</v>
      </c>
      <c r="AW357">
        <f t="shared" si="303"/>
        <v>6274.8207372179622</v>
      </c>
      <c r="AX357">
        <f t="shared" si="304"/>
        <v>-29382.233316818987</v>
      </c>
      <c r="AY357">
        <f t="shared" si="312"/>
        <v>-1.3603985455552772</v>
      </c>
      <c r="BA357">
        <f t="shared" si="289"/>
        <v>6.6676446829740419</v>
      </c>
      <c r="BB357">
        <f t="shared" si="305"/>
        <v>16.479448966684874</v>
      </c>
      <c r="BC357">
        <f t="shared" si="306"/>
        <v>-0.86280218127098851</v>
      </c>
      <c r="BD357">
        <f t="shared" si="290"/>
        <v>-229.43492359799666</v>
      </c>
      <c r="BF357">
        <f t="shared" si="291"/>
        <v>-23.31315388207177</v>
      </c>
      <c r="BG357">
        <f t="shared" si="292"/>
        <v>-189.03273993409044</v>
      </c>
      <c r="BH357">
        <f t="shared" si="307"/>
        <v>-9.0327399340904435</v>
      </c>
      <c r="BI357">
        <f t="shared" si="308"/>
        <v>-9.0327399340904435</v>
      </c>
      <c r="BJ357">
        <f t="shared" si="293"/>
        <v>0</v>
      </c>
      <c r="BK357">
        <f t="shared" si="309"/>
        <v>0</v>
      </c>
      <c r="BM357">
        <f t="shared" si="310"/>
        <v>-39.792602848756644</v>
      </c>
      <c r="BN357">
        <f t="shared" si="294"/>
        <v>-139.59781633609376</v>
      </c>
      <c r="BQ357" s="75">
        <f t="shared" si="311"/>
        <v>33.381409766970009</v>
      </c>
      <c r="BR357" s="80"/>
      <c r="BS357" s="80"/>
      <c r="BT357" s="80">
        <v>295120.92300000001</v>
      </c>
      <c r="BU357" s="80">
        <v>14.946199999999999</v>
      </c>
      <c r="BV357" s="80">
        <v>-181.99</v>
      </c>
      <c r="BW357" s="84"/>
      <c r="BY357" s="80"/>
      <c r="BZ357" s="80"/>
      <c r="CA357" s="80"/>
      <c r="CC357" s="80"/>
    </row>
    <row r="358" spans="1:81">
      <c r="A358">
        <f t="shared" si="263"/>
        <v>720000</v>
      </c>
      <c r="B358">
        <f t="shared" si="295"/>
        <v>720</v>
      </c>
      <c r="C358">
        <f t="shared" si="264"/>
        <v>1.3069155673853596</v>
      </c>
      <c r="D358">
        <f t="shared" si="265"/>
        <v>0.69950594842719838</v>
      </c>
      <c r="F358">
        <f t="shared" si="266"/>
        <v>8.6113519577399051E-4</v>
      </c>
      <c r="G358">
        <f t="shared" si="267"/>
        <v>9.013025048458195E-3</v>
      </c>
      <c r="H358">
        <f t="shared" si="268"/>
        <v>-3.1325796249515419</v>
      </c>
      <c r="J358">
        <f t="shared" si="269"/>
        <v>9</v>
      </c>
      <c r="M358">
        <f t="shared" si="270"/>
        <v>5.8621123455145233E-3</v>
      </c>
      <c r="N358">
        <f t="shared" si="271"/>
        <v>-1.5707963250000001</v>
      </c>
      <c r="O358">
        <f t="shared" si="272"/>
        <v>92.600450137907956</v>
      </c>
      <c r="P358">
        <f t="shared" si="273"/>
        <v>1.5599970333116382</v>
      </c>
      <c r="Q358">
        <f t="shared" si="274"/>
        <v>37.820530894951759</v>
      </c>
      <c r="R358">
        <f t="shared" si="275"/>
        <v>1.5443525796782809</v>
      </c>
      <c r="S358">
        <f t="shared" si="276"/>
        <v>0.89969431270179234</v>
      </c>
      <c r="T358">
        <f t="shared" si="277"/>
        <v>-0.45172759961119729</v>
      </c>
      <c r="U358">
        <f t="shared" si="278"/>
        <v>0.79757437215514182</v>
      </c>
      <c r="V358">
        <f t="shared" si="279"/>
        <v>-0.64753299540011189</v>
      </c>
      <c r="X358">
        <f t="shared" si="296"/>
        <v>-16.523551957076567</v>
      </c>
      <c r="Y358">
        <f t="shared" si="280"/>
        <v>-114.52171465903831</v>
      </c>
      <c r="Z358">
        <f t="shared" si="297"/>
        <v>65.478285340961691</v>
      </c>
      <c r="AC358">
        <v>1</v>
      </c>
      <c r="AD358">
        <f t="shared" si="281"/>
        <v>92.59505043868802</v>
      </c>
      <c r="AE358">
        <f t="shared" si="282"/>
        <v>-2.3457847785891043E-3</v>
      </c>
      <c r="AF358">
        <f t="shared" si="283"/>
        <v>3.1015813260096003E-3</v>
      </c>
      <c r="AG358">
        <f t="shared" si="298"/>
        <v>18835.843982922521</v>
      </c>
      <c r="AH358">
        <f t="shared" si="299"/>
        <v>-14568.322206515299</v>
      </c>
      <c r="AJ358">
        <f t="shared" si="284"/>
        <v>55000</v>
      </c>
      <c r="AK358">
        <f t="shared" si="285"/>
        <v>26685.316287630005</v>
      </c>
      <c r="AL358">
        <v>1</v>
      </c>
      <c r="AM358">
        <f t="shared" si="286"/>
        <v>37.807308250866001</v>
      </c>
      <c r="AN358">
        <f t="shared" si="300"/>
        <v>743.78181941796618</v>
      </c>
      <c r="AO358">
        <f t="shared" si="301"/>
        <v>-1435.0722304949932</v>
      </c>
      <c r="AQ358">
        <f t="shared" si="287"/>
        <v>2.1962037352944226E-2</v>
      </c>
      <c r="AR358">
        <f t="shared" si="288"/>
        <v>-8.3332754532011588</v>
      </c>
      <c r="AT358">
        <f t="shared" si="313"/>
        <v>-120988.16832875212</v>
      </c>
      <c r="AU358">
        <f t="shared" si="314"/>
        <v>-157284.22633968419</v>
      </c>
      <c r="AV358">
        <f t="shared" si="302"/>
        <v>-2.226493158992656</v>
      </c>
      <c r="AW358">
        <f t="shared" si="303"/>
        <v>6351.7890755823964</v>
      </c>
      <c r="AX358">
        <f t="shared" si="304"/>
        <v>-29289.979612564333</v>
      </c>
      <c r="AY358">
        <f t="shared" si="312"/>
        <v>-1.3572441983935994</v>
      </c>
      <c r="BA358">
        <f t="shared" si="289"/>
        <v>6.6209483521441106</v>
      </c>
      <c r="BB358">
        <f t="shared" si="305"/>
        <v>16.418404002102108</v>
      </c>
      <c r="BC358">
        <f t="shared" si="306"/>
        <v>-0.86924896059905654</v>
      </c>
      <c r="BD358">
        <f t="shared" si="290"/>
        <v>-229.80429684536924</v>
      </c>
      <c r="BF358">
        <f t="shared" si="291"/>
        <v>-23.47036839077829</v>
      </c>
      <c r="BG358">
        <f t="shared" si="292"/>
        <v>-189.20914991388585</v>
      </c>
      <c r="BH358">
        <f t="shared" si="307"/>
        <v>-9.2091499138858524</v>
      </c>
      <c r="BI358">
        <f t="shared" si="308"/>
        <v>-9.2091499138858524</v>
      </c>
      <c r="BJ358">
        <f t="shared" si="293"/>
        <v>0</v>
      </c>
      <c r="BK358">
        <f t="shared" si="309"/>
        <v>0</v>
      </c>
      <c r="BM358">
        <f t="shared" si="310"/>
        <v>-39.888772392880398</v>
      </c>
      <c r="BN358">
        <f t="shared" si="294"/>
        <v>-139.40485306851662</v>
      </c>
      <c r="BQ358" s="75">
        <f t="shared" si="311"/>
        <v>33.320364802387246</v>
      </c>
      <c r="BR358" s="80"/>
      <c r="BS358" s="80"/>
      <c r="BT358" s="80">
        <v>301995.17200000002</v>
      </c>
      <c r="BU358" s="80">
        <v>15.1762</v>
      </c>
      <c r="BV358" s="80">
        <v>-183.36099999999999</v>
      </c>
      <c r="BW358" s="84"/>
      <c r="BY358" s="80"/>
      <c r="BZ358" s="80"/>
      <c r="CA358" s="80"/>
      <c r="CC358" s="80"/>
    </row>
    <row r="359" spans="1:81">
      <c r="A359">
        <f t="shared" si="263"/>
        <v>725000</v>
      </c>
      <c r="B359">
        <f t="shared" si="295"/>
        <v>725</v>
      </c>
      <c r="C359">
        <f t="shared" si="264"/>
        <v>1.3106853823668752</v>
      </c>
      <c r="D359">
        <f t="shared" si="265"/>
        <v>0.70291723081234947</v>
      </c>
      <c r="F359">
        <f t="shared" si="266"/>
        <v>8.4928883403556795E-4</v>
      </c>
      <c r="G359">
        <f t="shared" si="267"/>
        <v>8.9507634890761863E-3</v>
      </c>
      <c r="H359">
        <f t="shared" si="268"/>
        <v>-3.1326418865109242</v>
      </c>
      <c r="J359">
        <f t="shared" si="269"/>
        <v>9</v>
      </c>
      <c r="M359">
        <f t="shared" si="270"/>
        <v>5.8216839845109747E-3</v>
      </c>
      <c r="N359">
        <f t="shared" si="271"/>
        <v>-1.5707963250000001</v>
      </c>
      <c r="O359">
        <f t="shared" si="272"/>
        <v>93.243434084354078</v>
      </c>
      <c r="P359">
        <f t="shared" si="273"/>
        <v>1.5600715054669807</v>
      </c>
      <c r="Q359">
        <f t="shared" si="274"/>
        <v>38.082990487597783</v>
      </c>
      <c r="R359">
        <f t="shared" si="275"/>
        <v>1.5445348662190315</v>
      </c>
      <c r="S359">
        <f t="shared" si="276"/>
        <v>0.89850201928319162</v>
      </c>
      <c r="T359">
        <f t="shared" si="277"/>
        <v>-0.45445131511352671</v>
      </c>
      <c r="U359">
        <f t="shared" si="278"/>
        <v>0.79555963501329652</v>
      </c>
      <c r="V359">
        <f t="shared" si="279"/>
        <v>-0.65086562642487555</v>
      </c>
      <c r="X359">
        <f t="shared" si="296"/>
        <v>-16.592277835284399</v>
      </c>
      <c r="Y359">
        <f t="shared" si="280"/>
        <v>-114.66212180601249</v>
      </c>
      <c r="Z359">
        <f t="shared" si="297"/>
        <v>65.337878193987507</v>
      </c>
      <c r="AC359">
        <v>1</v>
      </c>
      <c r="AD359">
        <f t="shared" si="281"/>
        <v>93.238071622290022</v>
      </c>
      <c r="AE359">
        <f t="shared" si="282"/>
        <v>-2.3784782489311303E-3</v>
      </c>
      <c r="AF359">
        <f t="shared" si="283"/>
        <v>3.1231200852180003E-3</v>
      </c>
      <c r="AG359">
        <f t="shared" si="298"/>
        <v>18740.802456186571</v>
      </c>
      <c r="AH359">
        <f t="shared" si="299"/>
        <v>-14592.647661952989</v>
      </c>
      <c r="AJ359">
        <f t="shared" si="284"/>
        <v>55000</v>
      </c>
      <c r="AK359">
        <f t="shared" si="285"/>
        <v>26870.630984071875</v>
      </c>
      <c r="AL359">
        <v>1</v>
      </c>
      <c r="AM359">
        <f t="shared" si="286"/>
        <v>38.069859002608133</v>
      </c>
      <c r="AN359">
        <f t="shared" si="300"/>
        <v>743.26043230941423</v>
      </c>
      <c r="AO359">
        <f t="shared" si="301"/>
        <v>-1425.1888761650919</v>
      </c>
      <c r="AQ359">
        <f t="shared" si="287"/>
        <v>2.166015933549207E-2</v>
      </c>
      <c r="AR359">
        <f t="shared" si="288"/>
        <v>-8.2758053781081333</v>
      </c>
      <c r="AT359">
        <f t="shared" si="313"/>
        <v>-120359.98323435165</v>
      </c>
      <c r="AU359">
        <f t="shared" si="314"/>
        <v>-155411.31283045554</v>
      </c>
      <c r="AV359">
        <f t="shared" si="302"/>
        <v>-2.2297694933421344</v>
      </c>
      <c r="AW359">
        <f t="shared" si="303"/>
        <v>6425.6341269994555</v>
      </c>
      <c r="AX359">
        <f t="shared" si="304"/>
        <v>-29198.731188526548</v>
      </c>
      <c r="AY359">
        <f t="shared" si="312"/>
        <v>-1.3541835220686216</v>
      </c>
      <c r="BA359">
        <f t="shared" si="289"/>
        <v>6.5747707480279436</v>
      </c>
      <c r="BB359">
        <f t="shared" si="305"/>
        <v>16.357612285130326</v>
      </c>
      <c r="BC359">
        <f t="shared" si="306"/>
        <v>-0.87558597127351279</v>
      </c>
      <c r="BD359">
        <f t="shared" si="290"/>
        <v>-230.16738081215982</v>
      </c>
      <c r="BF359">
        <f t="shared" si="291"/>
        <v>-23.626460122432505</v>
      </c>
      <c r="BG359">
        <f t="shared" si="292"/>
        <v>-189.3803491216392</v>
      </c>
      <c r="BH359">
        <f t="shared" si="307"/>
        <v>-9.380349121639199</v>
      </c>
      <c r="BI359">
        <f t="shared" si="308"/>
        <v>-9.380349121639199</v>
      </c>
      <c r="BJ359">
        <f t="shared" si="293"/>
        <v>0</v>
      </c>
      <c r="BK359">
        <f t="shared" si="309"/>
        <v>0</v>
      </c>
      <c r="BM359">
        <f t="shared" si="310"/>
        <v>-39.984072407562834</v>
      </c>
      <c r="BN359">
        <f t="shared" si="294"/>
        <v>-139.21296830947941</v>
      </c>
      <c r="BQ359" s="75">
        <f t="shared" si="311"/>
        <v>33.259573085415461</v>
      </c>
      <c r="BR359" s="80"/>
      <c r="BS359" s="80"/>
      <c r="BT359" s="80">
        <v>309029.54300000001</v>
      </c>
      <c r="BU359" s="80">
        <v>15.284700000000001</v>
      </c>
      <c r="BV359" s="80">
        <v>-186.209</v>
      </c>
      <c r="BW359" s="84"/>
      <c r="BY359" s="80"/>
      <c r="BZ359" s="80"/>
      <c r="CA359" s="80"/>
      <c r="CC359" s="80"/>
    </row>
    <row r="360" spans="1:81">
      <c r="A360">
        <f t="shared" si="263"/>
        <v>730000</v>
      </c>
      <c r="B360">
        <f t="shared" si="295"/>
        <v>730</v>
      </c>
      <c r="C360">
        <f t="shared" si="264"/>
        <v>1.3144703620062428</v>
      </c>
      <c r="D360">
        <f t="shared" si="265"/>
        <v>0.70630890709783856</v>
      </c>
      <c r="F360">
        <f t="shared" si="266"/>
        <v>8.3768531552831432E-4</v>
      </c>
      <c r="G360">
        <f t="shared" si="267"/>
        <v>8.8893569199411902E-3</v>
      </c>
      <c r="H360">
        <f t="shared" si="268"/>
        <v>-3.1327032930800591</v>
      </c>
      <c r="J360">
        <f t="shared" si="269"/>
        <v>9</v>
      </c>
      <c r="M360">
        <f t="shared" si="270"/>
        <v>5.781809436671859E-3</v>
      </c>
      <c r="N360">
        <f t="shared" si="271"/>
        <v>-1.5707963250000001</v>
      </c>
      <c r="O360">
        <f t="shared" si="272"/>
        <v>93.886418540854521</v>
      </c>
      <c r="P360">
        <f t="shared" si="273"/>
        <v>1.5601449575723485</v>
      </c>
      <c r="Q360">
        <f t="shared" si="274"/>
        <v>38.345451328357136</v>
      </c>
      <c r="R360">
        <f t="shared" si="275"/>
        <v>1.544714657393899</v>
      </c>
      <c r="S360">
        <f t="shared" si="276"/>
        <v>0.89730625144159371</v>
      </c>
      <c r="T360">
        <f t="shared" si="277"/>
        <v>-0.45716780103198101</v>
      </c>
      <c r="U360">
        <f t="shared" si="278"/>
        <v>0.79354630410116511</v>
      </c>
      <c r="V360">
        <f t="shared" si="279"/>
        <v>-0.65418142627456966</v>
      </c>
      <c r="X360">
        <f t="shared" si="296"/>
        <v>-16.660648464742266</v>
      </c>
      <c r="Y360">
        <f t="shared" si="280"/>
        <v>-114.80242615096969</v>
      </c>
      <c r="Z360">
        <f t="shared" si="297"/>
        <v>65.197573849030306</v>
      </c>
      <c r="AC360">
        <v>1</v>
      </c>
      <c r="AD360">
        <f t="shared" si="281"/>
        <v>93.88109280589201</v>
      </c>
      <c r="AE360">
        <f t="shared" si="282"/>
        <v>-2.4113979716630664E-3</v>
      </c>
      <c r="AF360">
        <f t="shared" si="283"/>
        <v>3.1446588444264002E-3</v>
      </c>
      <c r="AG360">
        <f t="shared" ref="AG360:AG423" si="315">AC360*AE360/(AE360^2+AF360^2)+AD360*AF360/(AE360^2+AF360^2)</f>
        <v>18646.067400314234</v>
      </c>
      <c r="AH360">
        <f t="shared" ref="AH360:AH423" si="316">AD360*AE360/(AE360^2+AF360^2)-AC360*AF360/(AE360^2+AF360^2)</f>
        <v>-14616.240229071474</v>
      </c>
      <c r="AJ360">
        <f t="shared" si="284"/>
        <v>55000</v>
      </c>
      <c r="AK360">
        <f t="shared" si="285"/>
        <v>27055.945680513756</v>
      </c>
      <c r="AL360">
        <v>1</v>
      </c>
      <c r="AM360">
        <f t="shared" si="286"/>
        <v>38.332409754350252</v>
      </c>
      <c r="AN360">
        <f t="shared" ref="AN360:AN423" si="317">AJ360*AL360/(AL360^2+AM360^2)+AK360*AM360/(AL360^2+AM360^2)</f>
        <v>742.74971218727933</v>
      </c>
      <c r="AO360">
        <f t="shared" ref="AO360:AO423" si="318">AK360*AL360/(AL360^2+AM360^2)-AJ360*AM360/(AL360^2+AM360^2)</f>
        <v>-1415.4406319747534</v>
      </c>
      <c r="AQ360">
        <f t="shared" si="287"/>
        <v>2.1364462967558461E-2</v>
      </c>
      <c r="AR360">
        <f t="shared" si="288"/>
        <v>-8.2191225482494161</v>
      </c>
      <c r="AT360">
        <f t="shared" si="313"/>
        <v>-119734.30642092695</v>
      </c>
      <c r="AU360">
        <f t="shared" si="314"/>
        <v>-153566.58112920003</v>
      </c>
      <c r="AV360">
        <f t="shared" si="302"/>
        <v>-2.2330297675890329</v>
      </c>
      <c r="AW360">
        <f t="shared" si="303"/>
        <v>6496.453621845636</v>
      </c>
      <c r="AX360">
        <f t="shared" si="304"/>
        <v>-29108.458240710755</v>
      </c>
      <c r="AY360">
        <f t="shared" si="312"/>
        <v>-1.3512139469824245</v>
      </c>
      <c r="BA360">
        <f t="shared" si="289"/>
        <v>6.5291091619671375</v>
      </c>
      <c r="BB360">
        <f t="shared" si="305"/>
        <v>16.297078595074844</v>
      </c>
      <c r="BC360">
        <f t="shared" si="306"/>
        <v>-0.88181582060660846</v>
      </c>
      <c r="BD360">
        <f t="shared" si="290"/>
        <v>-230.52432488635645</v>
      </c>
      <c r="BF360">
        <f t="shared" si="291"/>
        <v>-23.78143720189097</v>
      </c>
      <c r="BG360">
        <f t="shared" si="292"/>
        <v>-189.54648279623049</v>
      </c>
      <c r="BH360">
        <f t="shared" si="307"/>
        <v>-9.5464827962304923</v>
      </c>
      <c r="BI360">
        <f t="shared" si="308"/>
        <v>-9.5464827962304923</v>
      </c>
      <c r="BJ360">
        <f t="shared" si="293"/>
        <v>0</v>
      </c>
      <c r="BK360">
        <f t="shared" si="309"/>
        <v>0</v>
      </c>
      <c r="BM360">
        <f t="shared" si="310"/>
        <v>-40.07851579696581</v>
      </c>
      <c r="BN360">
        <f t="shared" si="294"/>
        <v>-139.02215790987404</v>
      </c>
      <c r="BQ360" s="75">
        <f t="shared" si="311"/>
        <v>33.199039395359982</v>
      </c>
      <c r="BR360" s="80"/>
      <c r="BS360" s="80"/>
      <c r="BT360" s="80">
        <v>316227.766</v>
      </c>
      <c r="BU360" s="80">
        <v>15.331799999999999</v>
      </c>
      <c r="BV360" s="80">
        <v>-189.75</v>
      </c>
      <c r="BW360" s="84"/>
      <c r="BY360" s="80"/>
      <c r="BZ360" s="80"/>
      <c r="CA360" s="80"/>
      <c r="CC360" s="80"/>
    </row>
    <row r="361" spans="1:81">
      <c r="A361">
        <f t="shared" si="263"/>
        <v>735000</v>
      </c>
      <c r="B361">
        <f t="shared" si="295"/>
        <v>735</v>
      </c>
      <c r="C361">
        <f t="shared" si="264"/>
        <v>1.3182703756824925</v>
      </c>
      <c r="D361">
        <f t="shared" si="265"/>
        <v>0.70968106846421475</v>
      </c>
      <c r="F361">
        <f t="shared" si="266"/>
        <v>8.2631804608861105E-4</v>
      </c>
      <c r="G361">
        <f t="shared" si="267"/>
        <v>8.8287878358494984E-3</v>
      </c>
      <c r="H361">
        <f t="shared" si="268"/>
        <v>-3.1327638621641509</v>
      </c>
      <c r="J361">
        <f t="shared" si="269"/>
        <v>9</v>
      </c>
      <c r="M361">
        <f t="shared" si="270"/>
        <v>5.7424773996876963E-3</v>
      </c>
      <c r="N361">
        <f t="shared" si="271"/>
        <v>-1.5707963250000001</v>
      </c>
      <c r="O361">
        <f t="shared" si="272"/>
        <v>94.529403497001198</v>
      </c>
      <c r="P361">
        <f t="shared" si="273"/>
        <v>1.5602174104419497</v>
      </c>
      <c r="Q361">
        <f t="shared" si="274"/>
        <v>38.607913391775405</v>
      </c>
      <c r="R361">
        <f t="shared" si="275"/>
        <v>1.5448920040826923</v>
      </c>
      <c r="S361">
        <f t="shared" si="276"/>
        <v>0.8961070758674986</v>
      </c>
      <c r="T361">
        <f t="shared" si="277"/>
        <v>-0.45987704618095071</v>
      </c>
      <c r="U361">
        <f t="shared" si="278"/>
        <v>0.79153450107918055</v>
      </c>
      <c r="V361">
        <f t="shared" si="279"/>
        <v>-0.65748044977407094</v>
      </c>
      <c r="X361">
        <f t="shared" si="296"/>
        <v>-16.728669238938721</v>
      </c>
      <c r="Y361">
        <f t="shared" si="280"/>
        <v>-114.94262186520483</v>
      </c>
      <c r="Z361">
        <f t="shared" si="297"/>
        <v>65.057378134795172</v>
      </c>
      <c r="AC361">
        <v>1</v>
      </c>
      <c r="AD361">
        <f t="shared" si="281"/>
        <v>94.524113989494012</v>
      </c>
      <c r="AE361">
        <f t="shared" si="282"/>
        <v>-2.444543946784913E-3</v>
      </c>
      <c r="AF361">
        <f t="shared" si="283"/>
        <v>3.1661976036348001E-3</v>
      </c>
      <c r="AG361">
        <f t="shared" si="315"/>
        <v>18551.644015157508</v>
      </c>
      <c r="AH361">
        <f t="shared" si="316"/>
        <v>-14639.108129875283</v>
      </c>
      <c r="AJ361">
        <f t="shared" si="284"/>
        <v>55000</v>
      </c>
      <c r="AK361">
        <f t="shared" si="285"/>
        <v>27241.260376955626</v>
      </c>
      <c r="AL361">
        <v>1</v>
      </c>
      <c r="AM361">
        <f t="shared" si="286"/>
        <v>38.594960506092377</v>
      </c>
      <c r="AN361">
        <f t="shared" si="317"/>
        <v>742.24937010867768</v>
      </c>
      <c r="AO361">
        <f t="shared" si="318"/>
        <v>-1405.8247480607347</v>
      </c>
      <c r="AQ361">
        <f t="shared" si="287"/>
        <v>2.1074780616320097E-2</v>
      </c>
      <c r="AR361">
        <f t="shared" si="288"/>
        <v>-8.1632108978285061</v>
      </c>
      <c r="AT361">
        <f t="shared" si="313"/>
        <v>-119111.15519259628</v>
      </c>
      <c r="AU361">
        <f t="shared" si="314"/>
        <v>-151749.49858942445</v>
      </c>
      <c r="AV361">
        <f t="shared" si="302"/>
        <v>-2.2362740208251477</v>
      </c>
      <c r="AW361">
        <f t="shared" si="303"/>
        <v>6564.3419924375512</v>
      </c>
      <c r="AX361">
        <f t="shared" si="304"/>
        <v>-29019.132070995867</v>
      </c>
      <c r="AY361">
        <f t="shared" si="312"/>
        <v>-1.3483329752198658</v>
      </c>
      <c r="BA361">
        <f t="shared" si="289"/>
        <v>6.4839605265557614</v>
      </c>
      <c r="BB361">
        <f t="shared" si="305"/>
        <v>16.236807245210002</v>
      </c>
      <c r="BC361">
        <f t="shared" si="306"/>
        <v>-0.88794104560528186</v>
      </c>
      <c r="BD361">
        <f t="shared" si="290"/>
        <v>-230.87527442774947</v>
      </c>
      <c r="BF361">
        <f t="shared" si="291"/>
        <v>-23.935307962822474</v>
      </c>
      <c r="BG361">
        <f t="shared" si="292"/>
        <v>-189.70769207616371</v>
      </c>
      <c r="BH361">
        <f t="shared" si="307"/>
        <v>-9.7076920761637098</v>
      </c>
      <c r="BI361">
        <f t="shared" si="308"/>
        <v>-9.7076920761637098</v>
      </c>
      <c r="BJ361">
        <f t="shared" si="293"/>
        <v>0</v>
      </c>
      <c r="BK361">
        <f t="shared" si="309"/>
        <v>0</v>
      </c>
      <c r="BM361">
        <f t="shared" si="310"/>
        <v>-40.172115208032473</v>
      </c>
      <c r="BN361">
        <f t="shared" si="294"/>
        <v>-138.83241764841424</v>
      </c>
      <c r="BQ361" s="75">
        <f t="shared" si="311"/>
        <v>33.138768045495141</v>
      </c>
      <c r="BR361" s="80"/>
      <c r="BS361" s="80"/>
      <c r="BT361" s="80">
        <v>323593.65700000001</v>
      </c>
      <c r="BU361" s="80">
        <v>15.3347</v>
      </c>
      <c r="BV361" s="80">
        <v>-192.398</v>
      </c>
      <c r="BW361" s="84"/>
      <c r="BY361" s="80"/>
      <c r="BZ361" s="80"/>
      <c r="CA361" s="80"/>
      <c r="CC361" s="80"/>
    </row>
    <row r="362" spans="1:81">
      <c r="A362">
        <f t="shared" si="263"/>
        <v>740000</v>
      </c>
      <c r="B362">
        <f t="shared" si="295"/>
        <v>740</v>
      </c>
      <c r="C362">
        <f t="shared" si="264"/>
        <v>1.3220852937605474</v>
      </c>
      <c r="D362">
        <f t="shared" si="265"/>
        <v>0.71303380682113227</v>
      </c>
      <c r="F362">
        <f t="shared" si="266"/>
        <v>8.1518065392224121E-4</v>
      </c>
      <c r="G362">
        <f t="shared" si="267"/>
        <v>8.7690392066008295E-3</v>
      </c>
      <c r="H362">
        <f t="shared" si="268"/>
        <v>-3.1328236107933995</v>
      </c>
      <c r="J362">
        <f t="shared" si="269"/>
        <v>9</v>
      </c>
      <c r="M362">
        <f t="shared" si="270"/>
        <v>5.7036768767168332E-3</v>
      </c>
      <c r="N362">
        <f t="shared" si="271"/>
        <v>-1.5707963250000001</v>
      </c>
      <c r="O362">
        <f t="shared" si="272"/>
        <v>95.17238894266724</v>
      </c>
      <c r="P362">
        <f t="shared" si="273"/>
        <v>1.5602888843275513</v>
      </c>
      <c r="Q362">
        <f t="shared" si="274"/>
        <v>38.870376653085508</v>
      </c>
      <c r="R362">
        <f t="shared" si="275"/>
        <v>1.5450669557916272</v>
      </c>
      <c r="S362">
        <f t="shared" si="276"/>
        <v>0.89490455891034637</v>
      </c>
      <c r="T362">
        <f t="shared" si="277"/>
        <v>-0.46257903985954979</v>
      </c>
      <c r="U362">
        <f t="shared" si="278"/>
        <v>0.78952434523026405</v>
      </c>
      <c r="V362">
        <f t="shared" si="279"/>
        <v>-0.66076275265559214</v>
      </c>
      <c r="X362">
        <f t="shared" si="296"/>
        <v>-16.796345429277537</v>
      </c>
      <c r="Y362">
        <f t="shared" si="280"/>
        <v>-115.08270324170813</v>
      </c>
      <c r="Z362">
        <f t="shared" si="297"/>
        <v>64.917296758291869</v>
      </c>
      <c r="AC362">
        <v>1</v>
      </c>
      <c r="AD362">
        <f t="shared" si="281"/>
        <v>95.167135173096014</v>
      </c>
      <c r="AE362">
        <f t="shared" si="282"/>
        <v>-2.4779161742966697E-3</v>
      </c>
      <c r="AF362">
        <f t="shared" si="283"/>
        <v>3.1877363628432E-3</v>
      </c>
      <c r="AG362">
        <f t="shared" si="315"/>
        <v>18457.537331820284</v>
      </c>
      <c r="AH362">
        <f t="shared" si="316"/>
        <v>-14661.259581240018</v>
      </c>
      <c r="AJ362">
        <f t="shared" si="284"/>
        <v>55000</v>
      </c>
      <c r="AK362">
        <f t="shared" si="285"/>
        <v>27426.5750733975</v>
      </c>
      <c r="AL362">
        <v>1</v>
      </c>
      <c r="AM362">
        <f t="shared" si="286"/>
        <v>38.857511257834503</v>
      </c>
      <c r="AN362">
        <f t="shared" si="317"/>
        <v>741.75912684620482</v>
      </c>
      <c r="AO362">
        <f t="shared" si="318"/>
        <v>-1396.3385486303932</v>
      </c>
      <c r="AQ362">
        <f t="shared" si="287"/>
        <v>2.0790950292951325E-2</v>
      </c>
      <c r="AR362">
        <f t="shared" si="288"/>
        <v>-8.1080547952451578</v>
      </c>
      <c r="AT362">
        <f t="shared" si="313"/>
        <v>-118490.54631081097</v>
      </c>
      <c r="AU362">
        <f t="shared" si="314"/>
        <v>-149959.54559086758</v>
      </c>
      <c r="AV362">
        <f t="shared" si="302"/>
        <v>-2.2395022934747262</v>
      </c>
      <c r="AW362">
        <f t="shared" si="303"/>
        <v>6629.3905019711492</v>
      </c>
      <c r="AX362">
        <f t="shared" si="304"/>
        <v>-28930.725043208928</v>
      </c>
      <c r="AY362">
        <f t="shared" si="312"/>
        <v>-1.3455381788179268</v>
      </c>
      <c r="BA362">
        <f t="shared" si="289"/>
        <v>6.4393214505714473</v>
      </c>
      <c r="BB362">
        <f t="shared" si="305"/>
        <v>16.176802111796853</v>
      </c>
      <c r="BC362">
        <f t="shared" si="306"/>
        <v>-0.89396411465679937</v>
      </c>
      <c r="BD362">
        <f t="shared" si="290"/>
        <v>-231.22037086451161</v>
      </c>
      <c r="BF362">
        <f t="shared" si="291"/>
        <v>-24.088080925298868</v>
      </c>
      <c r="BG362">
        <f t="shared" si="292"/>
        <v>-189.8641140993349</v>
      </c>
      <c r="BH362">
        <f t="shared" si="307"/>
        <v>-9.8641140993348984</v>
      </c>
      <c r="BI362">
        <f t="shared" si="308"/>
        <v>-9.8641140993348984</v>
      </c>
      <c r="BJ362">
        <f t="shared" si="293"/>
        <v>0</v>
      </c>
      <c r="BK362">
        <f t="shared" si="309"/>
        <v>0</v>
      </c>
      <c r="BM362">
        <f t="shared" si="310"/>
        <v>-40.264883037095728</v>
      </c>
      <c r="BN362">
        <f t="shared" si="294"/>
        <v>-138.64374323482329</v>
      </c>
      <c r="BQ362" s="75">
        <f t="shared" si="311"/>
        <v>33.078762912081991</v>
      </c>
      <c r="BR362" s="80"/>
      <c r="BS362" s="80"/>
      <c r="BT362" s="80">
        <v>331131.12099999998</v>
      </c>
      <c r="BU362" s="80">
        <v>15.331</v>
      </c>
      <c r="BV362" s="80">
        <v>-194.60300000000001</v>
      </c>
      <c r="BW362" s="84"/>
      <c r="BY362" s="80"/>
      <c r="BZ362" s="80"/>
      <c r="CA362" s="80"/>
      <c r="CC362" s="80"/>
    </row>
    <row r="363" spans="1:81">
      <c r="A363">
        <f t="shared" si="263"/>
        <v>745000</v>
      </c>
      <c r="B363">
        <f t="shared" si="295"/>
        <v>745</v>
      </c>
      <c r="C363">
        <f t="shared" si="264"/>
        <v>1.3259149875917318</v>
      </c>
      <c r="D363">
        <f t="shared" si="265"/>
        <v>0.7163672147692236</v>
      </c>
      <c r="F363">
        <f t="shared" si="266"/>
        <v>8.0426698066391605E-4</v>
      </c>
      <c r="G363">
        <f t="shared" si="267"/>
        <v>8.7100944609831334E-3</v>
      </c>
      <c r="H363">
        <f t="shared" si="268"/>
        <v>-3.132882555539017</v>
      </c>
      <c r="J363">
        <f t="shared" si="269"/>
        <v>9</v>
      </c>
      <c r="M363">
        <f t="shared" si="270"/>
        <v>5.665397166134842E-3</v>
      </c>
      <c r="N363">
        <f t="shared" si="271"/>
        <v>-1.5707963250000001</v>
      </c>
      <c r="O363">
        <f t="shared" si="272"/>
        <v>95.81537486799769</v>
      </c>
      <c r="P363">
        <f t="shared" si="273"/>
        <v>1.5603593989373483</v>
      </c>
      <c r="Q363">
        <f t="shared" si="274"/>
        <v>39.132841088184747</v>
      </c>
      <c r="R363">
        <f t="shared" si="275"/>
        <v>1.545239560699361</v>
      </c>
      <c r="S363">
        <f t="shared" si="276"/>
        <v>0.89369876657296488</v>
      </c>
      <c r="T363">
        <f t="shared" si="277"/>
        <v>-0.46527377184762386</v>
      </c>
      <c r="U363">
        <f t="shared" si="278"/>
        <v>0.78751595348083092</v>
      </c>
      <c r="V363">
        <f t="shared" si="279"/>
        <v>-0.66402839152897286</v>
      </c>
      <c r="X363">
        <f t="shared" si="296"/>
        <v>-16.863682188420945</v>
      </c>
      <c r="Y363">
        <f t="shared" si="280"/>
        <v>-115.22266469261776</v>
      </c>
      <c r="Z363">
        <f t="shared" si="297"/>
        <v>64.777335307382245</v>
      </c>
      <c r="AC363">
        <v>1</v>
      </c>
      <c r="AD363">
        <f t="shared" si="281"/>
        <v>95.810156356698016</v>
      </c>
      <c r="AE363">
        <f t="shared" si="282"/>
        <v>-2.5115146541983364E-3</v>
      </c>
      <c r="AF363">
        <f t="shared" si="283"/>
        <v>3.2092751220515999E-3</v>
      </c>
      <c r="AG363">
        <f t="shared" si="315"/>
        <v>18363.752215166296</v>
      </c>
      <c r="AH363">
        <f t="shared" si="316"/>
        <v>-14682.70279187977</v>
      </c>
      <c r="AJ363">
        <f t="shared" si="284"/>
        <v>55000</v>
      </c>
      <c r="AK363">
        <f t="shared" si="285"/>
        <v>27611.889769839378</v>
      </c>
      <c r="AL363">
        <v>1</v>
      </c>
      <c r="AM363">
        <f t="shared" si="286"/>
        <v>39.120062009576628</v>
      </c>
      <c r="AN363">
        <f t="shared" si="317"/>
        <v>741.27871249862721</v>
      </c>
      <c r="AO363">
        <f t="shared" si="318"/>
        <v>-1386.9794294860471</v>
      </c>
      <c r="AQ363">
        <f t="shared" si="287"/>
        <v>2.0512815426118689E-2</v>
      </c>
      <c r="AR363">
        <f t="shared" si="288"/>
        <v>-8.0536390285255877</v>
      </c>
      <c r="AT363">
        <f t="shared" si="313"/>
        <v>-117872.49598920385</v>
      </c>
      <c r="AU363">
        <f t="shared" si="314"/>
        <v>-148196.21512256286</v>
      </c>
      <c r="AV363">
        <f t="shared" si="302"/>
        <v>-2.2427146272504959</v>
      </c>
      <c r="AW363">
        <f t="shared" si="303"/>
        <v>6691.6873675546249</v>
      </c>
      <c r="AX363">
        <f t="shared" si="304"/>
        <v>-28843.210541121116</v>
      </c>
      <c r="AY363">
        <f t="shared" si="312"/>
        <v>-1.3428271980360085</v>
      </c>
      <c r="BA363">
        <f t="shared" si="289"/>
        <v>6.3951882513567675</v>
      </c>
      <c r="BB363">
        <f t="shared" si="305"/>
        <v>16.117066661429135</v>
      </c>
      <c r="BC363">
        <f t="shared" si="306"/>
        <v>-0.89988742921448739</v>
      </c>
      <c r="BD363">
        <f t="shared" si="290"/>
        <v>-231.55975178978335</v>
      </c>
      <c r="BF363">
        <f t="shared" si="291"/>
        <v>-24.239764774842342</v>
      </c>
      <c r="BG363">
        <f t="shared" si="292"/>
        <v>-190.01588210271962</v>
      </c>
      <c r="BH363">
        <f t="shared" si="307"/>
        <v>-10.015882102719615</v>
      </c>
      <c r="BI363">
        <f t="shared" si="308"/>
        <v>-10.015882102719615</v>
      </c>
      <c r="BJ363">
        <f t="shared" si="293"/>
        <v>0</v>
      </c>
      <c r="BK363">
        <f t="shared" si="309"/>
        <v>0</v>
      </c>
      <c r="BM363">
        <f t="shared" si="310"/>
        <v>-40.35683143627147</v>
      </c>
      <c r="BN363">
        <f t="shared" si="294"/>
        <v>-138.45613031293627</v>
      </c>
      <c r="BQ363" s="75">
        <f t="shared" si="311"/>
        <v>33.019027461714273</v>
      </c>
      <c r="BR363" s="80"/>
      <c r="BS363" s="80"/>
      <c r="BT363" s="80">
        <v>338844.15600000002</v>
      </c>
      <c r="BU363" s="80">
        <v>15.2844</v>
      </c>
      <c r="BV363" s="80">
        <v>-197.85300000000001</v>
      </c>
      <c r="BW363" s="84"/>
      <c r="BY363" s="80"/>
      <c r="BZ363" s="80"/>
      <c r="CA363" s="80"/>
      <c r="CC363" s="80"/>
    </row>
    <row r="364" spans="1:81">
      <c r="A364">
        <f t="shared" ref="A364:A427" si="319">A363+5000</f>
        <v>750000</v>
      </c>
      <c r="B364">
        <f t="shared" si="295"/>
        <v>750</v>
      </c>
      <c r="C364">
        <f t="shared" si="264"/>
        <v>1.3297593295139789</v>
      </c>
      <c r="D364">
        <f t="shared" si="265"/>
        <v>0.71968138556278916</v>
      </c>
      <c r="F364">
        <f t="shared" si="266"/>
        <v>7.9357107285347702E-4</v>
      </c>
      <c r="G364">
        <f t="shared" si="267"/>
        <v>8.6519374714015256E-3</v>
      </c>
      <c r="H364">
        <f t="shared" si="268"/>
        <v>-3.1329407125285988</v>
      </c>
      <c r="J364">
        <f t="shared" si="269"/>
        <v>9</v>
      </c>
      <c r="M364">
        <f t="shared" si="270"/>
        <v>5.6276278516939424E-3</v>
      </c>
      <c r="N364">
        <f t="shared" si="271"/>
        <v>-1.5707963250000001</v>
      </c>
      <c r="O364">
        <f t="shared" si="272"/>
        <v>96.458361263400263</v>
      </c>
      <c r="P364">
        <f t="shared" si="273"/>
        <v>1.5604289734540795</v>
      </c>
      <c r="Q364">
        <f t="shared" si="274"/>
        <v>39.395306673612616</v>
      </c>
      <c r="R364">
        <f t="shared" si="275"/>
        <v>1.545409865701185</v>
      </c>
      <c r="S364">
        <f t="shared" si="276"/>
        <v>0.89248976450617734</v>
      </c>
      <c r="T364">
        <f t="shared" si="277"/>
        <v>-0.46796123240172438</v>
      </c>
      <c r="U364">
        <f t="shared" si="278"/>
        <v>0.78550944042222015</v>
      </c>
      <c r="V364">
        <f t="shared" si="279"/>
        <v>-0.66727742385241451</v>
      </c>
      <c r="X364">
        <f t="shared" si="296"/>
        <v>-16.930684553523612</v>
      </c>
      <c r="Y364">
        <f t="shared" si="280"/>
        <v>-115.36250074676077</v>
      </c>
      <c r="Z364">
        <f t="shared" si="297"/>
        <v>64.637499253239227</v>
      </c>
      <c r="AC364">
        <v>1</v>
      </c>
      <c r="AD364">
        <f t="shared" si="281"/>
        <v>96.453177540300018</v>
      </c>
      <c r="AE364">
        <f t="shared" si="282"/>
        <v>-2.5453393864899136E-3</v>
      </c>
      <c r="AF364">
        <f t="shared" si="283"/>
        <v>3.2308138812600002E-3</v>
      </c>
      <c r="AG364">
        <f t="shared" si="315"/>
        <v>18270.293366336686</v>
      </c>
      <c r="AH364">
        <f t="shared" si="316"/>
        <v>-14703.44595942364</v>
      </c>
      <c r="AJ364">
        <f t="shared" si="284"/>
        <v>55000</v>
      </c>
      <c r="AK364">
        <f t="shared" si="285"/>
        <v>27797.204466281251</v>
      </c>
      <c r="AL364">
        <v>1</v>
      </c>
      <c r="AM364">
        <f t="shared" si="286"/>
        <v>39.382612761318754</v>
      </c>
      <c r="AN364">
        <f t="shared" si="317"/>
        <v>740.80786611965277</v>
      </c>
      <c r="AO364">
        <f t="shared" si="318"/>
        <v>-1377.7448556479021</v>
      </c>
      <c r="AQ364">
        <f t="shared" si="287"/>
        <v>2.0240224646010104E-2</v>
      </c>
      <c r="AR364">
        <f t="shared" si="288"/>
        <v>-7.9999487913354939</v>
      </c>
      <c r="AT364">
        <f t="shared" si="313"/>
        <v>-117257.01988947473</v>
      </c>
      <c r="AU364">
        <f t="shared" si="314"/>
        <v>-146459.01238265925</v>
      </c>
      <c r="AV364">
        <f t="shared" si="302"/>
        <v>-2.2459110651107084</v>
      </c>
      <c r="AW364">
        <f t="shared" si="303"/>
        <v>6751.3178776466657</v>
      </c>
      <c r="AX364">
        <f t="shared" si="304"/>
        <v>-28756.562928269756</v>
      </c>
      <c r="AY364">
        <f t="shared" si="312"/>
        <v>-1.3401977396326012</v>
      </c>
      <c r="BA364">
        <f t="shared" si="289"/>
        <v>6.3515569848175044</v>
      </c>
      <c r="BB364">
        <f t="shared" si="305"/>
        <v>16.057603976797584</v>
      </c>
      <c r="BC364">
        <f t="shared" si="306"/>
        <v>-0.90571332547810712</v>
      </c>
      <c r="BD364">
        <f t="shared" si="290"/>
        <v>-231.89355105795121</v>
      </c>
      <c r="BF364">
        <f t="shared" si="291"/>
        <v>-24.390368342847641</v>
      </c>
      <c r="BG364">
        <f t="shared" si="292"/>
        <v>-190.16312552166968</v>
      </c>
      <c r="BH364">
        <f t="shared" si="307"/>
        <v>-10.163125521669684</v>
      </c>
      <c r="BI364">
        <f t="shared" si="308"/>
        <v>-10.163125521669684</v>
      </c>
      <c r="BJ364">
        <f t="shared" si="293"/>
        <v>0</v>
      </c>
      <c r="BK364">
        <f t="shared" si="309"/>
        <v>0</v>
      </c>
      <c r="BM364">
        <f t="shared" si="310"/>
        <v>-40.447972319645224</v>
      </c>
      <c r="BN364">
        <f t="shared" si="294"/>
        <v>-138.2695744637185</v>
      </c>
      <c r="BQ364" s="75">
        <f t="shared" si="311"/>
        <v>32.959564777082718</v>
      </c>
      <c r="BR364" s="80"/>
      <c r="BS364" s="80"/>
      <c r="BT364" s="80">
        <v>346736.85</v>
      </c>
      <c r="BU364" s="80">
        <v>15.295400000000001</v>
      </c>
      <c r="BV364" s="80">
        <v>-200.482</v>
      </c>
      <c r="BW364" s="84"/>
      <c r="BY364" s="80"/>
      <c r="BZ364" s="80"/>
      <c r="CA364" s="80"/>
      <c r="CC364" s="80"/>
    </row>
    <row r="365" spans="1:81">
      <c r="A365">
        <f t="shared" si="319"/>
        <v>755000</v>
      </c>
      <c r="B365">
        <f t="shared" si="295"/>
        <v>755</v>
      </c>
      <c r="C365">
        <f t="shared" si="264"/>
        <v>1.3336181928517501</v>
      </c>
      <c r="D365">
        <f t="shared" si="265"/>
        <v>0.72297641307330029</v>
      </c>
      <c r="F365">
        <f t="shared" si="266"/>
        <v>7.8308717380672294E-4</v>
      </c>
      <c r="G365">
        <f t="shared" si="267"/>
        <v>8.5945525391212529E-3</v>
      </c>
      <c r="H365">
        <f t="shared" si="268"/>
        <v>-3.1329980974608791</v>
      </c>
      <c r="J365">
        <f t="shared" si="269"/>
        <v>9</v>
      </c>
      <c r="M365">
        <f t="shared" si="270"/>
        <v>5.5903587930734525E-3</v>
      </c>
      <c r="N365">
        <f t="shared" si="271"/>
        <v>-1.5707963250000001</v>
      </c>
      <c r="O365">
        <f t="shared" si="272"/>
        <v>97.101348119536794</v>
      </c>
      <c r="P365">
        <f t="shared" si="273"/>
        <v>1.5604976265524231</v>
      </c>
      <c r="Q365">
        <f t="shared" si="274"/>
        <v>39.657773386529577</v>
      </c>
      <c r="R365">
        <f t="shared" si="275"/>
        <v>1.5455779164514651</v>
      </c>
      <c r="S365">
        <f t="shared" si="276"/>
        <v>0.89127761800356864</v>
      </c>
      <c r="T365">
        <f t="shared" si="277"/>
        <v>-0.47064141225104994</v>
      </c>
      <c r="U365">
        <f t="shared" si="278"/>
        <v>0.78350491833252311</v>
      </c>
      <c r="V365">
        <f t="shared" si="279"/>
        <v>-0.67050990790366394</v>
      </c>
      <c r="X365">
        <f t="shared" si="296"/>
        <v>-16.99735744936126</v>
      </c>
      <c r="Y365">
        <f t="shared" si="280"/>
        <v>-115.50220604727755</v>
      </c>
      <c r="Z365">
        <f t="shared" si="297"/>
        <v>64.497793952722446</v>
      </c>
      <c r="AC365">
        <v>1</v>
      </c>
      <c r="AD365">
        <f t="shared" si="281"/>
        <v>97.096198723902006</v>
      </c>
      <c r="AE365">
        <f t="shared" si="282"/>
        <v>-2.5793903711714009E-3</v>
      </c>
      <c r="AF365">
        <f t="shared" si="283"/>
        <v>3.2523526404684001E-3</v>
      </c>
      <c r="AG365">
        <f t="shared" si="315"/>
        <v>18177.165325274967</v>
      </c>
      <c r="AH365">
        <f t="shared" si="316"/>
        <v>-14723.49726759901</v>
      </c>
      <c r="AJ365">
        <f t="shared" si="284"/>
        <v>55000</v>
      </c>
      <c r="AK365">
        <f t="shared" si="285"/>
        <v>27982.519162723129</v>
      </c>
      <c r="AL365">
        <v>1</v>
      </c>
      <c r="AM365">
        <f t="shared" si="286"/>
        <v>39.645163513060879</v>
      </c>
      <c r="AN365">
        <f t="shared" si="317"/>
        <v>740.34633536382216</v>
      </c>
      <c r="AO365">
        <f t="shared" si="318"/>
        <v>-1368.6323590710035</v>
      </c>
      <c r="AQ365">
        <f t="shared" si="287"/>
        <v>1.997303157834247E-2</v>
      </c>
      <c r="AR365">
        <f t="shared" si="288"/>
        <v>-7.9469696695487944</v>
      </c>
      <c r="AT365">
        <f t="shared" si="313"/>
        <v>-116644.13311824741</v>
      </c>
      <c r="AU365">
        <f t="shared" si="314"/>
        <v>-144747.45439420361</v>
      </c>
      <c r="AV365">
        <f t="shared" si="302"/>
        <v>-2.2490916512171757</v>
      </c>
      <c r="AW365">
        <f t="shared" si="303"/>
        <v>6808.3645041933987</v>
      </c>
      <c r="AX365">
        <f t="shared" si="304"/>
        <v>-28670.757509515672</v>
      </c>
      <c r="AY365">
        <f t="shared" si="312"/>
        <v>-1.3376475751530443</v>
      </c>
      <c r="BA365">
        <f t="shared" si="289"/>
        <v>6.3084234731949831</v>
      </c>
      <c r="BB365">
        <f t="shared" si="305"/>
        <v>15.998416780958589</v>
      </c>
      <c r="BC365">
        <f t="shared" si="306"/>
        <v>-0.91144407606413136</v>
      </c>
      <c r="BD365">
        <f t="shared" si="290"/>
        <v>-232.22189888034774</v>
      </c>
      <c r="BF365">
        <f t="shared" si="291"/>
        <v>-24.53990058830156</v>
      </c>
      <c r="BG365">
        <f t="shared" si="292"/>
        <v>-190.30597008854977</v>
      </c>
      <c r="BH365">
        <f t="shared" si="307"/>
        <v>-10.30597008854977</v>
      </c>
      <c r="BI365">
        <f t="shared" si="308"/>
        <v>-10.30597008854977</v>
      </c>
      <c r="BJ365">
        <f t="shared" si="293"/>
        <v>0</v>
      </c>
      <c r="BK365">
        <f t="shared" si="309"/>
        <v>0</v>
      </c>
      <c r="BM365">
        <f t="shared" si="310"/>
        <v>-40.538317369260149</v>
      </c>
      <c r="BN365">
        <f t="shared" si="294"/>
        <v>-138.08407120820206</v>
      </c>
      <c r="BQ365" s="75">
        <f t="shared" si="311"/>
        <v>32.900377581243724</v>
      </c>
      <c r="BR365" s="80"/>
      <c r="BS365" s="80"/>
      <c r="BT365" s="80">
        <v>354813.38900000002</v>
      </c>
      <c r="BU365" s="80">
        <v>15.3028</v>
      </c>
      <c r="BV365" s="80">
        <v>-203.33199999999999</v>
      </c>
      <c r="BW365" s="84"/>
      <c r="BY365" s="80"/>
      <c r="BZ365" s="80"/>
      <c r="CA365" s="80"/>
      <c r="CC365" s="80"/>
    </row>
    <row r="366" spans="1:81">
      <c r="A366">
        <f t="shared" si="319"/>
        <v>760000</v>
      </c>
      <c r="B366">
        <f t="shared" si="295"/>
        <v>760</v>
      </c>
      <c r="C366">
        <f t="shared" si="264"/>
        <v>1.3374914519156691</v>
      </c>
      <c r="D366">
        <f t="shared" si="265"/>
        <v>0.7262523917537056</v>
      </c>
      <c r="F366">
        <f t="shared" si="266"/>
        <v>7.7280971586011398E-4</v>
      </c>
      <c r="G366">
        <f t="shared" si="267"/>
        <v>8.5379243800962866E-3</v>
      </c>
      <c r="H366">
        <f t="shared" si="268"/>
        <v>-3.1330547256199037</v>
      </c>
      <c r="J366">
        <f t="shared" si="269"/>
        <v>9</v>
      </c>
      <c r="M366">
        <f t="shared" si="270"/>
        <v>5.5535801168032327E-3</v>
      </c>
      <c r="N366">
        <f t="shared" si="271"/>
        <v>-1.5707963250000001</v>
      </c>
      <c r="O366">
        <f t="shared" si="272"/>
        <v>97.744335427314823</v>
      </c>
      <c r="P366">
        <f t="shared" si="273"/>
        <v>1.5605653764157044</v>
      </c>
      <c r="Q366">
        <f t="shared" si="274"/>
        <v>39.920241204696666</v>
      </c>
      <c r="R366">
        <f t="shared" si="275"/>
        <v>1.5457437574044108</v>
      </c>
      <c r="S366">
        <f t="shared" si="276"/>
        <v>0.8900623919964088</v>
      </c>
      <c r="T366">
        <f t="shared" si="277"/>
        <v>-0.47331430259335749</v>
      </c>
      <c r="U366">
        <f t="shared" si="278"/>
        <v>0.78150249719878373</v>
      </c>
      <c r="V366">
        <f t="shared" si="279"/>
        <v>-0.67372590275164468</v>
      </c>
      <c r="X366">
        <f t="shared" si="296"/>
        <v>-17.063705691358393</v>
      </c>
      <c r="Y366">
        <f t="shared" si="280"/>
        <v>-115.64177534932651</v>
      </c>
      <c r="Z366">
        <f t="shared" si="297"/>
        <v>64.358224650673492</v>
      </c>
      <c r="AC366">
        <v>1</v>
      </c>
      <c r="AD366">
        <f t="shared" si="281"/>
        <v>97.739219907504008</v>
      </c>
      <c r="AE366">
        <f t="shared" si="282"/>
        <v>-2.6136676082427986E-3</v>
      </c>
      <c r="AF366">
        <f t="shared" si="283"/>
        <v>3.2738913996768E-3</v>
      </c>
      <c r="AG366">
        <f t="shared" si="315"/>
        <v>18084.372473257477</v>
      </c>
      <c r="AH366">
        <f t="shared" si="316"/>
        <v>-14742.864883519247</v>
      </c>
      <c r="AJ366">
        <f t="shared" si="284"/>
        <v>55000</v>
      </c>
      <c r="AK366">
        <f t="shared" si="285"/>
        <v>28167.833859165003</v>
      </c>
      <c r="AL366">
        <v>1</v>
      </c>
      <c r="AM366">
        <f t="shared" si="286"/>
        <v>39.907714264803005</v>
      </c>
      <c r="AN366">
        <f t="shared" si="317"/>
        <v>739.89387614862574</v>
      </c>
      <c r="AO366">
        <f t="shared" si="318"/>
        <v>-1359.6395364518935</v>
      </c>
      <c r="AQ366">
        <f t="shared" si="287"/>
        <v>1.9711094647824157E-2</v>
      </c>
      <c r="AR366">
        <f t="shared" si="288"/>
        <v>-7.8946876283465306</v>
      </c>
      <c r="AT366">
        <f t="shared" si="313"/>
        <v>-116033.85022483704</v>
      </c>
      <c r="AU366">
        <f t="shared" si="314"/>
        <v>-143061.06963613548</v>
      </c>
      <c r="AV366">
        <f t="shared" si="302"/>
        <v>-2.2522564308942732</v>
      </c>
      <c r="AW366">
        <f t="shared" si="303"/>
        <v>6862.9070097400536</v>
      </c>
      <c r="AX366">
        <f t="shared" si="304"/>
        <v>-28585.770494250955</v>
      </c>
      <c r="AY366">
        <f t="shared" si="312"/>
        <v>-1.3351745392324961</v>
      </c>
      <c r="BA366">
        <f t="shared" si="289"/>
        <v>6.2657833307606152</v>
      </c>
      <c r="BB366">
        <f t="shared" si="305"/>
        <v>15.939507460189208</v>
      </c>
      <c r="BC366">
        <f t="shared" si="306"/>
        <v>-0.91708189166177712</v>
      </c>
      <c r="BD366">
        <f t="shared" si="290"/>
        <v>-232.54492192013495</v>
      </c>
      <c r="BF366">
        <f t="shared" si="291"/>
        <v>-24.688370580725419</v>
      </c>
      <c r="BG366">
        <f t="shared" si="292"/>
        <v>-190.44453793047788</v>
      </c>
      <c r="BH366">
        <f t="shared" si="307"/>
        <v>-10.444537930477878</v>
      </c>
      <c r="BI366">
        <f t="shared" si="308"/>
        <v>-10.444537930477878</v>
      </c>
      <c r="BJ366">
        <f t="shared" si="293"/>
        <v>0</v>
      </c>
      <c r="BK366">
        <f t="shared" si="309"/>
        <v>0</v>
      </c>
      <c r="BM366">
        <f t="shared" si="310"/>
        <v>-40.627878040914631</v>
      </c>
      <c r="BN366">
        <f t="shared" si="294"/>
        <v>-137.89961601034292</v>
      </c>
      <c r="BQ366" s="75">
        <f t="shared" si="311"/>
        <v>32.841468260474343</v>
      </c>
      <c r="BR366" s="80"/>
      <c r="BS366" s="80"/>
      <c r="BT366" s="80">
        <v>363078.05499999999</v>
      </c>
      <c r="BU366" s="80">
        <v>15.049200000000001</v>
      </c>
      <c r="BV366" s="80">
        <v>-205.19499999999999</v>
      </c>
      <c r="BW366" s="84"/>
      <c r="BY366" s="80"/>
      <c r="BZ366" s="80"/>
      <c r="CA366" s="80"/>
      <c r="CC366" s="80"/>
    </row>
    <row r="367" spans="1:81">
      <c r="A367">
        <f t="shared" si="319"/>
        <v>765000</v>
      </c>
      <c r="B367">
        <f t="shared" si="295"/>
        <v>765</v>
      </c>
      <c r="C367">
        <f t="shared" si="264"/>
        <v>1.3413789820018864</v>
      </c>
      <c r="D367">
        <f t="shared" si="265"/>
        <v>0.7295094166035353</v>
      </c>
      <c r="F367">
        <f t="shared" si="266"/>
        <v>7.6273331296982272E-4</v>
      </c>
      <c r="G367">
        <f t="shared" si="267"/>
        <v>8.4820381113565671E-3</v>
      </c>
      <c r="H367">
        <f t="shared" si="268"/>
        <v>-3.1331106118886436</v>
      </c>
      <c r="J367">
        <f t="shared" si="269"/>
        <v>9</v>
      </c>
      <c r="M367">
        <f t="shared" si="270"/>
        <v>5.5172822075430809E-3</v>
      </c>
      <c r="N367">
        <f t="shared" si="271"/>
        <v>-1.5707963250000001</v>
      </c>
      <c r="O367">
        <f t="shared" si="272"/>
        <v>98.387323177879537</v>
      </c>
      <c r="P367">
        <f t="shared" si="273"/>
        <v>1.5606322407519513</v>
      </c>
      <c r="Q367">
        <f t="shared" si="274"/>
        <v>40.182710106455851</v>
      </c>
      <c r="R367">
        <f t="shared" si="275"/>
        <v>1.5459074318532451</v>
      </c>
      <c r="S367">
        <f t="shared" si="276"/>
        <v>0.88884415104873415</v>
      </c>
      <c r="T367">
        <f t="shared" si="277"/>
        <v>-0.47597989509084415</v>
      </c>
      <c r="U367">
        <f t="shared" si="278"/>
        <v>0.77950228473954541</v>
      </c>
      <c r="V367">
        <f t="shared" si="279"/>
        <v>-0.67692546822853783</v>
      </c>
      <c r="X367">
        <f t="shared" si="296"/>
        <v>-17.129733988518872</v>
      </c>
      <c r="Y367">
        <f t="shared" si="280"/>
        <v>-115.78120351786309</v>
      </c>
      <c r="Z367">
        <f t="shared" si="297"/>
        <v>64.218796482136909</v>
      </c>
      <c r="AC367">
        <v>1</v>
      </c>
      <c r="AD367">
        <f t="shared" si="281"/>
        <v>98.38224109110601</v>
      </c>
      <c r="AE367">
        <f t="shared" si="282"/>
        <v>-2.6481710977041065E-3</v>
      </c>
      <c r="AF367">
        <f t="shared" si="283"/>
        <v>3.2954301588851999E-3</v>
      </c>
      <c r="AG367">
        <f t="shared" si="315"/>
        <v>17991.919035427189</v>
      </c>
      <c r="AH367">
        <f t="shared" si="316"/>
        <v>-14761.556955073451</v>
      </c>
      <c r="AJ367">
        <f t="shared" si="284"/>
        <v>55000</v>
      </c>
      <c r="AK367">
        <f t="shared" si="285"/>
        <v>28353.148555606876</v>
      </c>
      <c r="AL367">
        <v>1</v>
      </c>
      <c r="AM367">
        <f t="shared" si="286"/>
        <v>40.17026501654513</v>
      </c>
      <c r="AN367">
        <f t="shared" si="317"/>
        <v>739.45025233200454</v>
      </c>
      <c r="AO367">
        <f t="shared" si="318"/>
        <v>-1350.7640471209097</v>
      </c>
      <c r="AQ367">
        <f t="shared" si="287"/>
        <v>1.9454276890579755E-2</v>
      </c>
      <c r="AR367">
        <f t="shared" si="288"/>
        <v>-7.8430889998216813</v>
      </c>
      <c r="AT367">
        <f t="shared" si="313"/>
        <v>-115426.18519986972</v>
      </c>
      <c r="AU367">
        <f t="shared" si="314"/>
        <v>-141399.39768878135</v>
      </c>
      <c r="AV367">
        <f t="shared" si="302"/>
        <v>-2.2554054505888859</v>
      </c>
      <c r="AW367">
        <f t="shared" si="303"/>
        <v>6915.0225497769516</v>
      </c>
      <c r="AX367">
        <f t="shared" si="304"/>
        <v>-28501.578961176467</v>
      </c>
      <c r="AY367">
        <f t="shared" si="312"/>
        <v>-1.3327765279176698</v>
      </c>
      <c r="BA367">
        <f t="shared" si="289"/>
        <v>6.2236319875721167</v>
      </c>
      <c r="BB367">
        <f t="shared" si="305"/>
        <v>15.880878085506771</v>
      </c>
      <c r="BC367">
        <f t="shared" si="306"/>
        <v>-0.9226289226712161</v>
      </c>
      <c r="BD367">
        <f t="shared" si="290"/>
        <v>-232.86274338616715</v>
      </c>
      <c r="BF367">
        <f t="shared" si="291"/>
        <v>-24.835787484269893</v>
      </c>
      <c r="BG367">
        <f t="shared" si="292"/>
        <v>-190.57894766596755</v>
      </c>
      <c r="BH367">
        <f t="shared" si="307"/>
        <v>-10.578947665967547</v>
      </c>
      <c r="BI367">
        <f t="shared" si="308"/>
        <v>-10.578947665967547</v>
      </c>
      <c r="BJ367">
        <f t="shared" si="293"/>
        <v>0</v>
      </c>
      <c r="BK367">
        <f t="shared" si="309"/>
        <v>0</v>
      </c>
      <c r="BM367">
        <f t="shared" si="310"/>
        <v>-40.716665569776666</v>
      </c>
      <c r="BN367">
        <f t="shared" si="294"/>
        <v>-137.71620427980039</v>
      </c>
      <c r="BQ367" s="75">
        <f t="shared" si="311"/>
        <v>32.782838885791904</v>
      </c>
      <c r="BR367" s="80"/>
      <c r="BS367" s="80"/>
      <c r="BT367" s="80">
        <v>371535.22899999999</v>
      </c>
      <c r="BU367" s="80">
        <v>14.9002</v>
      </c>
      <c r="BV367" s="80">
        <v>-207.41</v>
      </c>
      <c r="BW367" s="84"/>
      <c r="BY367" s="80"/>
      <c r="BZ367" s="80"/>
      <c r="CA367" s="80"/>
      <c r="CC367" s="80"/>
    </row>
    <row r="368" spans="1:81">
      <c r="A368">
        <f t="shared" si="319"/>
        <v>770000</v>
      </c>
      <c r="B368">
        <f t="shared" si="295"/>
        <v>770</v>
      </c>
      <c r="C368">
        <f t="shared" si="264"/>
        <v>1.3452806593911792</v>
      </c>
      <c r="D368">
        <f t="shared" si="265"/>
        <v>0.73274758313479571</v>
      </c>
      <c r="F368">
        <f t="shared" si="266"/>
        <v>7.5285275364674834E-4</v>
      </c>
      <c r="G368">
        <f t="shared" si="267"/>
        <v>8.4268792379283454E-3</v>
      </c>
      <c r="H368">
        <f t="shared" si="268"/>
        <v>-3.1331657707620719</v>
      </c>
      <c r="J368">
        <f t="shared" si="269"/>
        <v>9</v>
      </c>
      <c r="M368">
        <f t="shared" si="270"/>
        <v>5.4814556997018924E-3</v>
      </c>
      <c r="N368">
        <f t="shared" si="271"/>
        <v>-1.5707963250000001</v>
      </c>
      <c r="O368">
        <f t="shared" si="272"/>
        <v>99.030311362606113</v>
      </c>
      <c r="P368">
        <f t="shared" si="273"/>
        <v>1.5606982368093218</v>
      </c>
      <c r="Q368">
        <f t="shared" si="274"/>
        <v>40.445180070711253</v>
      </c>
      <c r="R368">
        <f t="shared" si="275"/>
        <v>1.546068981967853</v>
      </c>
      <c r="S368">
        <f t="shared" si="276"/>
        <v>0.88762295935258184</v>
      </c>
      <c r="T368">
        <f t="shared" si="277"/>
        <v>-0.47863818186600204</v>
      </c>
      <c r="U368">
        <f t="shared" si="278"/>
        <v>0.77750438642772013</v>
      </c>
      <c r="V368">
        <f t="shared" si="279"/>
        <v>-0.68010866490231159</v>
      </c>
      <c r="X368">
        <f t="shared" si="296"/>
        <v>-17.195446946263086</v>
      </c>
      <c r="Y368">
        <f t="shared" si="280"/>
        <v>-115.92048552549126</v>
      </c>
      <c r="Z368">
        <f t="shared" si="297"/>
        <v>64.079514474508741</v>
      </c>
      <c r="AC368">
        <v>1</v>
      </c>
      <c r="AD368">
        <f t="shared" si="281"/>
        <v>99.025262274708012</v>
      </c>
      <c r="AE368">
        <f t="shared" si="282"/>
        <v>-2.6829008395553235E-3</v>
      </c>
      <c r="AF368">
        <f t="shared" si="283"/>
        <v>3.3169689180935998E-3</v>
      </c>
      <c r="AG368">
        <f t="shared" si="315"/>
        <v>17899.809083329143</v>
      </c>
      <c r="AH368">
        <f t="shared" si="316"/>
        <v>-14779.58160841602</v>
      </c>
      <c r="AJ368">
        <f t="shared" si="284"/>
        <v>55000</v>
      </c>
      <c r="AK368">
        <f t="shared" si="285"/>
        <v>28538.463252048754</v>
      </c>
      <c r="AL368">
        <v>1</v>
      </c>
      <c r="AM368">
        <f t="shared" si="286"/>
        <v>40.432815768287256</v>
      </c>
      <c r="AN368">
        <f t="shared" si="317"/>
        <v>739.01523540443566</v>
      </c>
      <c r="AO368">
        <f t="shared" si="318"/>
        <v>-1342.0036110162325</v>
      </c>
      <c r="AQ368">
        <f t="shared" si="287"/>
        <v>1.920244577507299E-2</v>
      </c>
      <c r="AR368">
        <f t="shared" si="288"/>
        <v>-7.792160471066869</v>
      </c>
      <c r="AT368">
        <f t="shared" si="313"/>
        <v>-114821.15147469942</v>
      </c>
      <c r="AU368">
        <f t="shared" si="314"/>
        <v>-139761.98889317492</v>
      </c>
      <c r="AV368">
        <f t="shared" si="302"/>
        <v>-2.2585387578312788</v>
      </c>
      <c r="AW368">
        <f t="shared" si="303"/>
        <v>6964.785770564652</v>
      </c>
      <c r="AX368">
        <f t="shared" si="304"/>
        <v>-28418.16082457333</v>
      </c>
      <c r="AY368">
        <f t="shared" si="312"/>
        <v>-1.3304514970103936</v>
      </c>
      <c r="BA368">
        <f t="shared" si="289"/>
        <v>6.1819647114224665</v>
      </c>
      <c r="BB368">
        <f t="shared" si="305"/>
        <v>15.822530432927351</v>
      </c>
      <c r="BC368">
        <f t="shared" si="306"/>
        <v>-0.92808726082088522</v>
      </c>
      <c r="BD368">
        <f t="shared" si="290"/>
        <v>-233.17548312565583</v>
      </c>
      <c r="BF368">
        <f t="shared" si="291"/>
        <v>-24.982160542894842</v>
      </c>
      <c r="BG368">
        <f t="shared" si="292"/>
        <v>-190.70931450029619</v>
      </c>
      <c r="BH368">
        <f t="shared" si="307"/>
        <v>-10.709314500296188</v>
      </c>
      <c r="BI368">
        <f t="shared" si="308"/>
        <v>-10.709314500296188</v>
      </c>
      <c r="BJ368">
        <f t="shared" si="293"/>
        <v>0</v>
      </c>
      <c r="BK368">
        <f t="shared" si="309"/>
        <v>0</v>
      </c>
      <c r="BM368">
        <f t="shared" si="310"/>
        <v>-40.804690975822197</v>
      </c>
      <c r="BN368">
        <f t="shared" si="294"/>
        <v>-137.53383137464041</v>
      </c>
      <c r="BQ368" s="75">
        <f t="shared" si="311"/>
        <v>32.72449123321249</v>
      </c>
      <c r="BR368" s="80"/>
      <c r="BS368" s="80"/>
      <c r="BT368" s="80">
        <v>380189.39600000001</v>
      </c>
      <c r="BU368" s="80">
        <v>14.938000000000001</v>
      </c>
      <c r="BV368" s="80">
        <v>-210.39400000000001</v>
      </c>
      <c r="BW368" s="84"/>
      <c r="BY368" s="80"/>
      <c r="BZ368" s="80"/>
      <c r="CA368" s="80"/>
      <c r="CC368" s="80"/>
    </row>
    <row r="369" spans="1:81">
      <c r="A369">
        <f t="shared" si="319"/>
        <v>775000</v>
      </c>
      <c r="B369">
        <f t="shared" si="295"/>
        <v>775</v>
      </c>
      <c r="C369">
        <f t="shared" si="264"/>
        <v>1.3491963613477953</v>
      </c>
      <c r="D369">
        <f t="shared" si="265"/>
        <v>0.73596698733864663</v>
      </c>
      <c r="F369">
        <f t="shared" si="266"/>
        <v>7.4316299421016755E-4</v>
      </c>
      <c r="G369">
        <f t="shared" si="267"/>
        <v>8.3724336402634398E-3</v>
      </c>
      <c r="H369">
        <f t="shared" si="268"/>
        <v>-3.1332202163597369</v>
      </c>
      <c r="J369">
        <f t="shared" si="269"/>
        <v>9</v>
      </c>
      <c r="M369">
        <f t="shared" si="270"/>
        <v>5.4460914693812345E-3</v>
      </c>
      <c r="N369">
        <f t="shared" si="271"/>
        <v>-1.5707963250000001</v>
      </c>
      <c r="O369">
        <f t="shared" si="272"/>
        <v>99.673299973092284</v>
      </c>
      <c r="P369">
        <f t="shared" si="273"/>
        <v>1.5607633813909363</v>
      </c>
      <c r="Q369">
        <f t="shared" si="274"/>
        <v>40.707651076910942</v>
      </c>
      <c r="R369">
        <f t="shared" si="275"/>
        <v>1.5462284488309732</v>
      </c>
      <c r="S369">
        <f t="shared" si="276"/>
        <v>0.88639888072338047</v>
      </c>
      <c r="T369">
        <f t="shared" si="277"/>
        <v>-0.48128915549744616</v>
      </c>
      <c r="U369">
        <f t="shared" si="278"/>
        <v>0.77550890551375351</v>
      </c>
      <c r="V369">
        <f t="shared" si="279"/>
        <v>-0.68327555404970208</v>
      </c>
      <c r="X369">
        <f t="shared" si="296"/>
        <v>-17.260849069175478</v>
      </c>
      <c r="Y369">
        <f t="shared" si="280"/>
        <v>-116.05961645038199</v>
      </c>
      <c r="Z369">
        <f t="shared" si="297"/>
        <v>63.940383549618005</v>
      </c>
      <c r="AC369">
        <v>1</v>
      </c>
      <c r="AD369">
        <f t="shared" si="281"/>
        <v>99.668283458310015</v>
      </c>
      <c r="AE369">
        <f t="shared" si="282"/>
        <v>-2.7178568337964519E-3</v>
      </c>
      <c r="AF369">
        <f t="shared" si="283"/>
        <v>3.3385076773020006E-3</v>
      </c>
      <c r="AG369">
        <f t="shared" si="315"/>
        <v>17808.046537445534</v>
      </c>
      <c r="AH369">
        <f t="shared" si="316"/>
        <v>-14796.946945553751</v>
      </c>
      <c r="AJ369">
        <f t="shared" si="284"/>
        <v>55000</v>
      </c>
      <c r="AK369">
        <f t="shared" si="285"/>
        <v>28723.777948490628</v>
      </c>
      <c r="AL369">
        <v>1</v>
      </c>
      <c r="AM369">
        <f t="shared" si="286"/>
        <v>40.695366520029381</v>
      </c>
      <c r="AN369">
        <f t="shared" si="317"/>
        <v>738.58860419485779</v>
      </c>
      <c r="AO369">
        <f t="shared" si="318"/>
        <v>-1333.3560067360211</v>
      </c>
      <c r="AQ369">
        <f t="shared" si="287"/>
        <v>1.8955473031090631E-2</v>
      </c>
      <c r="AR369">
        <f t="shared" si="288"/>
        <v>-7.7418890727231906</v>
      </c>
      <c r="AT369">
        <f t="shared" si="313"/>
        <v>-114218.76192157042</v>
      </c>
      <c r="AU369">
        <f t="shared" si="314"/>
        <v>-138148.40402356454</v>
      </c>
      <c r="AV369">
        <f t="shared" si="302"/>
        <v>-2.2616564011968663</v>
      </c>
      <c r="AW369">
        <f t="shared" si="303"/>
        <v>7012.2689026686048</v>
      </c>
      <c r="AX369">
        <f t="shared" si="304"/>
        <v>-28335.494801996614</v>
      </c>
      <c r="AY369">
        <f t="shared" si="312"/>
        <v>-1.3281974604355997</v>
      </c>
      <c r="BA369">
        <f t="shared" si="289"/>
        <v>6.1407766281047502</v>
      </c>
      <c r="BB369">
        <f t="shared" si="305"/>
        <v>15.764466002533897</v>
      </c>
      <c r="BC369">
        <f t="shared" si="306"/>
        <v>-0.93345894076126656</v>
      </c>
      <c r="BD369">
        <f t="shared" si="290"/>
        <v>-233.48325771548645</v>
      </c>
      <c r="BF369">
        <f t="shared" si="291"/>
        <v>-25.127499066570401</v>
      </c>
      <c r="BG369">
        <f t="shared" si="292"/>
        <v>-190.83575031945156</v>
      </c>
      <c r="BH369">
        <f t="shared" si="307"/>
        <v>-10.835750319451563</v>
      </c>
      <c r="BI369">
        <f t="shared" si="308"/>
        <v>-10.835750319451563</v>
      </c>
      <c r="BJ369">
        <f t="shared" si="293"/>
        <v>0</v>
      </c>
      <c r="BK369">
        <f t="shared" si="309"/>
        <v>0</v>
      </c>
      <c r="BM369">
        <f t="shared" si="310"/>
        <v>-40.891965069104295</v>
      </c>
      <c r="BN369">
        <f t="shared" si="294"/>
        <v>-137.35249260396512</v>
      </c>
      <c r="BQ369" s="75">
        <f t="shared" si="311"/>
        <v>32.666426802819032</v>
      </c>
      <c r="BR369" s="80"/>
      <c r="BS369" s="80"/>
      <c r="BT369" s="80">
        <v>389045.14500000002</v>
      </c>
      <c r="BU369" s="80">
        <v>14.7561</v>
      </c>
      <c r="BV369" s="80">
        <v>-213.04300000000001</v>
      </c>
      <c r="BW369" s="84"/>
      <c r="BY369" s="80"/>
      <c r="BZ369" s="80"/>
      <c r="CA369" s="80"/>
      <c r="CC369" s="80"/>
    </row>
    <row r="370" spans="1:81">
      <c r="A370">
        <f t="shared" si="319"/>
        <v>780000</v>
      </c>
      <c r="B370">
        <f t="shared" si="295"/>
        <v>780</v>
      </c>
      <c r="C370">
        <f t="shared" si="264"/>
        <v>1.3531259661180519</v>
      </c>
      <c r="D370">
        <f t="shared" si="265"/>
        <v>0.73916772565285205</v>
      </c>
      <c r="F370">
        <f t="shared" si="266"/>
        <v>7.3365915234370482E-4</v>
      </c>
      <c r="G370">
        <f t="shared" si="267"/>
        <v>8.3186875621544046E-3</v>
      </c>
      <c r="H370">
        <f t="shared" si="268"/>
        <v>-3.1332739624378458</v>
      </c>
      <c r="J370">
        <f t="shared" si="269"/>
        <v>9</v>
      </c>
      <c r="M370">
        <f t="shared" si="270"/>
        <v>5.4111806266287903E-3</v>
      </c>
      <c r="N370">
        <f t="shared" si="271"/>
        <v>-1.5707963250000001</v>
      </c>
      <c r="O370">
        <f t="shared" si="272"/>
        <v>100.31628900115115</v>
      </c>
      <c r="P370">
        <f t="shared" si="273"/>
        <v>1.5608276908691374</v>
      </c>
      <c r="Q370">
        <f t="shared" si="274"/>
        <v>40.970123105029579</v>
      </c>
      <c r="R370">
        <f t="shared" si="275"/>
        <v>1.5463858724730009</v>
      </c>
      <c r="S370">
        <f t="shared" si="276"/>
        <v>0.8851719785954919</v>
      </c>
      <c r="T370">
        <f t="shared" si="277"/>
        <v>-0.48393280901571889</v>
      </c>
      <c r="U370">
        <f t="shared" si="278"/>
        <v>0.77351594304906557</v>
      </c>
      <c r="V370">
        <f t="shared" si="279"/>
        <v>-0.68642619762964197</v>
      </c>
      <c r="X370">
        <f t="shared" si="296"/>
        <v>-17.325944763665554</v>
      </c>
      <c r="Y370">
        <f t="shared" si="280"/>
        <v>-116.19859147425713</v>
      </c>
      <c r="Z370">
        <f t="shared" si="297"/>
        <v>63.801408525742872</v>
      </c>
      <c r="AC370">
        <v>1</v>
      </c>
      <c r="AD370">
        <f t="shared" si="281"/>
        <v>100.311304641912</v>
      </c>
      <c r="AE370">
        <f t="shared" si="282"/>
        <v>-2.7530390804274903E-3</v>
      </c>
      <c r="AF370">
        <f t="shared" si="283"/>
        <v>3.3600464365104005E-3</v>
      </c>
      <c r="AG370">
        <f t="shared" si="315"/>
        <v>17716.635169728852</v>
      </c>
      <c r="AH370">
        <f t="shared" si="316"/>
        <v>-14813.661042028154</v>
      </c>
      <c r="AJ370">
        <f t="shared" si="284"/>
        <v>55000</v>
      </c>
      <c r="AK370">
        <f t="shared" si="285"/>
        <v>28909.092644932505</v>
      </c>
      <c r="AL370">
        <v>1</v>
      </c>
      <c r="AM370">
        <f t="shared" si="286"/>
        <v>40.9579172717715</v>
      </c>
      <c r="AN370">
        <f t="shared" si="317"/>
        <v>738.1701445897271</v>
      </c>
      <c r="AO370">
        <f t="shared" si="318"/>
        <v>-1324.8190696651445</v>
      </c>
      <c r="AQ370">
        <f t="shared" si="287"/>
        <v>1.8713234486375296E-2</v>
      </c>
      <c r="AR370">
        <f t="shared" si="288"/>
        <v>-7.692262167969429</v>
      </c>
      <c r="AT370">
        <f t="shared" si="313"/>
        <v>-113619.02885447505</v>
      </c>
      <c r="AU370">
        <f t="shared" si="314"/>
        <v>-136558.21397250306</v>
      </c>
      <c r="AV370">
        <f t="shared" si="302"/>
        <v>-2.2647584302688641</v>
      </c>
      <c r="AW370">
        <f t="shared" si="303"/>
        <v>7057.5418504207264</v>
      </c>
      <c r="AX370">
        <f t="shared" si="304"/>
        <v>-28253.56038332358</v>
      </c>
      <c r="AY370">
        <f t="shared" si="312"/>
        <v>-1.326012488635943</v>
      </c>
      <c r="BA370">
        <f t="shared" si="289"/>
        <v>6.1000627401083651</v>
      </c>
      <c r="BB370">
        <f t="shared" si="305"/>
        <v>15.706686036421022</v>
      </c>
      <c r="BC370">
        <f t="shared" si="306"/>
        <v>-0.93874594163292113</v>
      </c>
      <c r="BD370">
        <f t="shared" si="290"/>
        <v>-233.78618055206039</v>
      </c>
      <c r="BF370">
        <f t="shared" si="291"/>
        <v>-25.271812418438572</v>
      </c>
      <c r="BG370">
        <f t="shared" si="292"/>
        <v>-190.95836378253068</v>
      </c>
      <c r="BH370">
        <f t="shared" si="307"/>
        <v>-10.958363782530682</v>
      </c>
      <c r="BI370">
        <f t="shared" si="308"/>
        <v>-10.958363782530682</v>
      </c>
      <c r="BJ370">
        <f t="shared" si="293"/>
        <v>0</v>
      </c>
      <c r="BK370">
        <f t="shared" si="309"/>
        <v>0</v>
      </c>
      <c r="BM370">
        <f t="shared" si="310"/>
        <v>-40.978498454859597</v>
      </c>
      <c r="BN370">
        <f t="shared" si="294"/>
        <v>-137.17218323047032</v>
      </c>
      <c r="BQ370" s="75">
        <f t="shared" si="311"/>
        <v>32.608646836706157</v>
      </c>
      <c r="BR370" s="80"/>
      <c r="BS370" s="80"/>
      <c r="BT370" s="80">
        <v>398107.17099999997</v>
      </c>
      <c r="BU370" s="80">
        <v>14.525499999999999</v>
      </c>
      <c r="BV370" s="80">
        <v>-214.58500000000001</v>
      </c>
      <c r="BW370" s="84"/>
      <c r="BY370" s="80"/>
      <c r="BZ370" s="80"/>
      <c r="CA370" s="80"/>
      <c r="CC370" s="80"/>
    </row>
    <row r="371" spans="1:81">
      <c r="A371">
        <f t="shared" si="319"/>
        <v>785000</v>
      </c>
      <c r="B371">
        <f t="shared" si="295"/>
        <v>785</v>
      </c>
      <c r="C371">
        <f t="shared" si="264"/>
        <v>1.3570693529286952</v>
      </c>
      <c r="D371">
        <f t="shared" si="265"/>
        <v>0.74234989492999792</v>
      </c>
      <c r="F371">
        <f t="shared" si="266"/>
        <v>7.2433650093823112E-4</v>
      </c>
      <c r="G371">
        <f t="shared" si="267"/>
        <v>8.265627599113843E-3</v>
      </c>
      <c r="H371">
        <f t="shared" si="268"/>
        <v>-3.1333270224008865</v>
      </c>
      <c r="J371">
        <f t="shared" si="269"/>
        <v>9</v>
      </c>
      <c r="M371">
        <f t="shared" si="270"/>
        <v>5.3767145079878431E-3</v>
      </c>
      <c r="N371">
        <f t="shared" si="271"/>
        <v>-1.5707963250000001</v>
      </c>
      <c r="O371">
        <f t="shared" si="272"/>
        <v>100.95927843880446</v>
      </c>
      <c r="P371">
        <f t="shared" si="273"/>
        <v>1.5608911811992077</v>
      </c>
      <c r="Q371">
        <f t="shared" si="274"/>
        <v>41.232596135551653</v>
      </c>
      <c r="R371">
        <f t="shared" si="275"/>
        <v>1.5465412919054611</v>
      </c>
      <c r="S371">
        <f t="shared" si="276"/>
        <v>0.8839423160179064</v>
      </c>
      <c r="T371">
        <f t="shared" si="277"/>
        <v>-0.48656913589907103</v>
      </c>
      <c r="U371">
        <f t="shared" si="278"/>
        <v>0.77152559790974096</v>
      </c>
      <c r="V371">
        <f t="shared" si="279"/>
        <v>-0.68956065825713986</v>
      </c>
      <c r="X371">
        <f t="shared" si="296"/>
        <v>-17.39073834054587</v>
      </c>
      <c r="Y371">
        <f t="shared" si="280"/>
        <v>-116.33740588043374</v>
      </c>
      <c r="Z371">
        <f t="shared" si="297"/>
        <v>63.662594119566265</v>
      </c>
      <c r="AC371">
        <v>1</v>
      </c>
      <c r="AD371">
        <f t="shared" si="281"/>
        <v>100.954325825514</v>
      </c>
      <c r="AE371">
        <f t="shared" si="282"/>
        <v>-2.7884475794484388E-3</v>
      </c>
      <c r="AF371">
        <f t="shared" si="283"/>
        <v>3.3815851957188004E-3</v>
      </c>
      <c r="AG371">
        <f t="shared" si="315"/>
        <v>17625.578606131261</v>
      </c>
      <c r="AH371">
        <f t="shared" si="316"/>
        <v>-14829.731944690893</v>
      </c>
      <c r="AJ371">
        <f t="shared" si="284"/>
        <v>55000</v>
      </c>
      <c r="AK371">
        <f t="shared" si="285"/>
        <v>29094.407341374379</v>
      </c>
      <c r="AL371">
        <v>1</v>
      </c>
      <c r="AM371">
        <f t="shared" si="286"/>
        <v>41.220468023513632</v>
      </c>
      <c r="AN371">
        <f t="shared" si="317"/>
        <v>737.75964926453935</v>
      </c>
      <c r="AO371">
        <f t="shared" si="318"/>
        <v>-1316.3906901732007</v>
      </c>
      <c r="AQ371">
        <f t="shared" si="287"/>
        <v>1.84756099105188E-2</v>
      </c>
      <c r="AR371">
        <f t="shared" si="288"/>
        <v>-7.6432674419320747</v>
      </c>
      <c r="AT371">
        <f t="shared" si="313"/>
        <v>-113021.96403066187</v>
      </c>
      <c r="AU371">
        <f t="shared" si="314"/>
        <v>-134990.99944794524</v>
      </c>
      <c r="AV371">
        <f t="shared" si="302"/>
        <v>-2.2678448956018</v>
      </c>
      <c r="AW371">
        <f t="shared" si="303"/>
        <v>7100.6722775124663</v>
      </c>
      <c r="AX371">
        <f t="shared" si="304"/>
        <v>-28172.337801092304</v>
      </c>
      <c r="AY371">
        <f t="shared" si="312"/>
        <v>-1.3238947069948985</v>
      </c>
      <c r="BA371">
        <f t="shared" si="289"/>
        <v>6.0598179438549584</v>
      </c>
      <c r="BB371">
        <f t="shared" si="305"/>
        <v>15.649191535580268</v>
      </c>
      <c r="BC371">
        <f t="shared" si="306"/>
        <v>-0.9439501886069015</v>
      </c>
      <c r="BD371">
        <f t="shared" si="290"/>
        <v>-234.0843619395539</v>
      </c>
      <c r="BF371">
        <f t="shared" si="291"/>
        <v>-25.415110002877878</v>
      </c>
      <c r="BG371">
        <f t="shared" si="292"/>
        <v>-191.07726041248605</v>
      </c>
      <c r="BH371">
        <f t="shared" si="307"/>
        <v>-11.077260412486055</v>
      </c>
      <c r="BI371">
        <f t="shared" si="308"/>
        <v>-11.077260412486055</v>
      </c>
      <c r="BJ371">
        <f t="shared" si="293"/>
        <v>0</v>
      </c>
      <c r="BK371">
        <f t="shared" si="309"/>
        <v>0</v>
      </c>
      <c r="BM371">
        <f t="shared" si="310"/>
        <v>-41.064301538458146</v>
      </c>
      <c r="BN371">
        <f t="shared" si="294"/>
        <v>-136.99289847293215</v>
      </c>
      <c r="BQ371" s="75">
        <f t="shared" si="311"/>
        <v>32.55115233586541</v>
      </c>
      <c r="BR371" s="80"/>
      <c r="BS371" s="80"/>
      <c r="BT371" s="80">
        <v>407380.27799999999</v>
      </c>
      <c r="BU371" s="80">
        <v>14.4298</v>
      </c>
      <c r="BV371" s="80">
        <v>-217.34299999999999</v>
      </c>
      <c r="BW371" s="84"/>
      <c r="BY371" s="80"/>
      <c r="BZ371" s="80"/>
      <c r="CA371" s="80"/>
      <c r="CC371" s="80"/>
    </row>
    <row r="372" spans="1:81">
      <c r="A372">
        <f t="shared" si="319"/>
        <v>790000</v>
      </c>
      <c r="B372">
        <f t="shared" si="295"/>
        <v>790</v>
      </c>
      <c r="C372">
        <f t="shared" si="264"/>
        <v>1.3610264019850316</v>
      </c>
      <c r="D372">
        <f t="shared" si="265"/>
        <v>0.74551359240646631</v>
      </c>
      <c r="F372">
        <f t="shared" si="266"/>
        <v>7.151904622071804E-4</v>
      </c>
      <c r="G372">
        <f t="shared" si="267"/>
        <v>8.213240687197183E-3</v>
      </c>
      <c r="H372">
        <f t="shared" si="268"/>
        <v>-3.1333794093128029</v>
      </c>
      <c r="J372">
        <f t="shared" si="269"/>
        <v>9</v>
      </c>
      <c r="M372">
        <f t="shared" si="270"/>
        <v>5.3426846693296918E-3</v>
      </c>
      <c r="N372">
        <f t="shared" si="271"/>
        <v>-1.5707963250000001</v>
      </c>
      <c r="O372">
        <f t="shared" si="272"/>
        <v>101.60226827827584</v>
      </c>
      <c r="P372">
        <f t="shared" si="273"/>
        <v>1.5609538679325645</v>
      </c>
      <c r="Q372">
        <f t="shared" si="274"/>
        <v>41.495070149455358</v>
      </c>
      <c r="R372">
        <f t="shared" si="275"/>
        <v>1.5466947451532138</v>
      </c>
      <c r="S372">
        <f t="shared" si="276"/>
        <v>0.88270995565008625</v>
      </c>
      <c r="T372">
        <f t="shared" si="277"/>
        <v>-0.48919813006922164</v>
      </c>
      <c r="U372">
        <f t="shared" si="278"/>
        <v>0.76953796682044906</v>
      </c>
      <c r="V372">
        <f t="shared" si="279"/>
        <v>-0.69267899917760634</v>
      </c>
      <c r="X372">
        <f t="shared" si="296"/>
        <v>-17.455234017530014</v>
      </c>
      <c r="Y372">
        <f t="shared" si="280"/>
        <v>-116.47605505192709</v>
      </c>
      <c r="Z372">
        <f t="shared" si="297"/>
        <v>63.523944948072909</v>
      </c>
      <c r="AC372">
        <v>1</v>
      </c>
      <c r="AD372">
        <f t="shared" si="281"/>
        <v>101.59734700911602</v>
      </c>
      <c r="AE372">
        <f t="shared" si="282"/>
        <v>-2.8240823308592978E-3</v>
      </c>
      <c r="AF372">
        <f t="shared" si="283"/>
        <v>3.4031239549272003E-3</v>
      </c>
      <c r="AG372">
        <f t="shared" si="315"/>
        <v>17534.880329128686</v>
      </c>
      <c r="AH372">
        <f t="shared" si="316"/>
        <v>-14845.167669570035</v>
      </c>
      <c r="AJ372">
        <f t="shared" si="284"/>
        <v>55000</v>
      </c>
      <c r="AK372">
        <f t="shared" si="285"/>
        <v>29279.722037816256</v>
      </c>
      <c r="AL372">
        <v>1</v>
      </c>
      <c r="AM372">
        <f t="shared" si="286"/>
        <v>41.483018775255758</v>
      </c>
      <c r="AN372">
        <f t="shared" si="317"/>
        <v>737.35691742719246</v>
      </c>
      <c r="AO372">
        <f t="shared" si="318"/>
        <v>-1308.0688118806816</v>
      </c>
      <c r="AQ372">
        <f t="shared" si="287"/>
        <v>1.824248286574941E-2</v>
      </c>
      <c r="AR372">
        <f t="shared" si="288"/>
        <v>-7.5948928914974525</v>
      </c>
      <c r="AT372">
        <f t="shared" si="313"/>
        <v>-112427.57865274817</v>
      </c>
      <c r="AU372">
        <f t="shared" si="314"/>
        <v>-133446.35068180927</v>
      </c>
      <c r="AV372">
        <f t="shared" si="302"/>
        <v>-2.270915848685866</v>
      </c>
      <c r="AW372">
        <f t="shared" si="303"/>
        <v>7141.7256889127857</v>
      </c>
      <c r="AX372">
        <f t="shared" si="304"/>
        <v>-28091.808002070244</v>
      </c>
      <c r="AY372">
        <f t="shared" si="312"/>
        <v>-1.3218422942898451</v>
      </c>
      <c r="BA372">
        <f t="shared" si="289"/>
        <v>6.020037045575438</v>
      </c>
      <c r="BB372">
        <f t="shared" si="305"/>
        <v>15.591983275786024</v>
      </c>
      <c r="BC372">
        <f t="shared" si="306"/>
        <v>-0.94907355439602092</v>
      </c>
      <c r="BD372">
        <f t="shared" si="290"/>
        <v>-234.37790917650759</v>
      </c>
      <c r="BF372">
        <f t="shared" si="291"/>
        <v>-25.557401254416689</v>
      </c>
      <c r="BG372">
        <f t="shared" si="292"/>
        <v>-191.19254268513274</v>
      </c>
      <c r="BH372">
        <f t="shared" si="307"/>
        <v>-11.192542685132736</v>
      </c>
      <c r="BI372">
        <f t="shared" si="308"/>
        <v>-11.192542685132736</v>
      </c>
      <c r="BJ372">
        <f t="shared" si="293"/>
        <v>0</v>
      </c>
      <c r="BK372">
        <f t="shared" si="309"/>
        <v>0</v>
      </c>
      <c r="BM372">
        <f t="shared" si="310"/>
        <v>-41.14938453020271</v>
      </c>
      <c r="BN372">
        <f t="shared" si="294"/>
        <v>-136.81463350862518</v>
      </c>
      <c r="BQ372" s="75">
        <f t="shared" si="311"/>
        <v>32.493944076071159</v>
      </c>
      <c r="BR372" s="80"/>
      <c r="BS372" s="80"/>
      <c r="BT372" s="80">
        <v>416869.38299999997</v>
      </c>
      <c r="BU372" s="80">
        <v>14.126799999999999</v>
      </c>
      <c r="BV372" s="80">
        <v>-219.017</v>
      </c>
      <c r="BW372" s="84"/>
      <c r="BY372" s="80"/>
      <c r="BZ372" s="80"/>
      <c r="CA372" s="80"/>
      <c r="CC372" s="80"/>
    </row>
    <row r="373" spans="1:81">
      <c r="A373">
        <f t="shared" si="319"/>
        <v>795000</v>
      </c>
      <c r="B373">
        <f t="shared" si="295"/>
        <v>795</v>
      </c>
      <c r="C373">
        <f t="shared" si="264"/>
        <v>1.3649969944688336</v>
      </c>
      <c r="D373">
        <f t="shared" si="265"/>
        <v>0.74865891567215881</v>
      </c>
      <c r="F373">
        <f t="shared" si="266"/>
        <v>7.0621660206059091E-4</v>
      </c>
      <c r="G373">
        <f t="shared" si="267"/>
        <v>8.1615140922492845E-3</v>
      </c>
      <c r="H373">
        <f t="shared" si="268"/>
        <v>-3.1334311359077511</v>
      </c>
      <c r="J373">
        <f t="shared" si="269"/>
        <v>9</v>
      </c>
      <c r="M373">
        <f t="shared" si="270"/>
        <v>5.3090828789565496E-3</v>
      </c>
      <c r="N373">
        <f t="shared" si="271"/>
        <v>-1.5707963250000001</v>
      </c>
      <c r="O373">
        <f t="shared" si="272"/>
        <v>102.24525851198455</v>
      </c>
      <c r="P373">
        <f t="shared" si="273"/>
        <v>1.5610157662294577</v>
      </c>
      <c r="Q373">
        <f t="shared" si="274"/>
        <v>41.757545128197052</v>
      </c>
      <c r="R373">
        <f t="shared" si="275"/>
        <v>1.546846269285445</v>
      </c>
      <c r="S373">
        <f t="shared" si="276"/>
        <v>0.88147495975795909</v>
      </c>
      <c r="T373">
        <f t="shared" si="277"/>
        <v>-0.49181978588709813</v>
      </c>
      <c r="U373">
        <f t="shared" si="278"/>
        <v>0.76755314437857136</v>
      </c>
      <c r="V373">
        <f t="shared" si="279"/>
        <v>-0.69578128424162788</v>
      </c>
      <c r="X373">
        <f t="shared" si="296"/>
        <v>-17.519435921653574</v>
      </c>
      <c r="Y373">
        <f t="shared" si="280"/>
        <v>-116.61453446960881</v>
      </c>
      <c r="Z373">
        <f t="shared" si="297"/>
        <v>63.385465530391187</v>
      </c>
      <c r="AC373">
        <v>1</v>
      </c>
      <c r="AD373">
        <f t="shared" si="281"/>
        <v>102.24036819271801</v>
      </c>
      <c r="AE373">
        <f t="shared" si="282"/>
        <v>-2.8599433346600668E-3</v>
      </c>
      <c r="AF373">
        <f t="shared" si="283"/>
        <v>3.4246627141356002E-3</v>
      </c>
      <c r="AG373">
        <f t="shared" si="315"/>
        <v>17444.543680238072</v>
      </c>
      <c r="AH373">
        <f t="shared" si="316"/>
        <v>-14859.976199825045</v>
      </c>
      <c r="AJ373">
        <f t="shared" si="284"/>
        <v>55000</v>
      </c>
      <c r="AK373">
        <f t="shared" si="285"/>
        <v>29465.03673425813</v>
      </c>
      <c r="AL373">
        <v>1</v>
      </c>
      <c r="AM373">
        <f t="shared" si="286"/>
        <v>41.745569526997876</v>
      </c>
      <c r="AN373">
        <f t="shared" si="317"/>
        <v>736.96175457259062</v>
      </c>
      <c r="AO373">
        <f t="shared" si="318"/>
        <v>-1299.8514299902936</v>
      </c>
      <c r="AQ373">
        <f t="shared" si="287"/>
        <v>1.8013740564267428E-2</v>
      </c>
      <c r="AR373">
        <f t="shared" si="288"/>
        <v>-7.547126815508304</v>
      </c>
      <c r="AT373">
        <f t="shared" si="313"/>
        <v>-111835.88337139694</v>
      </c>
      <c r="AU373">
        <f t="shared" si="314"/>
        <v>-131923.86714948551</v>
      </c>
      <c r="AV373">
        <f t="shared" si="302"/>
        <v>-2.273971341912099</v>
      </c>
      <c r="AW373">
        <f t="shared" si="303"/>
        <v>7180.76550929325</v>
      </c>
      <c r="AX373">
        <f t="shared" si="304"/>
        <v>-28011.952619995391</v>
      </c>
      <c r="AY373">
        <f t="shared" si="312"/>
        <v>-1.3198534811763691</v>
      </c>
      <c r="BA373">
        <f t="shared" si="289"/>
        <v>5.9807147759230785</v>
      </c>
      <c r="BB373">
        <f t="shared" si="305"/>
        <v>15.535061822539365</v>
      </c>
      <c r="BC373">
        <f t="shared" si="306"/>
        <v>-0.95411786073572991</v>
      </c>
      <c r="BD373">
        <f t="shared" si="290"/>
        <v>-234.66692664067423</v>
      </c>
      <c r="BF373">
        <f t="shared" si="291"/>
        <v>-25.698695627443641</v>
      </c>
      <c r="BG373">
        <f t="shared" si="292"/>
        <v>-191.30431011634749</v>
      </c>
      <c r="BH373">
        <f t="shared" si="307"/>
        <v>-11.304310116347494</v>
      </c>
      <c r="BI373">
        <f t="shared" si="308"/>
        <v>-11.304310116347494</v>
      </c>
      <c r="BJ373">
        <f t="shared" si="293"/>
        <v>0</v>
      </c>
      <c r="BK373">
        <f t="shared" si="309"/>
        <v>0</v>
      </c>
      <c r="BM373">
        <f t="shared" si="310"/>
        <v>-41.233757449983003</v>
      </c>
      <c r="BN373">
        <f t="shared" si="294"/>
        <v>-136.63738347567326</v>
      </c>
      <c r="BQ373" s="75">
        <f t="shared" si="311"/>
        <v>32.4370226228245</v>
      </c>
      <c r="BR373" s="80"/>
      <c r="BS373" s="80"/>
      <c r="BT373" s="80">
        <v>426579.51899999997</v>
      </c>
      <c r="BU373" s="80">
        <v>14.106299999999999</v>
      </c>
      <c r="BV373" s="80">
        <v>-221.39400000000001</v>
      </c>
      <c r="BW373" s="84"/>
      <c r="BY373" s="80"/>
      <c r="BZ373" s="80"/>
      <c r="CA373" s="80"/>
      <c r="CC373" s="80"/>
    </row>
    <row r="374" spans="1:81">
      <c r="A374">
        <f t="shared" si="319"/>
        <v>800000</v>
      </c>
      <c r="B374">
        <f t="shared" si="295"/>
        <v>800</v>
      </c>
      <c r="C374">
        <f t="shared" si="264"/>
        <v>1.3689810125360371</v>
      </c>
      <c r="D374">
        <f t="shared" si="265"/>
        <v>0.75178596264095843</v>
      </c>
      <c r="F374">
        <f t="shared" si="266"/>
        <v>6.9741062472495252E-4</v>
      </c>
      <c r="G374">
        <f t="shared" si="267"/>
        <v>8.1104353995562119E-3</v>
      </c>
      <c r="H374">
        <f t="shared" si="268"/>
        <v>-3.133482214600444</v>
      </c>
      <c r="J374">
        <f t="shared" si="269"/>
        <v>9</v>
      </c>
      <c r="M374">
        <f t="shared" si="270"/>
        <v>5.2759011109630716E-3</v>
      </c>
      <c r="N374">
        <f t="shared" si="271"/>
        <v>-1.5707963250000001</v>
      </c>
      <c r="O374">
        <f t="shared" si="272"/>
        <v>102.88824913253933</v>
      </c>
      <c r="P374">
        <f t="shared" si="273"/>
        <v>1.5610768908711909</v>
      </c>
      <c r="Q374">
        <f t="shared" si="274"/>
        <v>42.020021053696375</v>
      </c>
      <c r="R374">
        <f t="shared" si="275"/>
        <v>1.546995900445497</v>
      </c>
      <c r="S374">
        <f t="shared" si="276"/>
        <v>0.88023739021005998</v>
      </c>
      <c r="T374">
        <f t="shared" si="277"/>
        <v>-0.4944340981485571</v>
      </c>
      <c r="U374">
        <f t="shared" si="278"/>
        <v>0.76557122307851433</v>
      </c>
      <c r="V374">
        <f t="shared" si="279"/>
        <v>-0.69886757788018694</v>
      </c>
      <c r="X374">
        <f t="shared" si="296"/>
        <v>-17.583348091620866</v>
      </c>
      <c r="Y374">
        <f t="shared" si="280"/>
        <v>-116.75283971041807</v>
      </c>
      <c r="Z374">
        <f t="shared" si="297"/>
        <v>63.247160289581927</v>
      </c>
      <c r="AC374">
        <v>1</v>
      </c>
      <c r="AD374">
        <f t="shared" si="281"/>
        <v>102.88338937632001</v>
      </c>
      <c r="AE374">
        <f t="shared" si="282"/>
        <v>-2.8960305908507463E-3</v>
      </c>
      <c r="AF374">
        <f t="shared" si="283"/>
        <v>3.4462014733440001E-3</v>
      </c>
      <c r="AG374">
        <f t="shared" si="315"/>
        <v>17354.571862526351</v>
      </c>
      <c r="AH374">
        <f t="shared" si="316"/>
        <v>-14874.165483788358</v>
      </c>
      <c r="AJ374">
        <f t="shared" si="284"/>
        <v>55000</v>
      </c>
      <c r="AK374">
        <f t="shared" si="285"/>
        <v>29650.3514307</v>
      </c>
      <c r="AL374">
        <v>1</v>
      </c>
      <c r="AM374">
        <f t="shared" si="286"/>
        <v>42.008120278740009</v>
      </c>
      <c r="AN374">
        <f t="shared" si="317"/>
        <v>736.5739722479359</v>
      </c>
      <c r="AO374">
        <f t="shared" si="318"/>
        <v>-1291.7365896805995</v>
      </c>
      <c r="AQ374">
        <f t="shared" si="287"/>
        <v>1.7789273731802561E-2</v>
      </c>
      <c r="AR374">
        <f t="shared" si="288"/>
        <v>-7.4999578053279592</v>
      </c>
      <c r="AT374">
        <f t="shared" si="313"/>
        <v>-111246.8882885175</v>
      </c>
      <c r="AU374">
        <f t="shared" si="314"/>
        <v>-130423.15729980273</v>
      </c>
      <c r="AV374">
        <f t="shared" si="302"/>
        <v>-2.2770114285383598</v>
      </c>
      <c r="AW374">
        <f t="shared" si="303"/>
        <v>7217.8531581323896</v>
      </c>
      <c r="AX374">
        <f t="shared" si="304"/>
        <v>-27932.753949435799</v>
      </c>
      <c r="AY374">
        <f t="shared" si="312"/>
        <v>-1.3179265487047538</v>
      </c>
      <c r="BA374">
        <f t="shared" si="289"/>
        <v>5.9418458034115043</v>
      </c>
      <c r="BB374">
        <f t="shared" si="305"/>
        <v>15.478427545123925</v>
      </c>
      <c r="BC374">
        <f t="shared" si="306"/>
        <v>-0.95908487983360602</v>
      </c>
      <c r="BD374">
        <f t="shared" si="290"/>
        <v>-234.95151587206863</v>
      </c>
      <c r="BF374">
        <f t="shared" si="291"/>
        <v>-25.83900258666651</v>
      </c>
      <c r="BG374">
        <f t="shared" si="292"/>
        <v>-191.41265934740343</v>
      </c>
      <c r="BH374">
        <f t="shared" si="307"/>
        <v>-11.412659347403434</v>
      </c>
      <c r="BI374">
        <f t="shared" si="308"/>
        <v>-11.412659347403434</v>
      </c>
      <c r="BJ374">
        <f t="shared" si="293"/>
        <v>0</v>
      </c>
      <c r="BK374">
        <f t="shared" si="309"/>
        <v>0</v>
      </c>
      <c r="BM374">
        <f t="shared" si="310"/>
        <v>-41.317430131790438</v>
      </c>
      <c r="BN374">
        <f t="shared" si="294"/>
        <v>-136.46114347533484</v>
      </c>
      <c r="BQ374" s="75">
        <f t="shared" si="311"/>
        <v>32.38038834540906</v>
      </c>
      <c r="BR374" s="80"/>
      <c r="BS374" s="80"/>
      <c r="BT374" s="80">
        <v>436515.83199999999</v>
      </c>
      <c r="BU374" s="80">
        <v>13.8226</v>
      </c>
      <c r="BV374" s="80">
        <v>-223.214</v>
      </c>
      <c r="BW374" s="84"/>
      <c r="BY374" s="80"/>
      <c r="BZ374" s="80"/>
      <c r="CA374" s="80"/>
      <c r="CC374" s="80"/>
    </row>
    <row r="375" spans="1:81">
      <c r="A375">
        <f t="shared" si="319"/>
        <v>805000</v>
      </c>
      <c r="B375">
        <f t="shared" si="295"/>
        <v>805</v>
      </c>
      <c r="C375">
        <f t="shared" si="264"/>
        <v>1.3729783393142274</v>
      </c>
      <c r="D375">
        <f t="shared" si="265"/>
        <v>0.75489483152192272</v>
      </c>
      <c r="F375">
        <f t="shared" si="266"/>
        <v>6.8876836759665773E-4</v>
      </c>
      <c r="G375">
        <f t="shared" si="267"/>
        <v>8.059992503884509E-3</v>
      </c>
      <c r="H375">
        <f t="shared" si="268"/>
        <v>-3.1335326574961155</v>
      </c>
      <c r="J375">
        <f t="shared" si="269"/>
        <v>9</v>
      </c>
      <c r="M375">
        <f t="shared" si="270"/>
        <v>5.2431315388452877E-3</v>
      </c>
      <c r="N375">
        <f t="shared" si="271"/>
        <v>-1.5707963250000001</v>
      </c>
      <c r="O375">
        <f t="shared" si="272"/>
        <v>103.53124013273258</v>
      </c>
      <c r="P375">
        <f t="shared" si="273"/>
        <v>1.5611372562718893</v>
      </c>
      <c r="Q375">
        <f t="shared" si="274"/>
        <v>42.282497908321844</v>
      </c>
      <c r="R375">
        <f t="shared" si="275"/>
        <v>1.5471436738795885</v>
      </c>
      <c r="S375">
        <f t="shared" si="276"/>
        <v>0.87899730847381641</v>
      </c>
      <c r="T375">
        <f t="shared" si="277"/>
        <v>-0.49704106208008947</v>
      </c>
      <c r="U375">
        <f t="shared" si="278"/>
        <v>0.76359229333618983</v>
      </c>
      <c r="V375">
        <f t="shared" si="279"/>
        <v>-0.70193794508032492</v>
      </c>
      <c r="X375">
        <f t="shared" si="296"/>
        <v>-17.646974480080289</v>
      </c>
      <c r="Y375">
        <f t="shared" si="280"/>
        <v>-116.89096644562221</v>
      </c>
      <c r="Z375">
        <f t="shared" si="297"/>
        <v>63.109033554377788</v>
      </c>
      <c r="AC375">
        <v>1</v>
      </c>
      <c r="AD375">
        <f t="shared" si="281"/>
        <v>103.526410559922</v>
      </c>
      <c r="AE375">
        <f t="shared" si="282"/>
        <v>-2.9323440994313355E-3</v>
      </c>
      <c r="AF375">
        <f t="shared" si="283"/>
        <v>3.4677402325524005E-3</v>
      </c>
      <c r="AG375">
        <f t="shared" si="315"/>
        <v>17264.967943109667</v>
      </c>
      <c r="AH375">
        <f t="shared" si="316"/>
        <v>-14887.743433091384</v>
      </c>
      <c r="AJ375">
        <f t="shared" si="284"/>
        <v>55000</v>
      </c>
      <c r="AK375">
        <f t="shared" si="285"/>
        <v>29835.666127141882</v>
      </c>
      <c r="AL375">
        <v>1</v>
      </c>
      <c r="AM375">
        <f t="shared" si="286"/>
        <v>42.270671030482127</v>
      </c>
      <c r="AN375">
        <f t="shared" si="317"/>
        <v>736.19338782818079</v>
      </c>
      <c r="AO375">
        <f t="shared" si="318"/>
        <v>-1283.72238455929</v>
      </c>
      <c r="AQ375">
        <f t="shared" si="287"/>
        <v>1.7568976477085056E-2</v>
      </c>
      <c r="AR375">
        <f t="shared" si="288"/>
        <v>-7.4533747357561797</v>
      </c>
      <c r="AT375">
        <f t="shared" si="313"/>
        <v>-110660.60296095317</v>
      </c>
      <c r="AU375">
        <f t="shared" si="314"/>
        <v>-128943.83829498678</v>
      </c>
      <c r="AV375">
        <f t="shared" si="302"/>
        <v>-2.2800361626561036</v>
      </c>
      <c r="AW375">
        <f t="shared" si="303"/>
        <v>7253.048121661669</v>
      </c>
      <c r="AX375">
        <f t="shared" si="304"/>
        <v>-27854.194920716065</v>
      </c>
      <c r="AY375">
        <f t="shared" si="312"/>
        <v>-1.3160598268694008</v>
      </c>
      <c r="BA375">
        <f t="shared" si="289"/>
        <v>5.9034247467605594</v>
      </c>
      <c r="BB375">
        <f t="shared" si="305"/>
        <v>15.422080629824864</v>
      </c>
      <c r="BC375">
        <f t="shared" si="306"/>
        <v>-0.96397633578670283</v>
      </c>
      <c r="BD375">
        <f t="shared" si="290"/>
        <v>-235.23177565417544</v>
      </c>
      <c r="BF375">
        <f t="shared" si="291"/>
        <v>-25.978331598273442</v>
      </c>
      <c r="BG375">
        <f t="shared" si="292"/>
        <v>-191.51768422839962</v>
      </c>
      <c r="BH375">
        <f t="shared" si="307"/>
        <v>-11.517684228399617</v>
      </c>
      <c r="BI375">
        <f t="shared" si="308"/>
        <v>-11.517684228399617</v>
      </c>
      <c r="BJ375">
        <f t="shared" si="293"/>
        <v>0</v>
      </c>
      <c r="BK375">
        <f t="shared" si="309"/>
        <v>0</v>
      </c>
      <c r="BM375">
        <f t="shared" si="310"/>
        <v>-41.400412228098311</v>
      </c>
      <c r="BN375">
        <f t="shared" si="294"/>
        <v>-136.28590857422418</v>
      </c>
      <c r="BQ375" s="75">
        <f t="shared" si="311"/>
        <v>32.32404143011</v>
      </c>
      <c r="BR375" s="80"/>
      <c r="BS375" s="80"/>
      <c r="BT375" s="80">
        <v>446683.592</v>
      </c>
      <c r="BU375" s="80">
        <v>13.599500000000001</v>
      </c>
      <c r="BV375" s="80">
        <v>-225.053</v>
      </c>
      <c r="BW375" s="84"/>
      <c r="BY375" s="80"/>
      <c r="BZ375" s="80"/>
      <c r="CA375" s="80"/>
      <c r="CC375" s="80"/>
    </row>
    <row r="376" spans="1:81">
      <c r="A376">
        <f t="shared" si="319"/>
        <v>810000</v>
      </c>
      <c r="B376">
        <f t="shared" si="295"/>
        <v>810</v>
      </c>
      <c r="C376">
        <f t="shared" si="264"/>
        <v>1.3769888588999295</v>
      </c>
      <c r="D376">
        <f t="shared" si="265"/>
        <v>0.75798562079119636</v>
      </c>
      <c r="F376">
        <f t="shared" si="266"/>
        <v>6.802857963175324E-4</v>
      </c>
      <c r="G376">
        <f t="shared" si="267"/>
        <v>8.0101735998910906E-3</v>
      </c>
      <c r="H376">
        <f t="shared" si="268"/>
        <v>-3.1335824764001092</v>
      </c>
      <c r="J376">
        <f t="shared" si="269"/>
        <v>9</v>
      </c>
      <c r="M376">
        <f t="shared" si="270"/>
        <v>5.2107665293462434E-3</v>
      </c>
      <c r="N376">
        <f t="shared" si="271"/>
        <v>-1.5707963250000001</v>
      </c>
      <c r="O376">
        <f t="shared" si="272"/>
        <v>104.17423150553458</v>
      </c>
      <c r="P376">
        <f t="shared" si="273"/>
        <v>1.5611968764898276</v>
      </c>
      <c r="Q376">
        <f t="shared" si="274"/>
        <v>42.544975674877001</v>
      </c>
      <c r="R376">
        <f t="shared" si="275"/>
        <v>1.5472896239644729</v>
      </c>
      <c r="S376">
        <f t="shared" si="276"/>
        <v>0.87775477561198179</v>
      </c>
      <c r="T376">
        <f t="shared" si="277"/>
        <v>-0.49964067333450862</v>
      </c>
      <c r="U376">
        <f t="shared" si="278"/>
        <v>0.76161644351364011</v>
      </c>
      <c r="V376">
        <f t="shared" si="279"/>
        <v>-0.70499245136124922</v>
      </c>
      <c r="X376">
        <f t="shared" si="296"/>
        <v>-17.710318955830754</v>
      </c>
      <c r="Y376">
        <f t="shared" si="280"/>
        <v>-117.02891043912604</v>
      </c>
      <c r="Z376">
        <f t="shared" si="297"/>
        <v>62.971089560873963</v>
      </c>
      <c r="AC376">
        <v>1</v>
      </c>
      <c r="AD376">
        <f t="shared" si="281"/>
        <v>104.16943174352402</v>
      </c>
      <c r="AE376">
        <f t="shared" si="282"/>
        <v>-2.9688838604018351E-3</v>
      </c>
      <c r="AF376">
        <f t="shared" si="283"/>
        <v>3.4892789917608004E-3</v>
      </c>
      <c r="AG376">
        <f t="shared" si="315"/>
        <v>17175.734855641604</v>
      </c>
      <c r="AH376">
        <f t="shared" si="316"/>
        <v>-14900.717920872932</v>
      </c>
      <c r="AJ376">
        <f t="shared" si="284"/>
        <v>55000</v>
      </c>
      <c r="AK376">
        <f t="shared" si="285"/>
        <v>30020.980823583752</v>
      </c>
      <c r="AL376">
        <v>1</v>
      </c>
      <c r="AM376">
        <f t="shared" si="286"/>
        <v>42.533221782224253</v>
      </c>
      <c r="AN376">
        <f t="shared" si="317"/>
        <v>735.81982430113021</v>
      </c>
      <c r="AO376">
        <f t="shared" si="318"/>
        <v>-1275.8069551735036</v>
      </c>
      <c r="AQ376">
        <f t="shared" si="287"/>
        <v>1.7352746166939305E-2</v>
      </c>
      <c r="AR376">
        <f t="shared" si="288"/>
        <v>-7.4073667562813803</v>
      </c>
      <c r="AT376">
        <f t="shared" si="313"/>
        <v>-110077.03640461976</v>
      </c>
      <c r="AU376">
        <f t="shared" si="314"/>
        <v>-127485.53576016905</v>
      </c>
      <c r="AV376">
        <f t="shared" si="302"/>
        <v>-2.283045599157925</v>
      </c>
      <c r="AW376">
        <f t="shared" si="303"/>
        <v>7286.4080218068639</v>
      </c>
      <c r="AX376">
        <f t="shared" si="304"/>
        <v>-27776.259075862115</v>
      </c>
      <c r="AY376">
        <f t="shared" si="312"/>
        <v>-1.3142516931917148</v>
      </c>
      <c r="BA376">
        <f t="shared" si="289"/>
        <v>5.8654461862276275</v>
      </c>
      <c r="BB376">
        <f t="shared" si="305"/>
        <v>15.366021092359404</v>
      </c>
      <c r="BC376">
        <f t="shared" si="306"/>
        <v>-0.96879390596621029</v>
      </c>
      <c r="BD376">
        <f t="shared" si="290"/>
        <v>-235.50780209328471</v>
      </c>
      <c r="BF376">
        <f t="shared" si="291"/>
        <v>-26.116692121753236</v>
      </c>
      <c r="BG376">
        <f t="shared" si="292"/>
        <v>-191.61947589975489</v>
      </c>
      <c r="BH376">
        <f t="shared" si="307"/>
        <v>-11.619475899754889</v>
      </c>
      <c r="BI376">
        <f t="shared" si="308"/>
        <v>-11.619475899754889</v>
      </c>
      <c r="BJ376">
        <f t="shared" si="293"/>
        <v>0</v>
      </c>
      <c r="BK376">
        <f t="shared" si="309"/>
        <v>0</v>
      </c>
      <c r="BM376">
        <f t="shared" si="310"/>
        <v>-41.482713214112643</v>
      </c>
      <c r="BN376">
        <f t="shared" si="294"/>
        <v>-136.11167380647021</v>
      </c>
      <c r="BQ376" s="75">
        <f t="shared" si="311"/>
        <v>32.267981892644542</v>
      </c>
      <c r="BR376" s="80"/>
      <c r="BS376" s="80"/>
      <c r="BT376" s="80">
        <v>457088.19</v>
      </c>
      <c r="BU376" s="80">
        <v>13.3674</v>
      </c>
      <c r="BV376" s="80">
        <v>-226.50200000000001</v>
      </c>
      <c r="BW376" s="84"/>
      <c r="BY376" s="80"/>
      <c r="BZ376" s="80"/>
      <c r="CA376" s="80"/>
      <c r="CC376" s="80"/>
    </row>
    <row r="377" spans="1:81">
      <c r="A377">
        <f t="shared" si="319"/>
        <v>815000</v>
      </c>
      <c r="B377">
        <f t="shared" si="295"/>
        <v>815</v>
      </c>
      <c r="C377">
        <f t="shared" si="264"/>
        <v>1.3810124563557067</v>
      </c>
      <c r="D377">
        <f t="shared" si="265"/>
        <v>0.7610584291646354</v>
      </c>
      <c r="F377">
        <f t="shared" si="266"/>
        <v>6.7195900006156238E-4</v>
      </c>
      <c r="G377">
        <f t="shared" si="267"/>
        <v>7.9609671728877885E-3</v>
      </c>
      <c r="H377">
        <f t="shared" si="268"/>
        <v>-3.1336316828271125</v>
      </c>
      <c r="J377">
        <f t="shared" si="269"/>
        <v>9</v>
      </c>
      <c r="M377">
        <f t="shared" si="270"/>
        <v>5.1787986365281679E-3</v>
      </c>
      <c r="N377">
        <f t="shared" si="271"/>
        <v>-1.5707963250000001</v>
      </c>
      <c r="O377">
        <f t="shared" si="272"/>
        <v>104.81722324408813</v>
      </c>
      <c r="P377">
        <f t="shared" si="273"/>
        <v>1.5612557652383463</v>
      </c>
      <c r="Q377">
        <f t="shared" si="274"/>
        <v>42.807454336587114</v>
      </c>
      <c r="R377">
        <f t="shared" si="275"/>
        <v>1.5474337842340788</v>
      </c>
      <c r="S377">
        <f t="shared" si="276"/>
        <v>0.87650985227920852</v>
      </c>
      <c r="T377">
        <f t="shared" si="277"/>
        <v>-0.50223292798662533</v>
      </c>
      <c r="U377">
        <f t="shared" si="278"/>
        <v>0.75964375994379307</v>
      </c>
      <c r="V377">
        <f t="shared" si="279"/>
        <v>-0.70803116275087918</v>
      </c>
      <c r="X377">
        <f t="shared" si="296"/>
        <v>-17.773385305961774</v>
      </c>
      <c r="Y377">
        <f t="shared" si="280"/>
        <v>-117.16666754582585</v>
      </c>
      <c r="Z377">
        <f t="shared" si="297"/>
        <v>62.833332454174155</v>
      </c>
      <c r="AC377">
        <v>1</v>
      </c>
      <c r="AD377">
        <f t="shared" si="281"/>
        <v>104.812452927126</v>
      </c>
      <c r="AE377">
        <f t="shared" si="282"/>
        <v>-3.0056498737622448E-3</v>
      </c>
      <c r="AF377">
        <f t="shared" si="283"/>
        <v>3.5108177509692003E-3</v>
      </c>
      <c r="AG377">
        <f t="shared" si="315"/>
        <v>17086.875402789032</v>
      </c>
      <c r="AH377">
        <f t="shared" si="316"/>
        <v>-14913.096780067915</v>
      </c>
      <c r="AJ377">
        <f t="shared" si="284"/>
        <v>55000</v>
      </c>
      <c r="AK377">
        <f t="shared" si="285"/>
        <v>30206.295520025633</v>
      </c>
      <c r="AL377">
        <v>1</v>
      </c>
      <c r="AM377">
        <f t="shared" si="286"/>
        <v>42.795772533966378</v>
      </c>
      <c r="AN377">
        <f t="shared" si="317"/>
        <v>735.45311006174109</v>
      </c>
      <c r="AO377">
        <f t="shared" si="318"/>
        <v>-1267.9884875747782</v>
      </c>
      <c r="AQ377">
        <f t="shared" si="287"/>
        <v>1.7140483306724952E-2</v>
      </c>
      <c r="AR377">
        <f t="shared" si="288"/>
        <v>-7.3619232826549013</v>
      </c>
      <c r="AT377">
        <f t="shared" si="313"/>
        <v>-109496.19709906222</v>
      </c>
      <c r="AU377">
        <f t="shared" si="314"/>
        <v>-126047.88354202625</v>
      </c>
      <c r="AV377">
        <f t="shared" si="302"/>
        <v>-2.2860397937058536</v>
      </c>
      <c r="AW377">
        <f t="shared" si="303"/>
        <v>7317.9886822695598</v>
      </c>
      <c r="AX377">
        <f t="shared" si="304"/>
        <v>-27698.930545518244</v>
      </c>
      <c r="AY377">
        <f t="shared" si="312"/>
        <v>-1.3125005713368154</v>
      </c>
      <c r="BA377">
        <f t="shared" si="289"/>
        <v>5.8279046739967963</v>
      </c>
      <c r="BB377">
        <f t="shared" si="305"/>
        <v>15.310248789564563</v>
      </c>
      <c r="BC377">
        <f t="shared" si="306"/>
        <v>-0.97353922236903823</v>
      </c>
      <c r="BD377">
        <f t="shared" si="290"/>
        <v>-235.77968869593161</v>
      </c>
      <c r="BF377">
        <f t="shared" si="291"/>
        <v>-26.254093602333555</v>
      </c>
      <c r="BG377">
        <f t="shared" si="292"/>
        <v>-191.71812287174555</v>
      </c>
      <c r="BH377">
        <f t="shared" si="307"/>
        <v>-11.71812287174555</v>
      </c>
      <c r="BI377">
        <f t="shared" si="308"/>
        <v>-11.71812287174555</v>
      </c>
      <c r="BJ377">
        <f t="shared" si="293"/>
        <v>0</v>
      </c>
      <c r="BK377">
        <f t="shared" si="309"/>
        <v>0</v>
      </c>
      <c r="BM377">
        <f t="shared" si="310"/>
        <v>-41.564342391898123</v>
      </c>
      <c r="BN377">
        <f t="shared" si="294"/>
        <v>-135.93843417581391</v>
      </c>
      <c r="BQ377" s="75">
        <f t="shared" si="311"/>
        <v>32.212209589849699</v>
      </c>
      <c r="BR377" s="80"/>
      <c r="BS377" s="80"/>
      <c r="BT377" s="80">
        <v>467735.141</v>
      </c>
      <c r="BU377" s="80">
        <v>13.1959</v>
      </c>
      <c r="BV377" s="80">
        <v>131.81700000000001</v>
      </c>
      <c r="BY377" s="80"/>
      <c r="BZ377" s="80"/>
      <c r="CA377" s="80"/>
      <c r="CC377" s="80"/>
    </row>
    <row r="378" spans="1:81">
      <c r="A378">
        <f t="shared" si="319"/>
        <v>820000</v>
      </c>
      <c r="B378">
        <f t="shared" si="295"/>
        <v>820</v>
      </c>
      <c r="C378">
        <f t="shared" si="264"/>
        <v>1.385049017707074</v>
      </c>
      <c r="D378">
        <f t="shared" si="265"/>
        <v>0.76411335557113269</v>
      </c>
      <c r="F378">
        <f t="shared" si="266"/>
        <v>6.6378418702252263E-4</v>
      </c>
      <c r="G378">
        <f t="shared" si="267"/>
        <v>7.9123619899453042E-3</v>
      </c>
      <c r="H378">
        <f t="shared" si="268"/>
        <v>-3.1336802880100549</v>
      </c>
      <c r="J378">
        <f t="shared" si="269"/>
        <v>9</v>
      </c>
      <c r="M378">
        <f t="shared" si="270"/>
        <v>5.1472205960615327E-3</v>
      </c>
      <c r="N378">
        <f t="shared" si="271"/>
        <v>-1.5707963250000001</v>
      </c>
      <c r="O378">
        <f t="shared" si="272"/>
        <v>105.46021534170328</v>
      </c>
      <c r="P378">
        <f t="shared" si="273"/>
        <v>1.5613139358963646</v>
      </c>
      <c r="Q378">
        <f t="shared" si="274"/>
        <v>43.069933877086314</v>
      </c>
      <c r="R378">
        <f t="shared" si="275"/>
        <v>1.5475761874051785</v>
      </c>
      <c r="S378">
        <f t="shared" si="276"/>
        <v>0.87526259871876544</v>
      </c>
      <c r="T378">
        <f t="shared" si="277"/>
        <v>-0.50481782252890961</v>
      </c>
      <c r="U378">
        <f t="shared" si="278"/>
        <v>0.75767432695532433</v>
      </c>
      <c r="V378">
        <f t="shared" si="279"/>
        <v>-0.71105414576283077</v>
      </c>
      <c r="X378">
        <f t="shared" si="296"/>
        <v>-17.836177237929515</v>
      </c>
      <c r="Y378">
        <f t="shared" si="280"/>
        <v>-117.3042337100074</v>
      </c>
      <c r="Z378">
        <f t="shared" si="297"/>
        <v>62.695766289992605</v>
      </c>
      <c r="AC378">
        <v>1</v>
      </c>
      <c r="AD378">
        <f t="shared" si="281"/>
        <v>105.45547411072802</v>
      </c>
      <c r="AE378">
        <f t="shared" si="282"/>
        <v>-3.0426421395125655E-3</v>
      </c>
      <c r="AF378">
        <f t="shared" si="283"/>
        <v>3.5323565101776002E-3</v>
      </c>
      <c r="AG378">
        <f t="shared" si="315"/>
        <v>16998.392258694523</v>
      </c>
      <c r="AH378">
        <f t="shared" si="316"/>
        <v>-14924.887801774421</v>
      </c>
      <c r="AJ378">
        <f t="shared" si="284"/>
        <v>55000</v>
      </c>
      <c r="AK378">
        <f t="shared" si="285"/>
        <v>30391.610216467503</v>
      </c>
      <c r="AL378">
        <v>1</v>
      </c>
      <c r="AM378">
        <f t="shared" si="286"/>
        <v>43.058323285708504</v>
      </c>
      <c r="AN378">
        <f t="shared" si="317"/>
        <v>735.09307871515227</v>
      </c>
      <c r="AO378">
        <f t="shared" si="318"/>
        <v>-1260.2652119362929</v>
      </c>
      <c r="AQ378">
        <f t="shared" si="287"/>
        <v>1.693209142586543E-2</v>
      </c>
      <c r="AR378">
        <f t="shared" si="288"/>
        <v>-7.3170339887734857</v>
      </c>
      <c r="AT378">
        <f t="shared" si="313"/>
        <v>-108918.0929923973</v>
      </c>
      <c r="AU378">
        <f t="shared" si="314"/>
        <v>-124630.52347615235</v>
      </c>
      <c r="AV378">
        <f t="shared" si="302"/>
        <v>-2.2890188027003928</v>
      </c>
      <c r="AW378">
        <f t="shared" si="303"/>
        <v>7347.8441918862363</v>
      </c>
      <c r="AX378">
        <f t="shared" si="304"/>
        <v>-27622.194026792531</v>
      </c>
      <c r="AY378">
        <f t="shared" si="312"/>
        <v>-1.310804929764273</v>
      </c>
      <c r="BA378">
        <f t="shared" si="289"/>
        <v>5.7907947436934935</v>
      </c>
      <c r="BB378">
        <f t="shared" si="305"/>
        <v>15.254763430385323</v>
      </c>
      <c r="BC378">
        <f t="shared" si="306"/>
        <v>-0.97821387293611983</v>
      </c>
      <c r="BD378">
        <f t="shared" si="290"/>
        <v>-236.04752644442988</v>
      </c>
      <c r="BF378">
        <f t="shared" si="291"/>
        <v>-26.390545463998496</v>
      </c>
      <c r="BG378">
        <f t="shared" si="292"/>
        <v>-191.8137111020767</v>
      </c>
      <c r="BH378">
        <f t="shared" si="307"/>
        <v>-11.813711102076695</v>
      </c>
      <c r="BI378">
        <f t="shared" si="308"/>
        <v>-11.813711102076695</v>
      </c>
      <c r="BJ378">
        <f t="shared" si="293"/>
        <v>0</v>
      </c>
      <c r="BK378">
        <f t="shared" si="309"/>
        <v>0</v>
      </c>
      <c r="BM378">
        <f t="shared" si="310"/>
        <v>-41.645308894383817</v>
      </c>
      <c r="BN378">
        <f t="shared" si="294"/>
        <v>-135.76618465764682</v>
      </c>
      <c r="BQ378" s="75">
        <f t="shared" si="311"/>
        <v>32.156724230670463</v>
      </c>
      <c r="BR378" s="80"/>
      <c r="BS378" s="80"/>
      <c r="BT378" s="80">
        <v>478630.092</v>
      </c>
      <c r="BU378" s="80">
        <v>13.0069</v>
      </c>
      <c r="BV378" s="80">
        <v>129.95699999999999</v>
      </c>
      <c r="BY378" s="80"/>
      <c r="BZ378" s="80"/>
      <c r="CA378" s="80"/>
      <c r="CC378" s="80"/>
    </row>
    <row r="379" spans="1:81">
      <c r="A379">
        <f t="shared" si="319"/>
        <v>825000</v>
      </c>
      <c r="B379">
        <f t="shared" si="295"/>
        <v>825</v>
      </c>
      <c r="C379">
        <f t="shared" si="264"/>
        <v>1.3890984299392375</v>
      </c>
      <c r="D379">
        <f t="shared" si="265"/>
        <v>0.76715049912663458</v>
      </c>
      <c r="F379">
        <f t="shared" si="266"/>
        <v>6.5575768009278046E-4</v>
      </c>
      <c r="G379">
        <f t="shared" si="267"/>
        <v>7.8643470913221294E-3</v>
      </c>
      <c r="H379">
        <f t="shared" si="268"/>
        <v>-3.1337283029086782</v>
      </c>
      <c r="J379">
        <f t="shared" si="269"/>
        <v>9</v>
      </c>
      <c r="M379">
        <f t="shared" si="270"/>
        <v>5.1160253197217662E-3</v>
      </c>
      <c r="N379">
        <f t="shared" si="271"/>
        <v>-1.5707963250000001</v>
      </c>
      <c r="O379">
        <f t="shared" si="272"/>
        <v>106.10320779185223</v>
      </c>
      <c r="P379">
        <f t="shared" si="273"/>
        <v>1.5613714015185127</v>
      </c>
      <c r="Q379">
        <f t="shared" si="274"/>
        <v>43.332414280405196</v>
      </c>
      <c r="R379">
        <f t="shared" si="275"/>
        <v>1.5477168654021232</v>
      </c>
      <c r="S379">
        <f t="shared" si="276"/>
        <v>0.87401307475939349</v>
      </c>
      <c r="T379">
        <f t="shared" si="277"/>
        <v>-0.50739535386714041</v>
      </c>
      <c r="U379">
        <f t="shared" si="278"/>
        <v>0.75570822689761241</v>
      </c>
      <c r="V379">
        <f t="shared" si="279"/>
        <v>-0.71406146737383625</v>
      </c>
      <c r="X379">
        <f t="shared" si="296"/>
        <v>-17.898698381571169</v>
      </c>
      <c r="Y379">
        <f t="shared" si="280"/>
        <v>-117.44160496378457</v>
      </c>
      <c r="Z379">
        <f t="shared" si="297"/>
        <v>62.55839503621543</v>
      </c>
      <c r="AC379">
        <v>1</v>
      </c>
      <c r="AD379">
        <f t="shared" si="281"/>
        <v>106.09849529433002</v>
      </c>
      <c r="AE379">
        <f t="shared" si="282"/>
        <v>-3.0798606576527957E-3</v>
      </c>
      <c r="AF379">
        <f t="shared" si="283"/>
        <v>3.5538952693860001E-3</v>
      </c>
      <c r="AG379">
        <f t="shared" si="315"/>
        <v>16910.287971424015</v>
      </c>
      <c r="AH379">
        <f t="shared" si="316"/>
        <v>-14936.098733697036</v>
      </c>
      <c r="AJ379">
        <f t="shared" si="284"/>
        <v>55000</v>
      </c>
      <c r="AK379">
        <f t="shared" si="285"/>
        <v>30576.924912909377</v>
      </c>
      <c r="AL379">
        <v>1</v>
      </c>
      <c r="AM379">
        <f t="shared" si="286"/>
        <v>43.320874037450629</v>
      </c>
      <c r="AN379">
        <f t="shared" si="317"/>
        <v>734.73956888804048</v>
      </c>
      <c r="AO379">
        <f t="shared" si="318"/>
        <v>-1252.6354012202055</v>
      </c>
      <c r="AQ379">
        <f t="shared" si="287"/>
        <v>1.6727476968217938E-2</v>
      </c>
      <c r="AR379">
        <f t="shared" si="288"/>
        <v>-7.2726887988569544</v>
      </c>
      <c r="AT379">
        <f t="shared" si="313"/>
        <v>-108342.73150661204</v>
      </c>
      <c r="AU379">
        <f t="shared" si="314"/>
        <v>-123233.10516278388</v>
      </c>
      <c r="AV379">
        <f t="shared" si="302"/>
        <v>-2.291982683250279</v>
      </c>
      <c r="AW379">
        <f t="shared" si="303"/>
        <v>7376.026965394427</v>
      </c>
      <c r="AX379">
        <f t="shared" si="304"/>
        <v>-27546.034761989256</v>
      </c>
      <c r="AY379">
        <f t="shared" si="312"/>
        <v>-1.309163280412929</v>
      </c>
      <c r="BA379">
        <f t="shared" si="289"/>
        <v>5.7541109190875748</v>
      </c>
      <c r="BB379">
        <f t="shared" si="305"/>
        <v>15.199564586203904</v>
      </c>
      <c r="BC379">
        <f t="shared" si="306"/>
        <v>-0.98281940283735003</v>
      </c>
      <c r="BD379">
        <f t="shared" si="290"/>
        <v>-236.31140387049322</v>
      </c>
      <c r="BF379">
        <f t="shared" si="291"/>
        <v>-26.526057103049048</v>
      </c>
      <c r="BG379">
        <f t="shared" si="292"/>
        <v>-191.90632407148354</v>
      </c>
      <c r="BH379">
        <f t="shared" si="307"/>
        <v>-11.906324071483539</v>
      </c>
      <c r="BI379">
        <f t="shared" si="308"/>
        <v>-11.906324071483539</v>
      </c>
      <c r="BJ379">
        <f t="shared" si="293"/>
        <v>0</v>
      </c>
      <c r="BK379">
        <f t="shared" si="309"/>
        <v>0</v>
      </c>
      <c r="BM379">
        <f t="shared" si="310"/>
        <v>-41.725621689252954</v>
      </c>
      <c r="BN379">
        <f t="shared" si="294"/>
        <v>-135.59492020099034</v>
      </c>
      <c r="BQ379" s="75">
        <f t="shared" si="311"/>
        <v>32.101525386489044</v>
      </c>
      <c r="BR379" s="80"/>
      <c r="BS379" s="80"/>
      <c r="BT379" s="80">
        <v>489778.81900000002</v>
      </c>
      <c r="BU379" s="80">
        <v>12.7394</v>
      </c>
      <c r="BV379" s="80">
        <v>126.41800000000001</v>
      </c>
      <c r="BY379" s="80"/>
      <c r="BZ379" s="80"/>
      <c r="CA379" s="80"/>
      <c r="CC379" s="80"/>
    </row>
    <row r="380" spans="1:81">
      <c r="A380">
        <f t="shared" si="319"/>
        <v>830000</v>
      </c>
      <c r="B380">
        <f t="shared" si="295"/>
        <v>830</v>
      </c>
      <c r="C380">
        <f t="shared" si="264"/>
        <v>1.3931605809936609</v>
      </c>
      <c r="D380">
        <f t="shared" si="265"/>
        <v>0.77016995910883801</v>
      </c>
      <c r="F380">
        <f t="shared" si="266"/>
        <v>6.4787591272406951E-4</v>
      </c>
      <c r="G380">
        <f t="shared" si="267"/>
        <v>7.8169117822046372E-3</v>
      </c>
      <c r="H380">
        <f t="shared" si="268"/>
        <v>-3.1337757382177958</v>
      </c>
      <c r="J380">
        <f t="shared" si="269"/>
        <v>9</v>
      </c>
      <c r="M380">
        <f t="shared" si="270"/>
        <v>5.0852058900848875E-3</v>
      </c>
      <c r="N380">
        <f t="shared" si="271"/>
        <v>-1.5707963250000001</v>
      </c>
      <c r="O380">
        <f t="shared" si="272"/>
        <v>106.74620058816441</v>
      </c>
      <c r="P380">
        <f t="shared" si="273"/>
        <v>1.5614281748448984</v>
      </c>
      <c r="Q380">
        <f t="shared" si="274"/>
        <v>43.594895530958915</v>
      </c>
      <c r="R380">
        <f t="shared" si="275"/>
        <v>1.5478558493806851</v>
      </c>
      <c r="S380">
        <f t="shared" si="276"/>
        <v>0.87276133981230064</v>
      </c>
      <c r="T380">
        <f t="shared" si="277"/>
        <v>-0.50996551931604583</v>
      </c>
      <c r="U380">
        <f t="shared" si="278"/>
        <v>0.753745540165767</v>
      </c>
      <c r="V380">
        <f t="shared" si="279"/>
        <v>-0.71705319500159725</v>
      </c>
      <c r="X380">
        <f t="shared" si="296"/>
        <v>-17.960952291059773</v>
      </c>
      <c r="Y380">
        <f t="shared" si="280"/>
        <v>-117.57877742557839</v>
      </c>
      <c r="Z380">
        <f t="shared" si="297"/>
        <v>62.421222574421606</v>
      </c>
      <c r="AC380">
        <v>1</v>
      </c>
      <c r="AD380">
        <f t="shared" si="281"/>
        <v>106.74151647793201</v>
      </c>
      <c r="AE380">
        <f t="shared" si="282"/>
        <v>-3.1173054281829365E-3</v>
      </c>
      <c r="AF380">
        <f t="shared" si="283"/>
        <v>3.5754340285944E-3</v>
      </c>
      <c r="AG380">
        <f t="shared" si="315"/>
        <v>16822.564965398775</v>
      </c>
      <c r="AH380">
        <f t="shared" si="316"/>
        <v>-14946.73727866455</v>
      </c>
      <c r="AJ380">
        <f t="shared" si="284"/>
        <v>55000</v>
      </c>
      <c r="AK380">
        <f t="shared" si="285"/>
        <v>30762.239609351254</v>
      </c>
      <c r="AL380">
        <v>1</v>
      </c>
      <c r="AM380">
        <f t="shared" si="286"/>
        <v>43.583424789192755</v>
      </c>
      <c r="AN380">
        <f t="shared" si="317"/>
        <v>734.39242404789138</v>
      </c>
      <c r="AO380">
        <f t="shared" si="318"/>
        <v>-1245.0973698929733</v>
      </c>
      <c r="AQ380">
        <f t="shared" si="287"/>
        <v>1.6526549187052379E-2</v>
      </c>
      <c r="AR380">
        <f t="shared" si="288"/>
        <v>-7.2288778799085804</v>
      </c>
      <c r="AT380">
        <f t="shared" si="313"/>
        <v>-107770.11954319009</v>
      </c>
      <c r="AU380">
        <f t="shared" si="314"/>
        <v>-121855.28575051806</v>
      </c>
      <c r="AV380">
        <f t="shared" si="302"/>
        <v>-2.2949314931429576</v>
      </c>
      <c r="AW380">
        <f t="shared" si="303"/>
        <v>7402.5878017287623</v>
      </c>
      <c r="AX380">
        <f t="shared" si="304"/>
        <v>-27470.438518188894</v>
      </c>
      <c r="AY380">
        <f t="shared" si="312"/>
        <v>-1.3075741774197365</v>
      </c>
      <c r="BA380">
        <f t="shared" si="289"/>
        <v>5.7178477220436799</v>
      </c>
      <c r="BB380">
        <f t="shared" si="305"/>
        <v>15.144651700548625</v>
      </c>
      <c r="BC380">
        <f t="shared" si="306"/>
        <v>-0.98735731572322116</v>
      </c>
      <c r="BD380">
        <f t="shared" si="290"/>
        <v>-236.57140712694874</v>
      </c>
      <c r="BF380">
        <f t="shared" si="291"/>
        <v>-26.660637882172185</v>
      </c>
      <c r="BG380">
        <f t="shared" si="292"/>
        <v>-191.99604285736794</v>
      </c>
      <c r="BH380">
        <f t="shared" si="307"/>
        <v>-11.996042857367939</v>
      </c>
      <c r="BI380">
        <f t="shared" si="308"/>
        <v>-11.996042857367939</v>
      </c>
      <c r="BJ380">
        <f t="shared" si="293"/>
        <v>0</v>
      </c>
      <c r="BK380">
        <f t="shared" si="309"/>
        <v>0</v>
      </c>
      <c r="BM380">
        <f t="shared" si="310"/>
        <v>-41.80528958272081</v>
      </c>
      <c r="BN380">
        <f t="shared" si="294"/>
        <v>-135.4246357304192</v>
      </c>
      <c r="BQ380" s="75">
        <f t="shared" si="311"/>
        <v>32.046612500833767</v>
      </c>
      <c r="BR380" s="80"/>
      <c r="BS380" s="80"/>
      <c r="BT380" s="80">
        <v>501187.234</v>
      </c>
      <c r="BU380" s="80">
        <v>12.4757</v>
      </c>
      <c r="BV380" s="80">
        <v>125.40900000000001</v>
      </c>
      <c r="BY380" s="80"/>
      <c r="BZ380" s="80"/>
      <c r="CA380" s="80"/>
      <c r="CC380" s="80"/>
    </row>
    <row r="381" spans="1:81">
      <c r="A381">
        <f t="shared" si="319"/>
        <v>835000</v>
      </c>
      <c r="B381">
        <f t="shared" si="295"/>
        <v>835</v>
      </c>
      <c r="C381">
        <f t="shared" si="264"/>
        <v>1.3972353597644711</v>
      </c>
      <c r="D381">
        <f t="shared" si="265"/>
        <v>0.77317183493256059</v>
      </c>
      <c r="F381">
        <f t="shared" si="266"/>
        <v>6.4013542496152887E-4</v>
      </c>
      <c r="G381">
        <f t="shared" si="267"/>
        <v>7.7700456247452353E-3</v>
      </c>
      <c r="H381">
        <f t="shared" si="268"/>
        <v>-3.1338226043752551</v>
      </c>
      <c r="J381">
        <f t="shared" si="269"/>
        <v>9</v>
      </c>
      <c r="M381">
        <f t="shared" si="270"/>
        <v>5.0547555554137213E-3</v>
      </c>
      <c r="N381">
        <f t="shared" si="271"/>
        <v>-1.5707963250000001</v>
      </c>
      <c r="O381">
        <f t="shared" si="272"/>
        <v>107.38919372442192</v>
      </c>
      <c r="P381">
        <f t="shared" si="273"/>
        <v>1.561484268310521</v>
      </c>
      <c r="Q381">
        <f t="shared" si="274"/>
        <v>43.857377613535668</v>
      </c>
      <c r="R381">
        <f t="shared" si="275"/>
        <v>1.5479931697510454</v>
      </c>
      <c r="S381">
        <f t="shared" si="276"/>
        <v>0.87150745286829345</v>
      </c>
      <c r="T381">
        <f t="shared" si="277"/>
        <v>-0.51252831659493447</v>
      </c>
      <c r="U381">
        <f t="shared" si="278"/>
        <v>0.75178634522571608</v>
      </c>
      <c r="V381">
        <f t="shared" si="279"/>
        <v>-0.72002939648306663</v>
      </c>
      <c r="X381">
        <f t="shared" si="296"/>
        <v>-18.022942446801594</v>
      </c>
      <c r="Y381">
        <f t="shared" si="280"/>
        <v>-117.71574729863316</v>
      </c>
      <c r="Z381">
        <f t="shared" si="297"/>
        <v>62.284252701366839</v>
      </c>
      <c r="AC381">
        <v>1</v>
      </c>
      <c r="AD381">
        <f t="shared" si="281"/>
        <v>107.38453766153403</v>
      </c>
      <c r="AE381">
        <f t="shared" si="282"/>
        <v>-3.1549764511029869E-3</v>
      </c>
      <c r="AF381">
        <f t="shared" si="283"/>
        <v>3.5969727878028004E-3</v>
      </c>
      <c r="AG381">
        <f t="shared" si="315"/>
        <v>16735.225543810564</v>
      </c>
      <c r="AH381">
        <f t="shared" si="316"/>
        <v>-14956.811093220032</v>
      </c>
      <c r="AJ381">
        <f t="shared" si="284"/>
        <v>55000</v>
      </c>
      <c r="AK381">
        <f t="shared" si="285"/>
        <v>30947.554305793128</v>
      </c>
      <c r="AL381">
        <v>1</v>
      </c>
      <c r="AM381">
        <f t="shared" si="286"/>
        <v>43.84597554093488</v>
      </c>
      <c r="AN381">
        <f t="shared" si="317"/>
        <v>734.05149232981444</v>
      </c>
      <c r="AO381">
        <f t="shared" si="318"/>
        <v>-1237.6494726866588</v>
      </c>
      <c r="AQ381">
        <f t="shared" si="287"/>
        <v>1.632922004441904E-2</v>
      </c>
      <c r="AR381">
        <f t="shared" si="288"/>
        <v>-7.1855916344463759</v>
      </c>
      <c r="AT381">
        <f t="shared" si="313"/>
        <v>-107200.26348903876</v>
      </c>
      <c r="AU381">
        <f t="shared" si="314"/>
        <v>-120496.72972768248</v>
      </c>
      <c r="AV381">
        <f t="shared" si="302"/>
        <v>-2.2978652908157438</v>
      </c>
      <c r="AW381">
        <f t="shared" si="303"/>
        <v>7427.5759399629342</v>
      </c>
      <c r="AX381">
        <f t="shared" si="304"/>
        <v>-27395.391567638282</v>
      </c>
      <c r="AY381">
        <f t="shared" si="312"/>
        <v>-1.3060362158724588</v>
      </c>
      <c r="BA381">
        <f t="shared" si="289"/>
        <v>5.6819996797736518</v>
      </c>
      <c r="BB381">
        <f t="shared" si="305"/>
        <v>15.090024098218667</v>
      </c>
      <c r="BC381">
        <f t="shared" si="306"/>
        <v>-0.99182907494328498</v>
      </c>
      <c r="BD381">
        <f t="shared" si="290"/>
        <v>-236.82762005754989</v>
      </c>
      <c r="BF381">
        <f t="shared" si="291"/>
        <v>-26.794297124986166</v>
      </c>
      <c r="BG381">
        <f t="shared" si="292"/>
        <v>-192.08294620547838</v>
      </c>
      <c r="BH381">
        <f t="shared" si="307"/>
        <v>-12.082946205478379</v>
      </c>
      <c r="BI381">
        <f t="shared" si="308"/>
        <v>-12.082946205478379</v>
      </c>
      <c r="BJ381">
        <f t="shared" si="293"/>
        <v>0</v>
      </c>
      <c r="BK381">
        <f t="shared" si="309"/>
        <v>0</v>
      </c>
      <c r="BM381">
        <f t="shared" si="310"/>
        <v>-41.884321223204836</v>
      </c>
      <c r="BN381">
        <f t="shared" si="294"/>
        <v>-135.25532614792851</v>
      </c>
      <c r="BQ381" s="75">
        <f t="shared" si="311"/>
        <v>31.991984898503802</v>
      </c>
      <c r="BR381" s="80"/>
      <c r="BS381" s="80"/>
      <c r="BT381" s="80">
        <v>512861.38400000002</v>
      </c>
      <c r="BU381" s="80">
        <v>12.1639</v>
      </c>
      <c r="BV381" s="80">
        <v>124.027</v>
      </c>
      <c r="BY381" s="80"/>
      <c r="BZ381" s="80"/>
      <c r="CA381" s="80"/>
      <c r="CC381" s="80"/>
    </row>
    <row r="382" spans="1:81">
      <c r="A382">
        <f t="shared" si="319"/>
        <v>840000</v>
      </c>
      <c r="B382">
        <f t="shared" si="295"/>
        <v>840</v>
      </c>
      <c r="C382">
        <f t="shared" si="264"/>
        <v>1.4013226560947065</v>
      </c>
      <c r="D382">
        <f t="shared" si="265"/>
        <v>0.7761562261257694</v>
      </c>
      <c r="F382">
        <f t="shared" si="266"/>
        <v>6.3253285964276409E-4</v>
      </c>
      <c r="G382">
        <f t="shared" si="267"/>
        <v>7.7237384303861087E-3</v>
      </c>
      <c r="H382">
        <f t="shared" si="268"/>
        <v>-3.1338689115696141</v>
      </c>
      <c r="J382">
        <f t="shared" si="269"/>
        <v>9</v>
      </c>
      <c r="M382">
        <f t="shared" si="270"/>
        <v>5.0246677247267344E-3</v>
      </c>
      <c r="N382">
        <f t="shared" si="271"/>
        <v>-1.5707963250000001</v>
      </c>
      <c r="O382">
        <f t="shared" si="272"/>
        <v>108.03218719455478</v>
      </c>
      <c r="P382">
        <f t="shared" si="273"/>
        <v>1.5615396940543524</v>
      </c>
      <c r="Q382">
        <f t="shared" si="274"/>
        <v>44.119860513285609</v>
      </c>
      <c r="R382">
        <f t="shared" si="275"/>
        <v>1.5481288561999609</v>
      </c>
      <c r="S382">
        <f t="shared" si="276"/>
        <v>0.87025147249504409</v>
      </c>
      <c r="T382">
        <f t="shared" si="277"/>
        <v>-0.5150837438233189</v>
      </c>
      <c r="U382">
        <f t="shared" si="278"/>
        <v>0.74983071863933481</v>
      </c>
      <c r="V382">
        <f t="shared" si="279"/>
        <v>-0.72299014005315909</v>
      </c>
      <c r="X382">
        <f t="shared" si="296"/>
        <v>-18.08467225727804</v>
      </c>
      <c r="Y382">
        <f t="shared" si="280"/>
        <v>-117.85251086956855</v>
      </c>
      <c r="Z382">
        <f t="shared" si="297"/>
        <v>62.147489130431453</v>
      </c>
      <c r="AC382">
        <v>1</v>
      </c>
      <c r="AD382">
        <f t="shared" si="281"/>
        <v>108.02755884513601</v>
      </c>
      <c r="AE382">
        <f t="shared" si="282"/>
        <v>-3.1928737264129482E-3</v>
      </c>
      <c r="AF382">
        <f t="shared" si="283"/>
        <v>3.6185115470112003E-3</v>
      </c>
      <c r="AG382">
        <f t="shared" si="315"/>
        <v>16648.27189101898</v>
      </c>
      <c r="AH382">
        <f t="shared" si="316"/>
        <v>-14966.327786281368</v>
      </c>
      <c r="AJ382">
        <f t="shared" si="284"/>
        <v>55000</v>
      </c>
      <c r="AK382">
        <f t="shared" si="285"/>
        <v>31132.869002235006</v>
      </c>
      <c r="AL382">
        <v>1</v>
      </c>
      <c r="AM382">
        <f t="shared" si="286"/>
        <v>44.108526292677006</v>
      </c>
      <c r="AN382">
        <f t="shared" si="317"/>
        <v>733.71662637054192</v>
      </c>
      <c r="AO382">
        <f t="shared" si="318"/>
        <v>-1230.290103404313</v>
      </c>
      <c r="AQ382">
        <f t="shared" si="287"/>
        <v>1.6135404114696647E-2</v>
      </c>
      <c r="AR382">
        <f t="shared" si="288"/>
        <v>-7.1428206934939116</v>
      </c>
      <c r="AT382">
        <f t="shared" si="313"/>
        <v>-106633.16922269054</v>
      </c>
      <c r="AU382">
        <f t="shared" si="314"/>
        <v>-119157.10872102805</v>
      </c>
      <c r="AV382">
        <f t="shared" si="302"/>
        <v>-2.300784135327675</v>
      </c>
      <c r="AW382">
        <f t="shared" si="303"/>
        <v>7451.0391130075541</v>
      </c>
      <c r="AX382">
        <f t="shared" si="304"/>
        <v>-27320.880668915419</v>
      </c>
      <c r="AY382">
        <f t="shared" si="312"/>
        <v>-1.3045480305959574</v>
      </c>
      <c r="BA382">
        <f t="shared" si="289"/>
        <v>5.6465613314420029</v>
      </c>
      <c r="BB382">
        <f t="shared" si="305"/>
        <v>15.035680993858788</v>
      </c>
      <c r="BC382">
        <f t="shared" si="306"/>
        <v>-0.99623610473171764</v>
      </c>
      <c r="BD382">
        <f t="shared" si="290"/>
        <v>-237.08012426490404</v>
      </c>
      <c r="BF382">
        <f t="shared" si="291"/>
        <v>-26.927044111031794</v>
      </c>
      <c r="BG382">
        <f t="shared" si="292"/>
        <v>-192.16711059965115</v>
      </c>
      <c r="BH382">
        <f t="shared" si="307"/>
        <v>-12.167110599651153</v>
      </c>
      <c r="BI382">
        <f t="shared" si="308"/>
        <v>-12.167110599651153</v>
      </c>
      <c r="BJ382">
        <f t="shared" si="293"/>
        <v>0</v>
      </c>
      <c r="BK382">
        <f t="shared" si="309"/>
        <v>0</v>
      </c>
      <c r="BM382">
        <f t="shared" si="310"/>
        <v>-41.962725104890588</v>
      </c>
      <c r="BN382">
        <f t="shared" si="294"/>
        <v>-135.08698633474711</v>
      </c>
      <c r="BQ382" s="75">
        <f t="shared" si="311"/>
        <v>31.937641794143925</v>
      </c>
      <c r="BR382" s="80"/>
      <c r="BS382" s="80"/>
      <c r="BT382" s="80">
        <v>524807.46</v>
      </c>
      <c r="BU382" s="80">
        <v>11.9579</v>
      </c>
      <c r="BV382" s="80">
        <v>122.795</v>
      </c>
      <c r="BY382" s="80"/>
      <c r="BZ382" s="80"/>
      <c r="CA382" s="80"/>
      <c r="CC382" s="80"/>
    </row>
    <row r="383" spans="1:81">
      <c r="A383">
        <f t="shared" si="319"/>
        <v>845000</v>
      </c>
      <c r="B383">
        <f t="shared" si="295"/>
        <v>845</v>
      </c>
      <c r="C383">
        <f t="shared" si="264"/>
        <v>1.4054223607724159</v>
      </c>
      <c r="D383">
        <f t="shared" si="265"/>
        <v>0.77912323230626213</v>
      </c>
      <c r="F383">
        <f t="shared" si="266"/>
        <v>6.2506495875412952E-4</v>
      </c>
      <c r="G383">
        <f t="shared" si="267"/>
        <v>7.6779802524566676E-3</v>
      </c>
      <c r="H383">
        <f t="shared" si="268"/>
        <v>-3.1339146697475435</v>
      </c>
      <c r="J383">
        <f t="shared" si="269"/>
        <v>9</v>
      </c>
      <c r="M383">
        <f t="shared" si="270"/>
        <v>4.9949359630419602E-3</v>
      </c>
      <c r="N383">
        <f t="shared" si="271"/>
        <v>-1.5707963250000001</v>
      </c>
      <c r="O383">
        <f t="shared" si="272"/>
        <v>108.67518099263675</v>
      </c>
      <c r="P383">
        <f t="shared" si="273"/>
        <v>1.5615944639280916</v>
      </c>
      <c r="Q383">
        <f t="shared" si="274"/>
        <v>44.382344215710127</v>
      </c>
      <c r="R383">
        <f t="shared" si="275"/>
        <v>1.5482629377121442</v>
      </c>
      <c r="S383">
        <f t="shared" si="276"/>
        <v>0.86899345683448992</v>
      </c>
      <c r="T383">
        <f t="shared" si="277"/>
        <v>-0.51763179951653226</v>
      </c>
      <c r="U383">
        <f t="shared" si="278"/>
        <v>0.74787873508960034</v>
      </c>
      <c r="V383">
        <f t="shared" si="279"/>
        <v>-0.72593549432388293</v>
      </c>
      <c r="X383">
        <f t="shared" si="296"/>
        <v>-18.146145060834087</v>
      </c>
      <c r="Y383">
        <f t="shared" si="280"/>
        <v>-117.98906450696686</v>
      </c>
      <c r="Z383">
        <f t="shared" si="297"/>
        <v>62.010935493033145</v>
      </c>
      <c r="AC383">
        <v>1</v>
      </c>
      <c r="AD383">
        <f t="shared" si="281"/>
        <v>108.67058002873802</v>
      </c>
      <c r="AE383">
        <f t="shared" si="282"/>
        <v>-3.2309972541128195E-3</v>
      </c>
      <c r="AF383">
        <f t="shared" si="283"/>
        <v>3.6400503062196002E-3</v>
      </c>
      <c r="AG383">
        <f t="shared" si="315"/>
        <v>16561.706074930247</v>
      </c>
      <c r="AH383">
        <f t="shared" si="316"/>
        <v>-14975.294917870471</v>
      </c>
      <c r="AJ383">
        <f t="shared" si="284"/>
        <v>55000</v>
      </c>
      <c r="AK383">
        <f t="shared" si="285"/>
        <v>31318.183698676879</v>
      </c>
      <c r="AL383">
        <v>1</v>
      </c>
      <c r="AM383">
        <f t="shared" si="286"/>
        <v>44.371077044419131</v>
      </c>
      <c r="AN383">
        <f t="shared" si="317"/>
        <v>733.38768314927427</v>
      </c>
      <c r="AO383">
        <f t="shared" si="318"/>
        <v>-1223.0176937676167</v>
      </c>
      <c r="AQ383">
        <f t="shared" si="287"/>
        <v>1.5945018492123628E-2</v>
      </c>
      <c r="AR383">
        <f t="shared" si="288"/>
        <v>-7.1005559098200335</v>
      </c>
      <c r="AT383">
        <f t="shared" si="313"/>
        <v>-106068.84212075721</v>
      </c>
      <c r="AU383">
        <f t="shared" si="314"/>
        <v>-117836.10130143877</v>
      </c>
      <c r="AV383">
        <f t="shared" si="302"/>
        <v>-2.3036880863320213</v>
      </c>
      <c r="AW383">
        <f t="shared" si="303"/>
        <v>7473.0235991680602</v>
      </c>
      <c r="AX383">
        <f t="shared" si="304"/>
        <v>-27246.893048835347</v>
      </c>
      <c r="AY383">
        <f t="shared" si="312"/>
        <v>-1.3031082949717312</v>
      </c>
      <c r="BA383">
        <f t="shared" si="289"/>
        <v>5.6115272341720424</v>
      </c>
      <c r="BB383">
        <f t="shared" si="305"/>
        <v>14.981621500016463</v>
      </c>
      <c r="BC383">
        <f t="shared" si="306"/>
        <v>-1.0005797913602901</v>
      </c>
      <c r="BD383">
        <f t="shared" si="290"/>
        <v>-237.32899917653302</v>
      </c>
      <c r="BF383">
        <f t="shared" si="291"/>
        <v>-27.058888071180878</v>
      </c>
      <c r="BG383">
        <f t="shared" si="292"/>
        <v>-192.24861032963099</v>
      </c>
      <c r="BH383">
        <f t="shared" si="307"/>
        <v>-12.248610329630992</v>
      </c>
      <c r="BI383">
        <f t="shared" si="308"/>
        <v>-12.248610329630992</v>
      </c>
      <c r="BJ383">
        <f t="shared" si="293"/>
        <v>0</v>
      </c>
      <c r="BK383">
        <f t="shared" si="309"/>
        <v>0</v>
      </c>
      <c r="BM383">
        <f t="shared" si="310"/>
        <v>-42.04050957119734</v>
      </c>
      <c r="BN383">
        <f t="shared" si="294"/>
        <v>-134.91961115309797</v>
      </c>
      <c r="BQ383" s="75">
        <f t="shared" si="311"/>
        <v>31.883582300301597</v>
      </c>
      <c r="BR383" s="80"/>
      <c r="BS383" s="80"/>
      <c r="BT383" s="80">
        <v>537031.79599999997</v>
      </c>
      <c r="BU383" s="80">
        <v>11.690200000000001</v>
      </c>
      <c r="BV383" s="80">
        <v>121.76300000000001</v>
      </c>
      <c r="BY383" s="80"/>
      <c r="BZ383" s="80"/>
      <c r="CA383" s="80"/>
      <c r="CC383" s="80"/>
    </row>
    <row r="384" spans="1:81">
      <c r="A384">
        <f t="shared" si="319"/>
        <v>850000</v>
      </c>
      <c r="B384">
        <f t="shared" si="295"/>
        <v>850</v>
      </c>
      <c r="C384">
        <f t="shared" si="264"/>
        <v>1.4095343655266144</v>
      </c>
      <c r="D384">
        <f t="shared" si="265"/>
        <v>0.78207295315898773</v>
      </c>
      <c r="F384">
        <f t="shared" si="266"/>
        <v>6.1772855993684061E-4</v>
      </c>
      <c r="G384">
        <f t="shared" si="267"/>
        <v>7.6327613790333716E-3</v>
      </c>
      <c r="H384">
        <f t="shared" si="268"/>
        <v>-3.133959888620967</v>
      </c>
      <c r="J384">
        <f t="shared" si="269"/>
        <v>9</v>
      </c>
      <c r="M384">
        <f t="shared" si="270"/>
        <v>4.9655539867887732E-3</v>
      </c>
      <c r="N384">
        <f t="shared" si="271"/>
        <v>-1.5707963250000001</v>
      </c>
      <c r="O384">
        <f t="shared" si="272"/>
        <v>109.31817511288095</v>
      </c>
      <c r="P384">
        <f t="shared" si="273"/>
        <v>1.5616485895046139</v>
      </c>
      <c r="Q384">
        <f t="shared" si="274"/>
        <v>44.644828706651552</v>
      </c>
      <c r="R384">
        <f t="shared" si="275"/>
        <v>1.548395442590893</v>
      </c>
      <c r="S384">
        <f t="shared" si="276"/>
        <v>0.86773346360036752</v>
      </c>
      <c r="T384">
        <f t="shared" si="277"/>
        <v>-0.52017248258134152</v>
      </c>
      <c r="U384">
        <f t="shared" si="278"/>
        <v>0.74593046740575863</v>
      </c>
      <c r="V384">
        <f t="shared" si="279"/>
        <v>-0.72886552826389439</v>
      </c>
      <c r="X384">
        <f t="shared" si="296"/>
        <v>-18.207364127414966</v>
      </c>
      <c r="Y384">
        <f t="shared" si="280"/>
        <v>-118.12540465999226</v>
      </c>
      <c r="Z384">
        <f t="shared" si="297"/>
        <v>61.874595340007744</v>
      </c>
      <c r="AC384">
        <v>1</v>
      </c>
      <c r="AD384">
        <f t="shared" si="281"/>
        <v>109.31360121234</v>
      </c>
      <c r="AE384">
        <f t="shared" si="282"/>
        <v>-3.2693470342026005E-3</v>
      </c>
      <c r="AF384">
        <f t="shared" si="283"/>
        <v>3.6615890654280001E-3</v>
      </c>
      <c r="AG384">
        <f t="shared" si="315"/>
        <v>16475.530049356326</v>
      </c>
      <c r="AH384">
        <f t="shared" si="316"/>
        <v>-14983.719997909135</v>
      </c>
      <c r="AJ384">
        <f t="shared" si="284"/>
        <v>55000</v>
      </c>
      <c r="AK384">
        <f t="shared" si="285"/>
        <v>31503.498395118753</v>
      </c>
      <c r="AL384">
        <v>1</v>
      </c>
      <c r="AM384">
        <f t="shared" si="286"/>
        <v>44.633627796161257</v>
      </c>
      <c r="AN384">
        <f t="shared" si="317"/>
        <v>733.06452383504995</v>
      </c>
      <c r="AO384">
        <f t="shared" si="318"/>
        <v>-1215.830712305044</v>
      </c>
      <c r="AQ384">
        <f t="shared" si="287"/>
        <v>1.57579827021255E-2</v>
      </c>
      <c r="AR384">
        <f t="shared" si="288"/>
        <v>-7.0587883514171175</v>
      </c>
      <c r="AT384">
        <f t="shared" si="313"/>
        <v>-105507.2870646106</v>
      </c>
      <c r="AU384">
        <f t="shared" si="314"/>
        <v>-116533.39279635967</v>
      </c>
      <c r="AV384">
        <f t="shared" si="302"/>
        <v>-2.3065772040494563</v>
      </c>
      <c r="AW384">
        <f t="shared" si="303"/>
        <v>7493.5742716611921</v>
      </c>
      <c r="AX384">
        <f t="shared" si="304"/>
        <v>-27173.416385064738</v>
      </c>
      <c r="AY384">
        <f t="shared" si="312"/>
        <v>-1.3017157197902984</v>
      </c>
      <c r="BA384">
        <f t="shared" si="289"/>
        <v>5.5768919684968541</v>
      </c>
      <c r="BB384">
        <f t="shared" si="305"/>
        <v>14.927844634711583</v>
      </c>
      <c r="BC384">
        <f t="shared" si="306"/>
        <v>-1.0048614842591579</v>
      </c>
      <c r="BD384">
        <f t="shared" si="290"/>
        <v>-237.57432210908962</v>
      </c>
      <c r="BF384">
        <f t="shared" si="291"/>
        <v>-27.18983818343505</v>
      </c>
      <c r="BG384">
        <f t="shared" si="292"/>
        <v>-192.32751755699601</v>
      </c>
      <c r="BH384">
        <f t="shared" si="307"/>
        <v>-12.327517556996014</v>
      </c>
      <c r="BI384">
        <f t="shared" si="308"/>
        <v>-12.327517556996014</v>
      </c>
      <c r="BJ384">
        <f t="shared" si="293"/>
        <v>0</v>
      </c>
      <c r="BK384">
        <f t="shared" si="309"/>
        <v>0</v>
      </c>
      <c r="BM384">
        <f t="shared" si="310"/>
        <v>-42.117682818146633</v>
      </c>
      <c r="BN384">
        <f t="shared" si="294"/>
        <v>-134.75319544790642</v>
      </c>
      <c r="BQ384" s="75">
        <f t="shared" si="311"/>
        <v>31.829805434996722</v>
      </c>
      <c r="BR384" s="80"/>
      <c r="BS384" s="80"/>
      <c r="BT384" s="80">
        <v>549540.87399999995</v>
      </c>
      <c r="BU384" s="80">
        <v>11.575799999999999</v>
      </c>
      <c r="BV384" s="80">
        <v>121.762</v>
      </c>
      <c r="BY384" s="80"/>
      <c r="BZ384" s="80"/>
      <c r="CA384" s="80"/>
      <c r="CC384" s="80"/>
    </row>
    <row r="385" spans="1:81">
      <c r="A385">
        <f t="shared" si="319"/>
        <v>855000</v>
      </c>
      <c r="B385">
        <f t="shared" si="295"/>
        <v>855</v>
      </c>
      <c r="C385">
        <f t="shared" si="264"/>
        <v>1.4136585630230996</v>
      </c>
      <c r="D385">
        <f t="shared" si="265"/>
        <v>0.78500548841399675</v>
      </c>
      <c r="F385">
        <f t="shared" si="266"/>
        <v>6.1052059313591563E-4</v>
      </c>
      <c r="G385">
        <f t="shared" si="267"/>
        <v>7.5880723260511197E-3</v>
      </c>
      <c r="H385">
        <f t="shared" si="268"/>
        <v>-3.1340045776739491</v>
      </c>
      <c r="J385">
        <f t="shared" si="269"/>
        <v>9</v>
      </c>
      <c r="M385">
        <f t="shared" si="270"/>
        <v>4.9365156593806515E-3</v>
      </c>
      <c r="N385">
        <f t="shared" si="271"/>
        <v>-1.5707963250000001</v>
      </c>
      <c r="O385">
        <f t="shared" si="272"/>
        <v>109.96116954963593</v>
      </c>
      <c r="P385">
        <f t="shared" si="273"/>
        <v>1.5617020820861218</v>
      </c>
      <c r="Q385">
        <f t="shared" si="274"/>
        <v>44.907313972283177</v>
      </c>
      <c r="R385">
        <f t="shared" si="275"/>
        <v>1.5485263984779922</v>
      </c>
      <c r="S385">
        <f t="shared" si="276"/>
        <v>0.86647155007587295</v>
      </c>
      <c r="T385">
        <f t="shared" si="277"/>
        <v>-0.52270579231155423</v>
      </c>
      <c r="U385">
        <f t="shared" si="278"/>
        <v>0.74398598658848913</v>
      </c>
      <c r="V385">
        <f t="shared" si="279"/>
        <v>-0.73178031117846687</v>
      </c>
      <c r="X385">
        <f t="shared" si="296"/>
        <v>-18.268332660253012</v>
      </c>
      <c r="Y385">
        <f t="shared" si="280"/>
        <v>-118.26152785704238</v>
      </c>
      <c r="Z385">
        <f t="shared" si="297"/>
        <v>61.738472142957619</v>
      </c>
      <c r="AC385">
        <v>1</v>
      </c>
      <c r="AD385">
        <f t="shared" si="281"/>
        <v>109.95662239594202</v>
      </c>
      <c r="AE385">
        <f t="shared" si="282"/>
        <v>-3.3079230666822911E-3</v>
      </c>
      <c r="AF385">
        <f t="shared" si="283"/>
        <v>3.6831278246364E-3</v>
      </c>
      <c r="AG385">
        <f t="shared" si="315"/>
        <v>16389.745656353778</v>
      </c>
      <c r="AH385">
        <f t="shared" si="316"/>
        <v>-14991.610485079891</v>
      </c>
      <c r="AJ385">
        <f t="shared" si="284"/>
        <v>55000</v>
      </c>
      <c r="AK385">
        <f t="shared" si="285"/>
        <v>31688.813091560631</v>
      </c>
      <c r="AL385">
        <v>1</v>
      </c>
      <c r="AM385">
        <f t="shared" si="286"/>
        <v>44.896178547903375</v>
      </c>
      <c r="AN385">
        <f t="shared" si="317"/>
        <v>732.74701364033638</v>
      </c>
      <c r="AO385">
        <f t="shared" si="318"/>
        <v>-1208.7276632789033</v>
      </c>
      <c r="AQ385">
        <f t="shared" si="287"/>
        <v>1.5574218616261513E-2</v>
      </c>
      <c r="AR385">
        <f t="shared" si="288"/>
        <v>-7.0175092952081943</v>
      </c>
      <c r="AT385">
        <f t="shared" si="313"/>
        <v>-104948.50844727179</v>
      </c>
      <c r="AU385">
        <f t="shared" si="314"/>
        <v>-115248.67510866524</v>
      </c>
      <c r="AV385">
        <f t="shared" si="302"/>
        <v>-2.3094515492418646</v>
      </c>
      <c r="AW385">
        <f t="shared" si="303"/>
        <v>7512.7346461835768</v>
      </c>
      <c r="AX385">
        <f t="shared" si="304"/>
        <v>-27100.438789414977</v>
      </c>
      <c r="AY385">
        <f t="shared" si="312"/>
        <v>-1.300369052135949</v>
      </c>
      <c r="BA385">
        <f t="shared" si="289"/>
        <v>5.5426501432963935</v>
      </c>
      <c r="BB385">
        <f t="shared" si="305"/>
        <v>14.87434932854759</v>
      </c>
      <c r="BC385">
        <f t="shared" si="306"/>
        <v>-1.0090824971059156</v>
      </c>
      <c r="BD385">
        <f t="shared" si="290"/>
        <v>-237.81616833075566</v>
      </c>
      <c r="BF385">
        <f t="shared" si="291"/>
        <v>-27.319903569089657</v>
      </c>
      <c r="BG385">
        <f t="shared" si="292"/>
        <v>-192.403902379214</v>
      </c>
      <c r="BH385">
        <f t="shared" si="307"/>
        <v>-12.403902379214003</v>
      </c>
      <c r="BI385">
        <f t="shared" si="308"/>
        <v>-12.403902379214003</v>
      </c>
      <c r="BJ385">
        <f t="shared" si="293"/>
        <v>0</v>
      </c>
      <c r="BK385">
        <f t="shared" si="309"/>
        <v>0</v>
      </c>
      <c r="BM385">
        <f t="shared" si="310"/>
        <v>-42.194252897637256</v>
      </c>
      <c r="BN385">
        <f t="shared" si="294"/>
        <v>-134.58773404845832</v>
      </c>
      <c r="BQ385" s="75">
        <f t="shared" si="311"/>
        <v>31.776310128832726</v>
      </c>
      <c r="BR385" s="80"/>
      <c r="BS385" s="80"/>
      <c r="BT385" s="80">
        <v>562341.32499999995</v>
      </c>
      <c r="BU385" s="80">
        <v>11.314</v>
      </c>
      <c r="BV385" s="80">
        <v>119.89400000000001</v>
      </c>
      <c r="BY385" s="80"/>
      <c r="BZ385" s="80"/>
      <c r="CA385" s="80"/>
      <c r="CC385" s="80"/>
    </row>
    <row r="386" spans="1:81">
      <c r="A386">
        <f t="shared" si="319"/>
        <v>860000</v>
      </c>
      <c r="B386">
        <f t="shared" si="295"/>
        <v>860</v>
      </c>
      <c r="C386">
        <f t="shared" si="264"/>
        <v>1.4177948468601411</v>
      </c>
      <c r="D386">
        <f t="shared" si="265"/>
        <v>0.7879209378250116</v>
      </c>
      <c r="F386">
        <f t="shared" si="266"/>
        <v>6.0343807738530973E-4</v>
      </c>
      <c r="G386">
        <f t="shared" si="267"/>
        <v>7.5439038306559644E-3</v>
      </c>
      <c r="H386">
        <f t="shared" si="268"/>
        <v>-3.134048746169344</v>
      </c>
      <c r="J386">
        <f t="shared" si="269"/>
        <v>9</v>
      </c>
      <c r="M386">
        <f t="shared" si="270"/>
        <v>4.9078149869423915E-3</v>
      </c>
      <c r="N386">
        <f t="shared" si="271"/>
        <v>-1.5707963250000001</v>
      </c>
      <c r="O386">
        <f t="shared" si="272"/>
        <v>110.60416429738156</v>
      </c>
      <c r="P386">
        <f t="shared" si="273"/>
        <v>1.5617549527120118</v>
      </c>
      <c r="Q386">
        <f t="shared" si="274"/>
        <v>45.169799999099631</v>
      </c>
      <c r="R386">
        <f t="shared" si="275"/>
        <v>1.5486558323729265</v>
      </c>
      <c r="S386">
        <f t="shared" si="276"/>
        <v>0.86520777311145458</v>
      </c>
      <c r="T386">
        <f t="shared" si="277"/>
        <v>-0.52523172838362497</v>
      </c>
      <c r="U386">
        <f t="shared" si="278"/>
        <v>0.74204536183505276</v>
      </c>
      <c r="V386">
        <f t="shared" si="279"/>
        <v>-0.73467991268987409</v>
      </c>
      <c r="X386">
        <f t="shared" si="296"/>
        <v>-18.329053797506209</v>
      </c>
      <c r="Y386">
        <f t="shared" si="280"/>
        <v>-118.39743070442974</v>
      </c>
      <c r="Z386">
        <f t="shared" si="297"/>
        <v>61.602569295570262</v>
      </c>
      <c r="AC386">
        <v>1</v>
      </c>
      <c r="AD386">
        <f t="shared" si="281"/>
        <v>110.59964357954401</v>
      </c>
      <c r="AE386">
        <f t="shared" si="282"/>
        <v>-3.3467253515518927E-3</v>
      </c>
      <c r="AF386">
        <f t="shared" si="283"/>
        <v>3.7046665838447999E-3</v>
      </c>
      <c r="AG386">
        <f t="shared" si="315"/>
        <v>16304.354628541365</v>
      </c>
      <c r="AH386">
        <f t="shared" si="316"/>
        <v>-14998.973785749913</v>
      </c>
      <c r="AJ386">
        <f t="shared" si="284"/>
        <v>55000</v>
      </c>
      <c r="AK386">
        <f t="shared" si="285"/>
        <v>31874.127788002505</v>
      </c>
      <c r="AL386">
        <v>1</v>
      </c>
      <c r="AM386">
        <f t="shared" si="286"/>
        <v>45.158729299645508</v>
      </c>
      <c r="AN386">
        <f t="shared" si="317"/>
        <v>732.43502168055511</v>
      </c>
      <c r="AO386">
        <f t="shared" si="318"/>
        <v>-1201.7070856496719</v>
      </c>
      <c r="AQ386">
        <f t="shared" si="287"/>
        <v>1.5393650370622528E-2</v>
      </c>
      <c r="AR386">
        <f t="shared" si="288"/>
        <v>-6.9767102209735414</v>
      </c>
      <c r="AT386">
        <f t="shared" si="313"/>
        <v>-104392.51018048523</v>
      </c>
      <c r="AU386">
        <f t="shared" si="314"/>
        <v>-113981.64654169779</v>
      </c>
      <c r="AV386">
        <f t="shared" si="302"/>
        <v>-2.3123111831867784</v>
      </c>
      <c r="AW386">
        <f t="shared" si="303"/>
        <v>7530.5469266209566</v>
      </c>
      <c r="AX386">
        <f t="shared" si="304"/>
        <v>-27027.948791784478</v>
      </c>
      <c r="AY386">
        <f t="shared" si="312"/>
        <v>-1.299067074303353</v>
      </c>
      <c r="BA386">
        <f t="shared" si="289"/>
        <v>5.5087964002589551</v>
      </c>
      <c r="BB386">
        <f t="shared" si="305"/>
        <v>14.821134431390796</v>
      </c>
      <c r="BC386">
        <f t="shared" si="306"/>
        <v>-1.0132441088834254</v>
      </c>
      <c r="BD386">
        <f t="shared" si="290"/>
        <v>-238.05461112185139</v>
      </c>
      <c r="BF386">
        <f t="shared" si="291"/>
        <v>-27.44909328923891</v>
      </c>
      <c r="BG386">
        <f t="shared" si="292"/>
        <v>-192.47783289186023</v>
      </c>
      <c r="BH386">
        <f t="shared" si="307"/>
        <v>-12.477832891860231</v>
      </c>
      <c r="BI386">
        <f t="shared" si="308"/>
        <v>-12.477832891860231</v>
      </c>
      <c r="BJ386">
        <f t="shared" si="293"/>
        <v>0</v>
      </c>
      <c r="BK386">
        <f t="shared" si="309"/>
        <v>0</v>
      </c>
      <c r="BM386">
        <f t="shared" si="310"/>
        <v>-42.270227720629705</v>
      </c>
      <c r="BN386">
        <f t="shared" si="294"/>
        <v>-134.42322177000887</v>
      </c>
      <c r="BQ386" s="75">
        <f t="shared" si="311"/>
        <v>31.723095231675931</v>
      </c>
      <c r="BR386" s="80"/>
      <c r="BS386" s="80"/>
      <c r="BT386" s="80">
        <v>575439.93700000003</v>
      </c>
      <c r="BU386" s="80">
        <v>11.0791</v>
      </c>
      <c r="BV386" s="80">
        <v>119.196</v>
      </c>
      <c r="BY386" s="80"/>
      <c r="BZ386" s="80"/>
      <c r="CA386" s="80"/>
      <c r="CC386" s="80"/>
    </row>
    <row r="387" spans="1:81">
      <c r="A387">
        <f t="shared" si="319"/>
        <v>865000</v>
      </c>
      <c r="B387">
        <f t="shared" si="295"/>
        <v>865</v>
      </c>
      <c r="C387">
        <f t="shared" si="264"/>
        <v>1.4219431115640395</v>
      </c>
      <c r="D387">
        <f t="shared" si="265"/>
        <v>0.79081940114860572</v>
      </c>
      <c r="F387">
        <f t="shared" si="266"/>
        <v>5.9647811772295368E-4</v>
      </c>
      <c r="G387">
        <f t="shared" si="267"/>
        <v>7.5002468447892875E-3</v>
      </c>
      <c r="H387">
        <f t="shared" si="268"/>
        <v>-3.1340924031552109</v>
      </c>
      <c r="J387">
        <f t="shared" si="269"/>
        <v>9</v>
      </c>
      <c r="M387">
        <f t="shared" si="270"/>
        <v>4.8794461141854996E-3</v>
      </c>
      <c r="N387">
        <f t="shared" si="271"/>
        <v>-1.5707963250000001</v>
      </c>
      <c r="O387">
        <f t="shared" si="272"/>
        <v>111.2471593507254</v>
      </c>
      <c r="P387">
        <f t="shared" si="273"/>
        <v>1.5618072121664692</v>
      </c>
      <c r="Q387">
        <f t="shared" si="274"/>
        <v>45.432286773907649</v>
      </c>
      <c r="R387">
        <f t="shared" si="275"/>
        <v>1.5487837706514249</v>
      </c>
      <c r="S387">
        <f t="shared" si="276"/>
        <v>0.8639421891227298</v>
      </c>
      <c r="T387">
        <f t="shared" si="277"/>
        <v>-0.527750290852259</v>
      </c>
      <c r="U387">
        <f t="shared" si="278"/>
        <v>0.7401086605644106</v>
      </c>
      <c r="V387">
        <f t="shared" si="279"/>
        <v>-0.73756440271818247</v>
      </c>
      <c r="X387">
        <f t="shared" si="296"/>
        <v>-18.389530613850177</v>
      </c>
      <c r="Y387">
        <f t="shared" si="280"/>
        <v>-118.53310988509202</v>
      </c>
      <c r="Z387">
        <f t="shared" si="297"/>
        <v>61.466890114907983</v>
      </c>
      <c r="AC387">
        <v>1</v>
      </c>
      <c r="AD387">
        <f t="shared" si="281"/>
        <v>111.24266476314602</v>
      </c>
      <c r="AE387">
        <f t="shared" si="282"/>
        <v>-3.3857538888114051E-3</v>
      </c>
      <c r="AF387">
        <f t="shared" si="283"/>
        <v>3.7262053430532007E-3</v>
      </c>
      <c r="AG387">
        <f t="shared" si="315"/>
        <v>16219.358591396047</v>
      </c>
      <c r="AH387">
        <f t="shared" si="316"/>
        <v>-15005.817252956345</v>
      </c>
      <c r="AJ387">
        <f t="shared" si="284"/>
        <v>55000</v>
      </c>
      <c r="AK387">
        <f t="shared" si="285"/>
        <v>32059.442484444382</v>
      </c>
      <c r="AL387">
        <v>1</v>
      </c>
      <c r="AM387">
        <f t="shared" si="286"/>
        <v>45.421280051387633</v>
      </c>
      <c r="AN387">
        <f t="shared" si="317"/>
        <v>732.12842083926671</v>
      </c>
      <c r="AO387">
        <f t="shared" si="318"/>
        <v>-1194.7675520761295</v>
      </c>
      <c r="AQ387">
        <f t="shared" si="287"/>
        <v>1.5216204287521157E-2</v>
      </c>
      <c r="AR387">
        <f t="shared" si="288"/>
        <v>-6.9363828054879564</v>
      </c>
      <c r="AT387">
        <f t="shared" si="313"/>
        <v>-103839.29570196167</v>
      </c>
      <c r="AU387">
        <f t="shared" si="314"/>
        <v>-112732.0116302251</v>
      </c>
      <c r="AV387">
        <f t="shared" si="302"/>
        <v>-2.315156167652431</v>
      </c>
      <c r="AW387">
        <f t="shared" si="303"/>
        <v>7547.0520489823166</v>
      </c>
      <c r="AX387">
        <f t="shared" si="304"/>
        <v>-26955.935324722992</v>
      </c>
      <c r="AY387">
        <f t="shared" si="312"/>
        <v>-1.2978086027454583</v>
      </c>
      <c r="BA387">
        <f t="shared" si="289"/>
        <v>5.4753254179027442</v>
      </c>
      <c r="BB387">
        <f t="shared" si="305"/>
        <v>14.7681987186435</v>
      </c>
      <c r="BC387">
        <f t="shared" si="306"/>
        <v>-1.0173475649069728</v>
      </c>
      <c r="BD387">
        <f t="shared" si="290"/>
        <v>-238.28972183368683</v>
      </c>
      <c r="BF387">
        <f t="shared" si="291"/>
        <v>-27.577416341599989</v>
      </c>
      <c r="BG387">
        <f t="shared" si="292"/>
        <v>-192.54937524902979</v>
      </c>
      <c r="BH387">
        <f t="shared" si="307"/>
        <v>-12.549375249029794</v>
      </c>
      <c r="BI387">
        <f t="shared" si="308"/>
        <v>-12.549375249029794</v>
      </c>
      <c r="BJ387">
        <f t="shared" si="293"/>
        <v>0</v>
      </c>
      <c r="BK387">
        <f t="shared" si="309"/>
        <v>0</v>
      </c>
      <c r="BM387">
        <f t="shared" si="310"/>
        <v>-42.345615060243489</v>
      </c>
      <c r="BN387">
        <f t="shared" si="294"/>
        <v>-134.25965341534297</v>
      </c>
      <c r="BQ387" s="75">
        <f t="shared" si="311"/>
        <v>31.670159518928639</v>
      </c>
      <c r="BR387" s="80"/>
      <c r="BS387" s="80"/>
      <c r="BT387" s="80">
        <v>588843.65500000003</v>
      </c>
      <c r="BU387" s="80">
        <v>10.8666</v>
      </c>
      <c r="BV387" s="80">
        <v>116.889</v>
      </c>
      <c r="BY387" s="80"/>
      <c r="BZ387" s="80"/>
      <c r="CA387" s="80"/>
      <c r="CC387" s="80"/>
    </row>
    <row r="388" spans="1:81">
      <c r="A388">
        <f t="shared" si="319"/>
        <v>870000</v>
      </c>
      <c r="B388">
        <f t="shared" si="295"/>
        <v>870</v>
      </c>
      <c r="C388">
        <f t="shared" si="264"/>
        <v>1.4261032525845703</v>
      </c>
      <c r="D388">
        <f t="shared" si="265"/>
        <v>0.79370097812398122</v>
      </c>
      <c r="F388">
        <f t="shared" si="266"/>
        <v>5.8963790222972914E-4</v>
      </c>
      <c r="G388">
        <f t="shared" si="267"/>
        <v>7.457092528994117E-3</v>
      </c>
      <c r="H388">
        <f t="shared" si="268"/>
        <v>-3.1341355574710059</v>
      </c>
      <c r="J388">
        <f t="shared" si="269"/>
        <v>9</v>
      </c>
      <c r="M388">
        <f t="shared" si="270"/>
        <v>4.8514033204258124E-3</v>
      </c>
      <c r="N388">
        <f t="shared" si="271"/>
        <v>-1.5707963250000001</v>
      </c>
      <c r="O388">
        <f t="shared" si="272"/>
        <v>111.89015470439894</v>
      </c>
      <c r="P388">
        <f t="shared" si="273"/>
        <v>1.5618588709858008</v>
      </c>
      <c r="Q388">
        <f t="shared" si="274"/>
        <v>45.694774283817033</v>
      </c>
      <c r="R388">
        <f t="shared" si="275"/>
        <v>1.5489102390833676</v>
      </c>
      <c r="S388">
        <f t="shared" si="276"/>
        <v>0.8626748540885284</v>
      </c>
      <c r="T388">
        <f t="shared" si="277"/>
        <v>-0.53026148014601571</v>
      </c>
      <c r="U388">
        <f t="shared" si="278"/>
        <v>0.73817594844230128</v>
      </c>
      <c r="V388">
        <f t="shared" si="279"/>
        <v>-0.74043385146244767</v>
      </c>
      <c r="X388">
        <f t="shared" si="296"/>
        <v>-18.449766122025114</v>
      </c>
      <c r="Y388">
        <f t="shared" si="280"/>
        <v>-118.66856215733044</v>
      </c>
      <c r="Z388">
        <f t="shared" si="297"/>
        <v>61.331437842669558</v>
      </c>
      <c r="AC388">
        <v>1</v>
      </c>
      <c r="AD388">
        <f t="shared" si="281"/>
        <v>111.88568594674801</v>
      </c>
      <c r="AE388">
        <f t="shared" si="282"/>
        <v>-3.4250086784608277E-3</v>
      </c>
      <c r="AF388">
        <f t="shared" si="283"/>
        <v>3.7477441022616006E-3</v>
      </c>
      <c r="AG388">
        <f t="shared" si="315"/>
        <v>16134.759065526221</v>
      </c>
      <c r="AH388">
        <f t="shared" si="316"/>
        <v>-15012.148185451169</v>
      </c>
      <c r="AJ388">
        <f t="shared" si="284"/>
        <v>55000</v>
      </c>
      <c r="AK388">
        <f t="shared" si="285"/>
        <v>32244.757180886256</v>
      </c>
      <c r="AL388">
        <v>1</v>
      </c>
      <c r="AM388">
        <f t="shared" si="286"/>
        <v>45.683830803129752</v>
      </c>
      <c r="AN388">
        <f t="shared" si="317"/>
        <v>731.82708763875519</v>
      </c>
      <c r="AO388">
        <f t="shared" si="318"/>
        <v>-1187.9076679498471</v>
      </c>
      <c r="AQ388">
        <f t="shared" si="287"/>
        <v>1.5041808800323074E-2</v>
      </c>
      <c r="AR388">
        <f t="shared" si="288"/>
        <v>-6.896518916860126</v>
      </c>
      <c r="AT388">
        <f t="shared" si="313"/>
        <v>-103288.86798276847</v>
      </c>
      <c r="AU388">
        <f t="shared" si="314"/>
        <v>-111499.48097706967</v>
      </c>
      <c r="AV388">
        <f t="shared" si="302"/>
        <v>-2.3179865648734106</v>
      </c>
      <c r="AW388">
        <f t="shared" si="303"/>
        <v>7562.289723638225</v>
      </c>
      <c r="AX388">
        <f t="shared" si="304"/>
        <v>-26884.387708591104</v>
      </c>
      <c r="AY388">
        <f t="shared" si="312"/>
        <v>-1.2965924870520922</v>
      </c>
      <c r="BA388">
        <f t="shared" si="289"/>
        <v>5.4422319151906509</v>
      </c>
      <c r="BB388">
        <f t="shared" si="305"/>
        <v>14.715540897134643</v>
      </c>
      <c r="BC388">
        <f t="shared" si="306"/>
        <v>-1.0213940778213184</v>
      </c>
      <c r="BD388">
        <f t="shared" si="290"/>
        <v>-238.52156994568895</v>
      </c>
      <c r="BF388">
        <f t="shared" si="291"/>
        <v>-27.704881657635077</v>
      </c>
      <c r="BG388">
        <f t="shared" si="292"/>
        <v>-192.61859372197782</v>
      </c>
      <c r="BH388">
        <f t="shared" si="307"/>
        <v>-12.618593721977817</v>
      </c>
      <c r="BI388">
        <f t="shared" si="308"/>
        <v>-12.618593721977817</v>
      </c>
      <c r="BJ388">
        <f t="shared" si="293"/>
        <v>0</v>
      </c>
      <c r="BK388">
        <f t="shared" si="309"/>
        <v>0</v>
      </c>
      <c r="BM388">
        <f t="shared" si="310"/>
        <v>-42.420422554769729</v>
      </c>
      <c r="BN388">
        <f t="shared" si="294"/>
        <v>-134.09702377628889</v>
      </c>
      <c r="BQ388" s="75">
        <f t="shared" si="311"/>
        <v>31.61750169741978</v>
      </c>
      <c r="BR388" s="80"/>
      <c r="BS388" s="80"/>
      <c r="BT388" s="80">
        <v>602559.58600000001</v>
      </c>
      <c r="BU388" s="80">
        <v>10.6013</v>
      </c>
      <c r="BV388" s="80">
        <v>117.324</v>
      </c>
      <c r="BY388" s="80"/>
      <c r="BZ388" s="80"/>
      <c r="CA388" s="80"/>
      <c r="CC388" s="80"/>
    </row>
    <row r="389" spans="1:81">
      <c r="A389">
        <f t="shared" si="319"/>
        <v>875000</v>
      </c>
      <c r="B389">
        <f t="shared" si="295"/>
        <v>875</v>
      </c>
      <c r="C389">
        <f t="shared" si="264"/>
        <v>1.4302751662903102</v>
      </c>
      <c r="D389">
        <f t="shared" si="265"/>
        <v>0.79656576845333393</v>
      </c>
      <c r="F389">
        <f t="shared" si="266"/>
        <v>5.8291469918672265E-4</v>
      </c>
      <c r="G389">
        <f t="shared" si="267"/>
        <v>7.4144322464346473E-3</v>
      </c>
      <c r="H389">
        <f t="shared" si="268"/>
        <v>-3.1341782177535658</v>
      </c>
      <c r="J389">
        <f t="shared" si="269"/>
        <v>9</v>
      </c>
      <c r="M389">
        <f t="shared" si="270"/>
        <v>4.8236810157376653E-3</v>
      </c>
      <c r="N389">
        <f t="shared" si="271"/>
        <v>-1.5707963250000001</v>
      </c>
      <c r="O389">
        <f t="shared" si="272"/>
        <v>112.53315035325407</v>
      </c>
      <c r="P389">
        <f t="shared" si="273"/>
        <v>1.5619099394655149</v>
      </c>
      <c r="Q389">
        <f t="shared" si="274"/>
        <v>45.957262516232085</v>
      </c>
      <c r="R389">
        <f t="shared" si="275"/>
        <v>1.5490352628500785</v>
      </c>
      <c r="S389">
        <f t="shared" si="276"/>
        <v>0.86140582354905826</v>
      </c>
      <c r="T389">
        <f t="shared" si="277"/>
        <v>-0.53276529706291265</v>
      </c>
      <c r="U389">
        <f t="shared" si="278"/>
        <v>0.73624728940626238</v>
      </c>
      <c r="V389">
        <f t="shared" si="279"/>
        <v>-0.74328832938231404</v>
      </c>
      <c r="X389">
        <f t="shared" si="296"/>
        <v>-18.509763274339203</v>
      </c>
      <c r="Y389">
        <f t="shared" si="280"/>
        <v>-118.80378435357478</v>
      </c>
      <c r="Z389">
        <f t="shared" si="297"/>
        <v>61.196215646425216</v>
      </c>
      <c r="AC389">
        <v>1</v>
      </c>
      <c r="AD389">
        <f t="shared" si="281"/>
        <v>112.52870713035001</v>
      </c>
      <c r="AE389">
        <f t="shared" si="282"/>
        <v>-3.4644897205001598E-3</v>
      </c>
      <c r="AF389">
        <f t="shared" si="283"/>
        <v>3.76928286147E-3</v>
      </c>
      <c r="AG389">
        <f t="shared" si="315"/>
        <v>16050.557468922018</v>
      </c>
      <c r="AH389">
        <f t="shared" si="316"/>
        <v>-15017.973826804011</v>
      </c>
      <c r="AJ389">
        <f t="shared" si="284"/>
        <v>55000</v>
      </c>
      <c r="AK389">
        <f t="shared" si="285"/>
        <v>32430.071877328126</v>
      </c>
      <c r="AL389">
        <v>1</v>
      </c>
      <c r="AM389">
        <f t="shared" si="286"/>
        <v>45.946381554871884</v>
      </c>
      <c r="AN389">
        <f t="shared" si="317"/>
        <v>731.53090211576978</v>
      </c>
      <c r="AO389">
        <f t="shared" si="318"/>
        <v>-1181.1260704626677</v>
      </c>
      <c r="AQ389">
        <f t="shared" si="287"/>
        <v>1.4870394381276505E-2</v>
      </c>
      <c r="AR389">
        <f t="shared" si="288"/>
        <v>-6.8571106090661287</v>
      </c>
      <c r="AT389">
        <f t="shared" si="313"/>
        <v>-102741.22953485302</v>
      </c>
      <c r="AU389">
        <f t="shared" si="314"/>
        <v>-110283.77109518302</v>
      </c>
      <c r="AV389">
        <f t="shared" si="302"/>
        <v>-2.3208024375269072</v>
      </c>
      <c r="AW389">
        <f t="shared" si="303"/>
        <v>7576.2984759394203</v>
      </c>
      <c r="AX389">
        <f t="shared" si="304"/>
        <v>-26813.295637290401</v>
      </c>
      <c r="AY389">
        <f t="shared" si="312"/>
        <v>-1.2954176089586371</v>
      </c>
      <c r="BA389">
        <f t="shared" si="289"/>
        <v>5.4095106547691172</v>
      </c>
      <c r="BB389">
        <f t="shared" si="305"/>
        <v>14.663159610650712</v>
      </c>
      <c r="BC389">
        <f t="shared" si="306"/>
        <v>-1.0253848285682701</v>
      </c>
      <c r="BD389">
        <f t="shared" si="290"/>
        <v>-238.75022312083922</v>
      </c>
      <c r="BF389">
        <f t="shared" si="291"/>
        <v>-27.831498099951677</v>
      </c>
      <c r="BG389">
        <f t="shared" si="292"/>
        <v>-192.68555075602504</v>
      </c>
      <c r="BH389">
        <f t="shared" si="307"/>
        <v>-12.685550756025037</v>
      </c>
      <c r="BI389">
        <f t="shared" si="308"/>
        <v>-12.685550756025037</v>
      </c>
      <c r="BJ389">
        <f t="shared" si="293"/>
        <v>0</v>
      </c>
      <c r="BK389">
        <f t="shared" si="309"/>
        <v>0</v>
      </c>
      <c r="BM389">
        <f t="shared" si="310"/>
        <v>-42.494657710602397</v>
      </c>
      <c r="BN389">
        <f t="shared" si="294"/>
        <v>-133.93532763518581</v>
      </c>
      <c r="BQ389" s="75">
        <f t="shared" si="311"/>
        <v>31.565120410935851</v>
      </c>
      <c r="BR389" s="80"/>
      <c r="BS389" s="80"/>
      <c r="BT389" s="80">
        <v>616595.00199999998</v>
      </c>
      <c r="BU389" s="80">
        <v>10.4749</v>
      </c>
      <c r="BV389" s="80">
        <v>115.142</v>
      </c>
      <c r="BY389" s="80"/>
      <c r="BZ389" s="80"/>
      <c r="CA389" s="80"/>
      <c r="CC389" s="80"/>
    </row>
    <row r="390" spans="1:81">
      <c r="A390">
        <f t="shared" si="319"/>
        <v>880000</v>
      </c>
      <c r="B390">
        <f t="shared" si="295"/>
        <v>880</v>
      </c>
      <c r="C390">
        <f t="shared" si="264"/>
        <v>1.4344587499638579</v>
      </c>
      <c r="D390">
        <f t="shared" si="265"/>
        <v>0.79941387178279766</v>
      </c>
      <c r="F390">
        <f t="shared" si="266"/>
        <v>5.7630585434538821E-4</v>
      </c>
      <c r="G390">
        <f t="shared" si="267"/>
        <v>7.3722575571204575E-3</v>
      </c>
      <c r="H390">
        <f t="shared" si="268"/>
        <v>-3.1342203924428795</v>
      </c>
      <c r="J390">
        <f t="shared" si="269"/>
        <v>9</v>
      </c>
      <c r="M390">
        <f t="shared" si="270"/>
        <v>4.7962737372391553E-3</v>
      </c>
      <c r="N390">
        <f t="shared" si="271"/>
        <v>-1.5707963250000001</v>
      </c>
      <c r="O390">
        <f t="shared" si="272"/>
        <v>113.1761462922597</v>
      </c>
      <c r="P390">
        <f t="shared" si="273"/>
        <v>1.5619604276671626</v>
      </c>
      <c r="Q390">
        <f t="shared" si="274"/>
        <v>46.21975145884317</v>
      </c>
      <c r="R390">
        <f t="shared" si="275"/>
        <v>1.5491588665610316</v>
      </c>
      <c r="S390">
        <f t="shared" si="276"/>
        <v>0.86013515260419271</v>
      </c>
      <c r="T390">
        <f t="shared" si="277"/>
        <v>-0.535261742766032</v>
      </c>
      <c r="U390">
        <f t="shared" si="278"/>
        <v>0.73432274569058853</v>
      </c>
      <c r="V390">
        <f t="shared" si="279"/>
        <v>-0.74612790718000965</v>
      </c>
      <c r="X390">
        <f t="shared" si="296"/>
        <v>-18.569524964129901</v>
      </c>
      <c r="Y390">
        <f t="shared" si="280"/>
        <v>-118.93877337917351</v>
      </c>
      <c r="Z390">
        <f t="shared" si="297"/>
        <v>61.061226620826488</v>
      </c>
      <c r="AC390">
        <v>1</v>
      </c>
      <c r="AD390">
        <f t="shared" si="281"/>
        <v>113.171728313952</v>
      </c>
      <c r="AE390">
        <f t="shared" si="282"/>
        <v>-3.5041970149294029E-3</v>
      </c>
      <c r="AF390">
        <f t="shared" si="283"/>
        <v>3.7908216206783999E-3</v>
      </c>
      <c r="AG390">
        <f t="shared" si="315"/>
        <v>15966.755119181827</v>
      </c>
      <c r="AH390">
        <f t="shared" si="316"/>
        <v>-15023.301364561152</v>
      </c>
      <c r="AJ390">
        <f t="shared" si="284"/>
        <v>55000</v>
      </c>
      <c r="AK390">
        <f t="shared" si="285"/>
        <v>32615.386573770007</v>
      </c>
      <c r="AL390">
        <v>1</v>
      </c>
      <c r="AM390">
        <f t="shared" si="286"/>
        <v>46.208932306614003</v>
      </c>
      <c r="AN390">
        <f t="shared" si="317"/>
        <v>731.23974770218751</v>
      </c>
      <c r="AO390">
        <f t="shared" si="318"/>
        <v>-1174.4214277058763</v>
      </c>
      <c r="AQ390">
        <f t="shared" si="287"/>
        <v>1.4701893472203817E-2</v>
      </c>
      <c r="AR390">
        <f t="shared" si="288"/>
        <v>-6.8181501166692424</v>
      </c>
      <c r="AT390">
        <f t="shared" si="313"/>
        <v>-102196.38241868083</v>
      </c>
      <c r="AU390">
        <f t="shared" si="314"/>
        <v>-109084.6042549414</v>
      </c>
      <c r="AV390">
        <f t="shared" si="302"/>
        <v>-2.3236038487095376</v>
      </c>
      <c r="AW390">
        <f t="shared" si="303"/>
        <v>7589.1156852872082</v>
      </c>
      <c r="AX390">
        <f t="shared" si="304"/>
        <v>-26742.649164540147</v>
      </c>
      <c r="AY390">
        <f t="shared" si="312"/>
        <v>-1.2942828813841394</v>
      </c>
      <c r="BA390">
        <f t="shared" si="289"/>
        <v>5.3771564458596988</v>
      </c>
      <c r="BB390">
        <f t="shared" si="305"/>
        <v>14.611053445127954</v>
      </c>
      <c r="BC390">
        <f t="shared" si="306"/>
        <v>-1.0293209673253982</v>
      </c>
      <c r="BD390">
        <f t="shared" si="290"/>
        <v>-238.97574725945825</v>
      </c>
      <c r="BF390">
        <f t="shared" si="291"/>
        <v>-27.957274459962626</v>
      </c>
      <c r="BG390">
        <f t="shared" si="292"/>
        <v>-192.75030702576487</v>
      </c>
      <c r="BH390">
        <f t="shared" si="307"/>
        <v>-12.750307025764869</v>
      </c>
      <c r="BI390">
        <f t="shared" si="308"/>
        <v>-12.750307025764869</v>
      </c>
      <c r="BJ390">
        <f t="shared" si="293"/>
        <v>0</v>
      </c>
      <c r="BK390">
        <f t="shared" si="309"/>
        <v>0</v>
      </c>
      <c r="BM390">
        <f t="shared" si="310"/>
        <v>-42.568327905090584</v>
      </c>
      <c r="BN390">
        <f t="shared" si="294"/>
        <v>-133.77455976630665</v>
      </c>
      <c r="BQ390" s="75">
        <f t="shared" si="311"/>
        <v>31.513014245413093</v>
      </c>
      <c r="BR390" s="80"/>
      <c r="BS390" s="80"/>
      <c r="BT390" s="80">
        <v>630957.34400000004</v>
      </c>
      <c r="BU390" s="80">
        <v>10.283799999999999</v>
      </c>
      <c r="BV390" s="80">
        <v>115.247</v>
      </c>
      <c r="BY390" s="80"/>
      <c r="BZ390" s="80"/>
      <c r="CA390" s="80"/>
      <c r="CC390" s="80"/>
    </row>
    <row r="391" spans="1:81">
      <c r="A391">
        <f t="shared" si="319"/>
        <v>885000</v>
      </c>
      <c r="B391">
        <f t="shared" si="295"/>
        <v>885</v>
      </c>
      <c r="C391">
        <f t="shared" si="264"/>
        <v>1.4386539017969504</v>
      </c>
      <c r="D391">
        <f t="shared" si="265"/>
        <v>0.80224538768395393</v>
      </c>
      <c r="F391">
        <f t="shared" si="266"/>
        <v>5.6980878830552111E-4</v>
      </c>
      <c r="G391">
        <f t="shared" si="267"/>
        <v>7.3305602123272615E-3</v>
      </c>
      <c r="H391">
        <f t="shared" si="268"/>
        <v>-3.134262089787673</v>
      </c>
      <c r="J391">
        <f t="shared" si="269"/>
        <v>9</v>
      </c>
      <c r="M391">
        <f t="shared" si="270"/>
        <v>4.7691761455033411E-3</v>
      </c>
      <c r="N391">
        <f t="shared" si="271"/>
        <v>-1.5707963250000001</v>
      </c>
      <c r="O391">
        <f t="shared" si="272"/>
        <v>113.81914251649839</v>
      </c>
      <c r="P391">
        <f t="shared" si="273"/>
        <v>1.5620103454249437</v>
      </c>
      <c r="Q391">
        <f t="shared" si="274"/>
        <v>46.48224109961869</v>
      </c>
      <c r="R391">
        <f t="shared" si="275"/>
        <v>1.5492810742699876</v>
      </c>
      <c r="S391">
        <f t="shared" si="276"/>
        <v>0.85886289591187825</v>
      </c>
      <c r="T391">
        <f t="shared" si="277"/>
        <v>-0.53775081877912922</v>
      </c>
      <c r="U391">
        <f t="shared" si="278"/>
        <v>0.73240237785121098</v>
      </c>
      <c r="V391">
        <f t="shared" si="279"/>
        <v>-0.74895265578273507</v>
      </c>
      <c r="X391">
        <f t="shared" si="296"/>
        <v>-18.62905402718453</v>
      </c>
      <c r="Y391">
        <f t="shared" si="280"/>
        <v>-119.07352621120926</v>
      </c>
      <c r="Z391">
        <f t="shared" si="297"/>
        <v>60.926473788790744</v>
      </c>
      <c r="AC391">
        <v>1</v>
      </c>
      <c r="AD391">
        <f t="shared" si="281"/>
        <v>113.81474949755402</v>
      </c>
      <c r="AE391">
        <f t="shared" si="282"/>
        <v>-3.5441305617485556E-3</v>
      </c>
      <c r="AF391">
        <f t="shared" si="283"/>
        <v>3.8123603798867998E-3</v>
      </c>
      <c r="AG391">
        <f t="shared" si="315"/>
        <v>15883.353235714631</v>
      </c>
      <c r="AH391">
        <f t="shared" si="316"/>
        <v>-15028.13792945913</v>
      </c>
      <c r="AJ391">
        <f t="shared" si="284"/>
        <v>55000</v>
      </c>
      <c r="AK391">
        <f t="shared" si="285"/>
        <v>32800.701270211881</v>
      </c>
      <c r="AL391">
        <v>1</v>
      </c>
      <c r="AM391">
        <f t="shared" si="286"/>
        <v>46.471483058356128</v>
      </c>
      <c r="AN391">
        <f t="shared" si="317"/>
        <v>730.95351111037405</v>
      </c>
      <c r="AO391">
        <f t="shared" si="318"/>
        <v>-1167.7924377997961</v>
      </c>
      <c r="AQ391">
        <f t="shared" si="287"/>
        <v>1.4536240417926356E-2</v>
      </c>
      <c r="AR391">
        <f t="shared" si="288"/>
        <v>-6.7796298497187628</v>
      </c>
      <c r="AT391">
        <f t="shared" si="313"/>
        <v>-101654.32825097465</v>
      </c>
      <c r="AU391">
        <f t="shared" si="314"/>
        <v>-107901.70833645438</v>
      </c>
      <c r="AV391">
        <f t="shared" si="302"/>
        <v>-2.3263908619147404</v>
      </c>
      <c r="AW391">
        <f t="shared" si="303"/>
        <v>7600.7776227239847</v>
      </c>
      <c r="AX391">
        <f t="shared" si="304"/>
        <v>-26672.43869067794</v>
      </c>
      <c r="AY391">
        <f t="shared" si="312"/>
        <v>-1.2931872474981887</v>
      </c>
      <c r="BA391">
        <f t="shared" si="289"/>
        <v>5.345164146829994</v>
      </c>
      <c r="BB391">
        <f t="shared" si="305"/>
        <v>14.559220933525944</v>
      </c>
      <c r="BC391">
        <f t="shared" si="306"/>
        <v>-1.0332036144165517</v>
      </c>
      <c r="BD391">
        <f t="shared" si="290"/>
        <v>-239.19820655137428</v>
      </c>
      <c r="BF391">
        <f t="shared" si="291"/>
        <v>-28.082219455788543</v>
      </c>
      <c r="BG391">
        <f t="shared" si="292"/>
        <v>-192.81292148861141</v>
      </c>
      <c r="BH391">
        <f t="shared" si="307"/>
        <v>-12.812921488611408</v>
      </c>
      <c r="BI391">
        <f t="shared" si="308"/>
        <v>-12.812921488611408</v>
      </c>
      <c r="BJ391">
        <f t="shared" si="293"/>
        <v>0</v>
      </c>
      <c r="BK391">
        <f t="shared" si="309"/>
        <v>0</v>
      </c>
      <c r="BM391">
        <f t="shared" si="310"/>
        <v>-42.641440389314489</v>
      </c>
      <c r="BN391">
        <f t="shared" si="294"/>
        <v>-133.61471493723715</v>
      </c>
      <c r="BQ391" s="75">
        <f t="shared" si="311"/>
        <v>31.461181733811081</v>
      </c>
      <c r="BR391" s="80"/>
      <c r="BS391" s="80"/>
      <c r="BT391" s="80">
        <v>645654.22900000005</v>
      </c>
      <c r="BU391" s="80">
        <v>9.9821899999999992</v>
      </c>
      <c r="BV391" s="80">
        <v>113.164</v>
      </c>
      <c r="BY391" s="80"/>
      <c r="BZ391" s="80"/>
      <c r="CA391" s="80"/>
      <c r="CC391" s="80"/>
    </row>
    <row r="392" spans="1:81">
      <c r="A392">
        <f t="shared" si="319"/>
        <v>890000</v>
      </c>
      <c r="B392">
        <f t="shared" si="295"/>
        <v>890</v>
      </c>
      <c r="C392">
        <f t="shared" si="264"/>
        <v>1.4428605208854808</v>
      </c>
      <c r="D392">
        <f t="shared" si="265"/>
        <v>0.80506041563589958</v>
      </c>
      <c r="F392">
        <f t="shared" si="266"/>
        <v>5.6342099399620405E-4</v>
      </c>
      <c r="G392">
        <f t="shared" si="267"/>
        <v>7.28933214920647E-3</v>
      </c>
      <c r="H392">
        <f t="shared" si="268"/>
        <v>-3.1343033178507937</v>
      </c>
      <c r="J392">
        <f t="shared" si="269"/>
        <v>9</v>
      </c>
      <c r="M392">
        <f t="shared" si="270"/>
        <v>4.7423830210904013E-3</v>
      </c>
      <c r="N392">
        <f t="shared" si="271"/>
        <v>-1.5707963250000001</v>
      </c>
      <c r="O392">
        <f t="shared" si="272"/>
        <v>114.46213902116324</v>
      </c>
      <c r="P392">
        <f t="shared" si="273"/>
        <v>1.5620597023520943</v>
      </c>
      <c r="Q392">
        <f t="shared" si="274"/>
        <v>46.744731426797252</v>
      </c>
      <c r="R392">
        <f t="shared" si="275"/>
        <v>1.5494019094905906</v>
      </c>
      <c r="S392">
        <f t="shared" si="276"/>
        <v>0.85758910768666008</v>
      </c>
      <c r="T392">
        <f t="shared" si="277"/>
        <v>-0.54023252698224578</v>
      </c>
      <c r="U392">
        <f t="shared" si="278"/>
        <v>0.73048624479049051</v>
      </c>
      <c r="V392">
        <f t="shared" si="279"/>
        <v>-0.75176264632543977</v>
      </c>
      <c r="X392">
        <f t="shared" si="296"/>
        <v>-18.688353243121455</v>
      </c>
      <c r="Y392">
        <f t="shared" si="280"/>
        <v>-119.20803989733712</v>
      </c>
      <c r="Z392">
        <f t="shared" si="297"/>
        <v>60.791960102662884</v>
      </c>
      <c r="AC392">
        <v>1</v>
      </c>
      <c r="AD392">
        <f t="shared" si="281"/>
        <v>114.45777068115602</v>
      </c>
      <c r="AE392">
        <f t="shared" si="282"/>
        <v>-3.5842903609576184E-3</v>
      </c>
      <c r="AF392">
        <f t="shared" si="283"/>
        <v>3.8338991390951998E-3</v>
      </c>
      <c r="AG392">
        <f t="shared" si="315"/>
        <v>15800.352941917574</v>
      </c>
      <c r="AH392">
        <f t="shared" si="316"/>
        <v>-15032.490594691259</v>
      </c>
      <c r="AJ392">
        <f t="shared" si="284"/>
        <v>55000</v>
      </c>
      <c r="AK392">
        <f t="shared" si="285"/>
        <v>32986.015966653758</v>
      </c>
      <c r="AL392">
        <v>1</v>
      </c>
      <c r="AM392">
        <f t="shared" si="286"/>
        <v>46.734033810098261</v>
      </c>
      <c r="AN392">
        <f t="shared" si="317"/>
        <v>730.67208222303873</v>
      </c>
      <c r="AO392">
        <f t="shared" si="318"/>
        <v>-1161.2378280526359</v>
      </c>
      <c r="AQ392">
        <f t="shared" si="287"/>
        <v>1.4373371402299967E-2</v>
      </c>
      <c r="AR392">
        <f t="shared" si="288"/>
        <v>-6.7415423888207542</v>
      </c>
      <c r="AT392">
        <f t="shared" si="313"/>
        <v>-101115.06821253881</v>
      </c>
      <c r="AU392">
        <f t="shared" si="314"/>
        <v>-106734.81668668511</v>
      </c>
      <c r="AV392">
        <f t="shared" si="302"/>
        <v>-2.3291635410107268</v>
      </c>
      <c r="AW392">
        <f t="shared" si="303"/>
        <v>7611.3194871085398</v>
      </c>
      <c r="AX392">
        <f t="shared" si="304"/>
        <v>-26602.654949962474</v>
      </c>
      <c r="AY392">
        <f t="shared" si="312"/>
        <v>-1.2921296798158937</v>
      </c>
      <c r="BA392">
        <f t="shared" si="289"/>
        <v>5.3135286674686872</v>
      </c>
      <c r="BB392">
        <f t="shared" si="305"/>
        <v>14.507660560401344</v>
      </c>
      <c r="BC392">
        <f t="shared" si="306"/>
        <v>-1.0370338611948331</v>
      </c>
      <c r="BD392">
        <f t="shared" si="290"/>
        <v>-239.41766352651416</v>
      </c>
      <c r="BF392">
        <f t="shared" si="291"/>
        <v>-28.206341730386303</v>
      </c>
      <c r="BG392">
        <f t="shared" si="292"/>
        <v>-192.87345143672616</v>
      </c>
      <c r="BH392">
        <f t="shared" si="307"/>
        <v>-12.873451436726157</v>
      </c>
      <c r="BI392">
        <f t="shared" si="308"/>
        <v>-12.873451436726157</v>
      </c>
      <c r="BJ392">
        <f t="shared" si="293"/>
        <v>0</v>
      </c>
      <c r="BK392">
        <f t="shared" si="309"/>
        <v>0</v>
      </c>
      <c r="BM392">
        <f t="shared" si="310"/>
        <v>-42.714002290787647</v>
      </c>
      <c r="BN392">
        <f t="shared" si="294"/>
        <v>-133.45578791021202</v>
      </c>
      <c r="BQ392" s="75">
        <f t="shared" si="311"/>
        <v>31.409621360686479</v>
      </c>
      <c r="BR392" s="80"/>
      <c r="BS392" s="80"/>
      <c r="BT392" s="80">
        <v>660693.44799999997</v>
      </c>
      <c r="BU392" s="80">
        <v>9.7520900000000008</v>
      </c>
      <c r="BV392" s="80">
        <v>112.872</v>
      </c>
      <c r="BY392" s="80"/>
      <c r="BZ392" s="80"/>
      <c r="CA392" s="80"/>
      <c r="CC392" s="80"/>
    </row>
    <row r="393" spans="1:81">
      <c r="A393">
        <f t="shared" si="319"/>
        <v>895000</v>
      </c>
      <c r="B393">
        <f t="shared" si="295"/>
        <v>895</v>
      </c>
      <c r="C393">
        <f t="shared" ref="C393:C456" si="320">SQRT((A393/Fesr)^2+1)</f>
        <v>1.4470785072244245</v>
      </c>
      <c r="D393">
        <f t="shared" ref="D393:D456" si="321">ATAN(A393/Fesr)</f>
        <v>0.80785905500786026</v>
      </c>
      <c r="F393">
        <f t="shared" ref="F393:F456" si="322">(Ro/(Ro+Rdcr))/SQRT((A393/(Q*Fo))^2+(1-(A393^2/Fo^2))^2)</f>
        <v>5.5714003425512773E-4</v>
      </c>
      <c r="G393">
        <f t="shared" ref="G393:G456" si="323">-ATAN(A393*Fo/(Q*(Fo^2-A393^2)))</f>
        <v>7.2485654855761195E-3</v>
      </c>
      <c r="H393">
        <f t="shared" ref="H393:H456" si="324">IF(G393&gt;0,G393-Pi,G393)</f>
        <v>-3.1343440845144239</v>
      </c>
      <c r="J393">
        <f t="shared" ref="J393:J456" si="325">Vin/Vramp</f>
        <v>9</v>
      </c>
      <c r="M393">
        <f t="shared" ref="M393:M456" si="326">1/(2*Pi*_Rfb1*(Cc1ea_u+Cc2ea_u)*A393)</f>
        <v>4.7158892611960414E-3</v>
      </c>
      <c r="N393">
        <f t="shared" ref="N393:N456" si="327">-Pi/2</f>
        <v>-1.5707963250000001</v>
      </c>
      <c r="O393">
        <f t="shared" ref="O393:O456" si="328">SQRT(1+(A393/Fz1_u)^2)</f>
        <v>115.10513580155468</v>
      </c>
      <c r="P393">
        <f t="shared" ref="P393:P456" si="329">ATAN2(Fz1_u,A393)</f>
        <v>1.5621085078470565</v>
      </c>
      <c r="Q393">
        <f t="shared" ref="Q393:Q456" si="330">SQRT(1+(A393/Fz2_u)^2)</f>
        <v>47.007222428880155</v>
      </c>
      <c r="R393">
        <f t="shared" ref="R393:R456" si="331">ATAN2(Fz2_u,A393)</f>
        <v>1.5495213952114411</v>
      </c>
      <c r="S393">
        <f t="shared" ref="S393:S456" si="332">1/SQRT(1+(A393/Fp1_u)^2)</f>
        <v>0.85631384169832214</v>
      </c>
      <c r="T393">
        <f t="shared" ref="T393:T456" si="333">-ATAN2(Fp1_u,A393)</f>
        <v>-0.54270686960732717</v>
      </c>
      <c r="U393">
        <f t="shared" ref="U393:U456" si="334">1/SQRT(1+(A393/Fp2_u)^2)</f>
        <v>0.72857440378191185</v>
      </c>
      <c r="V393">
        <f t="shared" ref="V393:V456" si="335">-ATAN2(Fp2_u,A393)</f>
        <v>-0.75455795013398352</v>
      </c>
      <c r="X393">
        <f t="shared" si="296"/>
        <v>-18.747425336733176</v>
      </c>
      <c r="Y393">
        <f t="shared" ref="Y393:Y456" si="336">(180/Pi)*(D393+H393+N393+P393+R393+T393+V393)</f>
        <v>-119.34231155464663</v>
      </c>
      <c r="Z393">
        <f t="shared" si="297"/>
        <v>60.657688445353372</v>
      </c>
      <c r="AC393">
        <v>1</v>
      </c>
      <c r="AD393">
        <f t="shared" ref="AD393:AD456" si="337">Rcea1_u*Cc1ea_u*A393*2*Pi</f>
        <v>115.10079186475801</v>
      </c>
      <c r="AE393">
        <f t="shared" ref="AE393:AE456" si="338">-Rcea1_u*Cc1ea_u*Cc2ea_u*(A393*2*Pi)^2</f>
        <v>-3.624676412556592E-3</v>
      </c>
      <c r="AF393">
        <f t="shared" ref="AF393:AF456" si="339">(Cc2ea_u+Cc1ea_u)*A393*2*Pi</f>
        <v>3.8554378983036005E-3</v>
      </c>
      <c r="AG393">
        <f t="shared" si="315"/>
        <v>15717.75526732841</v>
      </c>
      <c r="AH393">
        <f t="shared" si="316"/>
        <v>-15036.366375225523</v>
      </c>
      <c r="AJ393">
        <f t="shared" ref="AJ393:AJ456" si="340">_Rfb1</f>
        <v>55000</v>
      </c>
      <c r="AK393">
        <f t="shared" ref="AK393:AK456" si="341">_Rfb1*Rcea2_u*Cc3ea_u*A393*2*Pi</f>
        <v>33171.330663095629</v>
      </c>
      <c r="AL393">
        <v>1</v>
      </c>
      <c r="AM393">
        <f t="shared" ref="AM393:AM456" si="342">(_Rfb1+Rcea2_u)*Cc3ea_u*A393*2*Pi</f>
        <v>46.996584561840379</v>
      </c>
      <c r="AN393">
        <f t="shared" si="317"/>
        <v>730.39535398737632</v>
      </c>
      <c r="AO393">
        <f t="shared" si="318"/>
        <v>-1154.7563541474392</v>
      </c>
      <c r="AQ393">
        <f t="shared" ref="AQ393:AQ456" si="343">Eadcg/(1+(Eadcg*A393/GBP)^2)</f>
        <v>1.4213224386744876E-2</v>
      </c>
      <c r="AR393">
        <f t="shared" ref="AR393:AR456" si="344">-(A393*Eadcg*Eadcg/GBP)/(1+(Eadcg*A393/GBP)^2)</f>
        <v>-6.7038804803740213</v>
      </c>
      <c r="AT393">
        <f t="shared" si="313"/>
        <v>-100578.60305615618</v>
      </c>
      <c r="AU393">
        <f t="shared" si="314"/>
        <v>-105583.66798119128</v>
      </c>
      <c r="AV393">
        <f t="shared" si="302"/>
        <v>-2.331921950218975</v>
      </c>
      <c r="AW393">
        <f t="shared" si="303"/>
        <v>7620.7754399377691</v>
      </c>
      <c r="AX393">
        <f t="shared" si="304"/>
        <v>-26533.288998358064</v>
      </c>
      <c r="AY393">
        <f t="shared" si="312"/>
        <v>-1.2911091793202711</v>
      </c>
      <c r="BA393">
        <f t="shared" ref="BA393:BA456" si="345">SQRT(AT393^2+AU393^2)/SQRT(AW393^2+AX393^2)</f>
        <v>5.2822449709876382</v>
      </c>
      <c r="BB393">
        <f t="shared" si="305"/>
        <v>14.456370766199409</v>
      </c>
      <c r="BC393">
        <f t="shared" si="306"/>
        <v>-1.0408127708987038</v>
      </c>
      <c r="BD393">
        <f t="shared" ref="BD393:BD456" si="346">BC393*180/Pi-180</f>
        <v>-239.63417910395438</v>
      </c>
      <c r="BF393">
        <f t="shared" ref="BF393:BF456" si="347">20*LOG(BA393*J393*F393*C393)</f>
        <v>-28.329649849888359</v>
      </c>
      <c r="BG393">
        <f t="shared" ref="BG393:BG456" si="348">(180/Pi)*(D393+H393+BC393)</f>
        <v>-192.93195254736418</v>
      </c>
      <c r="BH393">
        <f t="shared" si="307"/>
        <v>-12.931952547364176</v>
      </c>
      <c r="BI393">
        <f t="shared" si="308"/>
        <v>-12.931952547364176</v>
      </c>
      <c r="BJ393">
        <f t="shared" ref="BJ393:BJ456" si="349">SUM((BF394&lt;0)*(BF393&gt;0))*A393</f>
        <v>0</v>
      </c>
      <c r="BK393">
        <f t="shared" si="309"/>
        <v>0</v>
      </c>
      <c r="BM393">
        <f t="shared" si="310"/>
        <v>-42.786020616087768</v>
      </c>
      <c r="BN393">
        <f t="shared" ref="BN393:BN456" si="350">(H393+D393)*180/Pi</f>
        <v>-133.2977734434098</v>
      </c>
      <c r="BQ393" s="75">
        <f t="shared" si="311"/>
        <v>31.358331566484544</v>
      </c>
      <c r="BR393" s="80"/>
      <c r="BS393" s="80"/>
      <c r="BT393" s="80">
        <v>676082.97499999998</v>
      </c>
      <c r="BU393" s="80">
        <v>9.5117999999999991</v>
      </c>
      <c r="BV393" s="80">
        <v>110.592</v>
      </c>
      <c r="BY393" s="80"/>
      <c r="BZ393" s="80"/>
      <c r="CA393" s="80"/>
      <c r="CC393" s="80"/>
    </row>
    <row r="394" spans="1:81">
      <c r="A394">
        <f t="shared" si="319"/>
        <v>900000</v>
      </c>
      <c r="B394">
        <f t="shared" ref="B394:B457" si="351">A394/1000</f>
        <v>900</v>
      </c>
      <c r="C394">
        <f t="shared" si="320"/>
        <v>1.4513077617026764</v>
      </c>
      <c r="D394">
        <f t="shared" si="321"/>
        <v>0.81064140504234006</v>
      </c>
      <c r="F394">
        <f t="shared" si="322"/>
        <v>5.5096353950192026E-4</v>
      </c>
      <c r="G394">
        <f t="shared" si="323"/>
        <v>7.2082525148861052E-3</v>
      </c>
      <c r="H394">
        <f t="shared" si="324"/>
        <v>-3.134384397485114</v>
      </c>
      <c r="J394">
        <f t="shared" si="325"/>
        <v>9</v>
      </c>
      <c r="M394">
        <f t="shared" si="326"/>
        <v>4.689689876411619E-3</v>
      </c>
      <c r="N394">
        <f t="shared" si="327"/>
        <v>-1.5707963250000001</v>
      </c>
      <c r="O394">
        <f t="shared" si="328"/>
        <v>115.74813285307766</v>
      </c>
      <c r="P394">
        <f t="shared" si="329"/>
        <v>1.5621567710994444</v>
      </c>
      <c r="Q394">
        <f t="shared" si="330"/>
        <v>47.269714094624064</v>
      </c>
      <c r="R394">
        <f t="shared" si="331"/>
        <v>1.5496395539106669</v>
      </c>
      <c r="S394">
        <f t="shared" si="332"/>
        <v>0.85503715127064439</v>
      </c>
      <c r="T394">
        <f t="shared" si="333"/>
        <v>-0.54517384923384693</v>
      </c>
      <c r="U394">
        <f t="shared" si="334"/>
        <v>0.72666691049467191</v>
      </c>
      <c r="V394">
        <f t="shared" si="335"/>
        <v>-0.75733863870867624</v>
      </c>
      <c r="X394">
        <f t="shared" ref="X394:X457" si="352">20*LOG(C394*J394*O394*Q394*F394*M394*S394*U394)</f>
        <v>-18.806272979292523</v>
      </c>
      <c r="Y394">
        <f t="shared" si="336"/>
        <v>-119.47633836854483</v>
      </c>
      <c r="Z394">
        <f t="shared" ref="Z394:Z457" si="353">Y394+180</f>
        <v>60.52366163145517</v>
      </c>
      <c r="AC394">
        <v>1</v>
      </c>
      <c r="AD394">
        <f t="shared" si="337"/>
        <v>115.74381304836002</v>
      </c>
      <c r="AE394">
        <f t="shared" si="338"/>
        <v>-3.6652887165454758E-3</v>
      </c>
      <c r="AF394">
        <f t="shared" si="339"/>
        <v>3.8769766575120004E-3</v>
      </c>
      <c r="AG394">
        <f t="shared" si="315"/>
        <v>15635.561149752377</v>
      </c>
      <c r="AH394">
        <f t="shared" si="316"/>
        <v>-15039.772227172278</v>
      </c>
      <c r="AJ394">
        <f t="shared" si="340"/>
        <v>55000</v>
      </c>
      <c r="AK394">
        <f t="shared" si="341"/>
        <v>33356.645359537499</v>
      </c>
      <c r="AL394">
        <v>1</v>
      </c>
      <c r="AM394">
        <f t="shared" si="342"/>
        <v>47.259135313582505</v>
      </c>
      <c r="AN394">
        <f t="shared" si="317"/>
        <v>730.12322231330893</v>
      </c>
      <c r="AO394">
        <f t="shared" si="318"/>
        <v>-1148.3467993560446</v>
      </c>
      <c r="AQ394">
        <f t="shared" si="343"/>
        <v>1.4055739051159376E-2</v>
      </c>
      <c r="AR394">
        <f t="shared" si="344"/>
        <v>-6.6666370319648927</v>
      </c>
      <c r="AT394">
        <f t="shared" si="313"/>
        <v>-100044.93311454444</v>
      </c>
      <c r="AU394">
        <f t="shared" si="314"/>
        <v>-104448.00609030479</v>
      </c>
      <c r="AV394">
        <f t="shared" ref="AV394:AV457" si="354">ATAN2(AT394,AU394)</f>
        <v>-2.3346661540932643</v>
      </c>
      <c r="AW394">
        <f t="shared" ref="AW394:AW457" si="355">AG394-AH394*AO394/_Rfb2+AG394*AN394/_Rfb2+AN394-AO394*AR394+AQ394*AN394</f>
        <v>7629.1786388732926</v>
      </c>
      <c r="AX394">
        <f t="shared" ref="AX394:AX457" si="356">AH394+AH394*AN394/_Rfb2+AG394*AO394/_Rfb2+AO394+AO394*AQ394+AN394*AR394</f>
        <v>-26464.332201780919</v>
      </c>
      <c r="AY394">
        <f t="shared" si="312"/>
        <v>-1.2901247746113602</v>
      </c>
      <c r="BA394">
        <f t="shared" si="345"/>
        <v>5.2513080757724628</v>
      </c>
      <c r="BB394">
        <f t="shared" ref="BB394:BB457" si="357">20*LOG(BA394)</f>
        <v>14.405349951280096</v>
      </c>
      <c r="BC394">
        <f t="shared" ref="BC394:BC457" si="358">AV394-AY394</f>
        <v>-1.0445413794819041</v>
      </c>
      <c r="BD394">
        <f t="shared" si="346"/>
        <v>-239.84781263947212</v>
      </c>
      <c r="BF394">
        <f t="shared" si="347"/>
        <v>-28.452152302138444</v>
      </c>
      <c r="BG394">
        <f t="shared" si="348"/>
        <v>-192.9884789316788</v>
      </c>
      <c r="BH394">
        <f t="shared" ref="BH394:BH457" si="359">IF(BG394&gt;180,BG394-180,BG394+180)</f>
        <v>-12.988478931678799</v>
      </c>
      <c r="BI394">
        <f t="shared" ref="BI394:BI457" si="360">IF(BH394&gt;180,BH394-360,BH394)</f>
        <v>-12.988478931678799</v>
      </c>
      <c r="BJ394">
        <f t="shared" si="349"/>
        <v>0</v>
      </c>
      <c r="BK394">
        <f t="shared" ref="BK394:BK457" si="361">IF(BJ394&gt;0,BI394,0)</f>
        <v>0</v>
      </c>
      <c r="BM394">
        <f t="shared" ref="BM394:BM457" si="362">20*LOG(J394*F394*C394)</f>
        <v>-42.857502253418538</v>
      </c>
      <c r="BN394">
        <f t="shared" si="350"/>
        <v>-133.1406662922067</v>
      </c>
      <c r="BQ394" s="75">
        <f t="shared" ref="BQ394:BQ457" si="363">20*LOG(BA394*7)</f>
        <v>31.307310751565232</v>
      </c>
      <c r="BR394" s="80"/>
      <c r="BS394" s="80"/>
      <c r="BT394" s="80">
        <v>691830.97100000002</v>
      </c>
      <c r="BU394" s="80">
        <v>9.28308</v>
      </c>
      <c r="BV394" s="80">
        <v>111.01300000000001</v>
      </c>
      <c r="BY394" s="80"/>
      <c r="BZ394" s="80"/>
      <c r="CA394" s="80"/>
      <c r="CC394" s="80"/>
    </row>
    <row r="395" spans="1:81">
      <c r="A395">
        <f t="shared" si="319"/>
        <v>905000</v>
      </c>
      <c r="B395">
        <f t="shared" si="351"/>
        <v>905</v>
      </c>
      <c r="C395">
        <f t="shared" si="320"/>
        <v>1.4555481860978055</v>
      </c>
      <c r="D395">
        <f t="shared" si="321"/>
        <v>0.81340756483879695</v>
      </c>
      <c r="F395">
        <f t="shared" si="322"/>
        <v>5.4488920550133384E-4</v>
      </c>
      <c r="G395">
        <f t="shared" si="323"/>
        <v>7.1683857013509177E-3</v>
      </c>
      <c r="H395">
        <f t="shared" si="324"/>
        <v>-3.1344242642986493</v>
      </c>
      <c r="J395">
        <f t="shared" si="325"/>
        <v>9</v>
      </c>
      <c r="M395">
        <f t="shared" si="326"/>
        <v>4.6637799875916654E-3</v>
      </c>
      <c r="N395">
        <f t="shared" si="327"/>
        <v>-1.5707963250000001</v>
      </c>
      <c r="O395">
        <f t="shared" si="328"/>
        <v>116.3911301712386</v>
      </c>
      <c r="P395">
        <f t="shared" si="329"/>
        <v>1.5622045010958119</v>
      </c>
      <c r="Q395">
        <f t="shared" si="330"/>
        <v>47.532206413033983</v>
      </c>
      <c r="R395">
        <f t="shared" si="331"/>
        <v>1.5497564075700125</v>
      </c>
      <c r="S395">
        <f t="shared" si="332"/>
        <v>0.85375908928026956</v>
      </c>
      <c r="T395">
        <f t="shared" si="333"/>
        <v>-0.54763346878443675</v>
      </c>
      <c r="U395">
        <f t="shared" si="334"/>
        <v>0.72476381901815035</v>
      </c>
      <c r="V395">
        <f t="shared" si="335"/>
        <v>-0.76010478370819379</v>
      </c>
      <c r="X395">
        <f t="shared" si="352"/>
        <v>-18.864898789823176</v>
      </c>
      <c r="Y395">
        <f t="shared" si="336"/>
        <v>-119.61011759166119</v>
      </c>
      <c r="Z395">
        <f t="shared" si="353"/>
        <v>60.389882408338806</v>
      </c>
      <c r="AC395">
        <v>1</v>
      </c>
      <c r="AD395">
        <f t="shared" si="337"/>
        <v>116.38683423196201</v>
      </c>
      <c r="AE395">
        <f t="shared" si="338"/>
        <v>-3.7061272729242692E-3</v>
      </c>
      <c r="AF395">
        <f t="shared" si="339"/>
        <v>3.8985154167204003E-3</v>
      </c>
      <c r="AG395">
        <f t="shared" si="315"/>
        <v>15553.771437363048</v>
      </c>
      <c r="AH395">
        <f t="shared" si="316"/>
        <v>-15042.715047200143</v>
      </c>
      <c r="AJ395">
        <f t="shared" si="340"/>
        <v>55000</v>
      </c>
      <c r="AK395">
        <f t="shared" si="341"/>
        <v>33541.960055979383</v>
      </c>
      <c r="AL395">
        <v>1</v>
      </c>
      <c r="AM395">
        <f t="shared" si="342"/>
        <v>47.52168606532463</v>
      </c>
      <c r="AN395">
        <f t="shared" si="317"/>
        <v>729.85558597565046</v>
      </c>
      <c r="AO395">
        <f t="shared" si="318"/>
        <v>-1142.0079737790261</v>
      </c>
      <c r="AQ395">
        <f t="shared" si="343"/>
        <v>1.3900856737112242E-2</v>
      </c>
      <c r="AR395">
        <f t="shared" si="344"/>
        <v>-6.6298051079146276</v>
      </c>
      <c r="AT395">
        <f t="shared" si="313"/>
        <v>-99514.058308359163</v>
      </c>
      <c r="AU395">
        <f t="shared" si="314"/>
        <v>-103327.57994957452</v>
      </c>
      <c r="AV395">
        <f t="shared" si="354"/>
        <v>-2.3373962174992284</v>
      </c>
      <c r="AW395">
        <f t="shared" si="355"/>
        <v>7636.5612700284573</v>
      </c>
      <c r="AX395">
        <f t="shared" si="356"/>
        <v>-26395.776224788551</v>
      </c>
      <c r="AY395">
        <f t="shared" ref="AY395:AY458" si="364">ATAN2(AW395,AX395)</f>
        <v>-1.2891755210813707</v>
      </c>
      <c r="BA395">
        <f t="shared" si="345"/>
        <v>5.220713056901289</v>
      </c>
      <c r="BB395">
        <f t="shared" si="357"/>
        <v>14.354596479694194</v>
      </c>
      <c r="BC395">
        <f t="shared" si="358"/>
        <v>-1.0482206964178578</v>
      </c>
      <c r="BD395">
        <f t="shared" si="346"/>
        <v>-240.05862197163415</v>
      </c>
      <c r="BF395">
        <f t="shared" si="347"/>
        <v>-28.573857495410376</v>
      </c>
      <c r="BG395">
        <f t="shared" si="348"/>
        <v>-193.04308318202482</v>
      </c>
      <c r="BH395">
        <f t="shared" si="359"/>
        <v>-13.043083182024816</v>
      </c>
      <c r="BI395">
        <f t="shared" si="360"/>
        <v>-13.043083182024816</v>
      </c>
      <c r="BJ395">
        <f t="shared" si="349"/>
        <v>0</v>
      </c>
      <c r="BK395">
        <f t="shared" si="361"/>
        <v>0</v>
      </c>
      <c r="BM395">
        <f t="shared" si="362"/>
        <v>-42.928453975104574</v>
      </c>
      <c r="BN395">
        <f t="shared" si="350"/>
        <v>-132.98446121039066</v>
      </c>
      <c r="BQ395" s="75">
        <f t="shared" si="363"/>
        <v>31.256557279979333</v>
      </c>
      <c r="BR395" s="80"/>
      <c r="BS395" s="80"/>
      <c r="BT395" s="80">
        <v>707945.78399999999</v>
      </c>
      <c r="BU395" s="80">
        <v>9.1002899999999993</v>
      </c>
      <c r="BV395" s="80">
        <v>109.21</v>
      </c>
      <c r="BY395" s="80"/>
      <c r="BZ395" s="80"/>
      <c r="CA395" s="80"/>
      <c r="CC395" s="80"/>
    </row>
    <row r="396" spans="1:81">
      <c r="A396">
        <f t="shared" si="319"/>
        <v>910000</v>
      </c>
      <c r="B396">
        <f t="shared" si="351"/>
        <v>910</v>
      </c>
      <c r="C396">
        <f t="shared" si="320"/>
        <v>1.4597996830707312</v>
      </c>
      <c r="D396">
        <f t="shared" si="321"/>
        <v>0.81615763333783398</v>
      </c>
      <c r="F396">
        <f t="shared" si="322"/>
        <v>5.3891479121234535E-4</v>
      </c>
      <c r="G396">
        <f t="shared" si="323"/>
        <v>7.1289576752434471E-3</v>
      </c>
      <c r="H396">
        <f t="shared" si="324"/>
        <v>-3.1344636923247569</v>
      </c>
      <c r="J396">
        <f t="shared" si="325"/>
        <v>9</v>
      </c>
      <c r="M396">
        <f t="shared" si="326"/>
        <v>4.6381548228246776E-3</v>
      </c>
      <c r="N396">
        <f t="shared" si="327"/>
        <v>-1.5707963250000001</v>
      </c>
      <c r="O396">
        <f t="shared" si="328"/>
        <v>117.03412775164269</v>
      </c>
      <c r="P396">
        <f t="shared" si="329"/>
        <v>1.5622517066252306</v>
      </c>
      <c r="Q396">
        <f t="shared" si="330"/>
        <v>47.794699373356437</v>
      </c>
      <c r="R396">
        <f t="shared" si="331"/>
        <v>1.5498719776884633</v>
      </c>
      <c r="S396">
        <f t="shared" si="332"/>
        <v>0.85247970815568264</v>
      </c>
      <c r="T396">
        <f t="shared" si="333"/>
        <v>-0.55008573152052576</v>
      </c>
      <c r="U396">
        <f t="shared" si="334"/>
        <v>0.72286518188625581</v>
      </c>
      <c r="V396">
        <f t="shared" si="335"/>
        <v>-0.76285645693386372</v>
      </c>
      <c r="X396">
        <f t="shared" si="352"/>
        <v>-18.923305336335535</v>
      </c>
      <c r="Y396">
        <f t="shared" si="336"/>
        <v>-119.74364654277227</v>
      </c>
      <c r="Z396">
        <f t="shared" si="353"/>
        <v>60.256353457227732</v>
      </c>
      <c r="AC396">
        <v>1</v>
      </c>
      <c r="AD396">
        <f t="shared" si="337"/>
        <v>117.02985541556401</v>
      </c>
      <c r="AE396">
        <f t="shared" si="338"/>
        <v>-3.7471920816929735E-3</v>
      </c>
      <c r="AF396">
        <f t="shared" si="339"/>
        <v>3.9200541759288002E-3</v>
      </c>
      <c r="AG396">
        <f t="shared" si="315"/>
        <v>15472.386890776992</v>
      </c>
      <c r="AH396">
        <f t="shared" si="316"/>
        <v>-15045.201671998761</v>
      </c>
      <c r="AJ396">
        <f t="shared" si="340"/>
        <v>55000</v>
      </c>
      <c r="AK396">
        <f t="shared" si="341"/>
        <v>33727.274752421254</v>
      </c>
      <c r="AL396">
        <v>1</v>
      </c>
      <c r="AM396">
        <f t="shared" si="342"/>
        <v>47.784236817066756</v>
      </c>
      <c r="AN396">
        <f t="shared" si="317"/>
        <v>729.59234652001567</v>
      </c>
      <c r="AO396">
        <f t="shared" si="318"/>
        <v>-1135.7387136106065</v>
      </c>
      <c r="AQ396">
        <f t="shared" si="343"/>
        <v>1.3748520393213996E-2</v>
      </c>
      <c r="AR396">
        <f t="shared" si="344"/>
        <v>-6.5933779249736366</v>
      </c>
      <c r="AT396">
        <f t="shared" si="313"/>
        <v>-98985.978154233526</v>
      </c>
      <c r="AU396">
        <f t="shared" si="314"/>
        <v>-102222.143434308</v>
      </c>
      <c r="AV396">
        <f t="shared" si="354"/>
        <v>-2.3401122055944272</v>
      </c>
      <c r="AW396">
        <f t="shared" si="355"/>
        <v>7642.9545790688317</v>
      </c>
      <c r="AX396">
        <f t="shared" si="356"/>
        <v>-26327.613019694334</v>
      </c>
      <c r="AY396">
        <f t="shared" si="364"/>
        <v>-1.2882605001151763</v>
      </c>
      <c r="BA396">
        <f t="shared" si="345"/>
        <v>5.1904550474502482</v>
      </c>
      <c r="BB396">
        <f t="shared" si="357"/>
        <v>14.304108682724513</v>
      </c>
      <c r="BC396">
        <f t="shared" si="358"/>
        <v>-1.0518517054792509</v>
      </c>
      <c r="BD396">
        <f t="shared" si="346"/>
        <v>-240.26666346646346</v>
      </c>
      <c r="BF396">
        <f t="shared" si="347"/>
        <v>-28.694773757297085</v>
      </c>
      <c r="BG396">
        <f t="shared" si="348"/>
        <v>-193.09581641780045</v>
      </c>
      <c r="BH396">
        <f t="shared" si="359"/>
        <v>-13.095816417800449</v>
      </c>
      <c r="BI396">
        <f t="shared" si="360"/>
        <v>-13.095816417800449</v>
      </c>
      <c r="BJ396">
        <f t="shared" si="349"/>
        <v>0</v>
      </c>
      <c r="BK396">
        <f t="shared" si="361"/>
        <v>0</v>
      </c>
      <c r="BM396">
        <f t="shared" si="362"/>
        <v>-42.998882440021603</v>
      </c>
      <c r="BN396">
        <f t="shared" si="350"/>
        <v>-132.82915295133697</v>
      </c>
      <c r="BQ396" s="75">
        <f t="shared" si="363"/>
        <v>31.206069483009649</v>
      </c>
      <c r="BR396" s="80"/>
      <c r="BS396" s="80"/>
      <c r="BT396" s="80">
        <v>724435.96</v>
      </c>
      <c r="BU396" s="80">
        <v>8.7908299999999997</v>
      </c>
      <c r="BV396" s="80">
        <v>107.553</v>
      </c>
      <c r="BY396" s="80"/>
      <c r="BZ396" s="80"/>
      <c r="CA396" s="80"/>
      <c r="CC396" s="80"/>
    </row>
    <row r="397" spans="1:81">
      <c r="A397">
        <f t="shared" si="319"/>
        <v>915000</v>
      </c>
      <c r="B397">
        <f t="shared" si="351"/>
        <v>915</v>
      </c>
      <c r="C397">
        <f t="shared" si="320"/>
        <v>1.4640621561603244</v>
      </c>
      <c r="D397">
        <f t="shared" si="321"/>
        <v>0.81889170930589539</v>
      </c>
      <c r="F397">
        <f t="shared" si="322"/>
        <v>5.3303811671941853E-4</v>
      </c>
      <c r="G397">
        <f t="shared" si="323"/>
        <v>7.0899612283436527E-3</v>
      </c>
      <c r="H397">
        <f t="shared" si="324"/>
        <v>-3.1345026887716565</v>
      </c>
      <c r="J397">
        <f t="shared" si="325"/>
        <v>9</v>
      </c>
      <c r="M397">
        <f t="shared" si="326"/>
        <v>4.6128097145032316E-3</v>
      </c>
      <c r="N397">
        <f t="shared" si="327"/>
        <v>-1.5707963250000001</v>
      </c>
      <c r="O397">
        <f t="shared" si="328"/>
        <v>117.67712558999118</v>
      </c>
      <c r="P397">
        <f t="shared" si="329"/>
        <v>1.5622983962846846</v>
      </c>
      <c r="Q397">
        <f t="shared" si="330"/>
        <v>48.057192965072851</v>
      </c>
      <c r="R397">
        <f t="shared" si="331"/>
        <v>1.5499862852954247</v>
      </c>
      <c r="S397">
        <f t="shared" si="332"/>
        <v>0.8511990598762994</v>
      </c>
      <c r="T397">
        <f t="shared" si="333"/>
        <v>-0.55253064103798777</v>
      </c>
      <c r="U397">
        <f t="shared" si="334"/>
        <v>0.72097105010163687</v>
      </c>
      <c r="V397">
        <f t="shared" si="335"/>
        <v>-0.76559373031431632</v>
      </c>
      <c r="X397">
        <f t="shared" si="352"/>
        <v>-18.981495137029253</v>
      </c>
      <c r="Y397">
        <f t="shared" si="336"/>
        <v>-119.87692260574651</v>
      </c>
      <c r="Z397">
        <f t="shared" si="353"/>
        <v>60.123077394253485</v>
      </c>
      <c r="AC397">
        <v>1</v>
      </c>
      <c r="AD397">
        <f t="shared" si="337"/>
        <v>117.67287659916602</v>
      </c>
      <c r="AE397">
        <f t="shared" si="338"/>
        <v>-3.7884831428515874E-3</v>
      </c>
      <c r="AF397">
        <f t="shared" si="339"/>
        <v>3.9415929351372002E-3</v>
      </c>
      <c r="AG397">
        <f t="shared" si="315"/>
        <v>15391.40818510176</v>
      </c>
      <c r="AH397">
        <f t="shared" si="316"/>
        <v>-15047.238877786724</v>
      </c>
      <c r="AJ397">
        <f t="shared" si="340"/>
        <v>55000</v>
      </c>
      <c r="AK397">
        <f t="shared" si="341"/>
        <v>33912.589448863131</v>
      </c>
      <c r="AL397">
        <v>1</v>
      </c>
      <c r="AM397">
        <f t="shared" si="342"/>
        <v>48.046787568808881</v>
      </c>
      <c r="AN397">
        <f t="shared" si="317"/>
        <v>729.33340817231783</v>
      </c>
      <c r="AO397">
        <f t="shared" si="318"/>
        <v>-1129.5378804276027</v>
      </c>
      <c r="AQ397">
        <f t="shared" si="343"/>
        <v>1.3598674522572055E-2</v>
      </c>
      <c r="AR397">
        <f t="shared" si="344"/>
        <v>-6.5573488481568569</v>
      </c>
      <c r="AT397">
        <f t="shared" si="313"/>
        <v>-98460.691772842605</v>
      </c>
      <c r="AU397">
        <f t="shared" si="314"/>
        <v>-101131.45523805145</v>
      </c>
      <c r="AV397">
        <f t="shared" si="354"/>
        <v>-2.342814183808918</v>
      </c>
      <c r="AW397">
        <f t="shared" si="355"/>
        <v>7648.3889011762731</v>
      </c>
      <c r="AX397">
        <f t="shared" si="356"/>
        <v>-26259.834816090057</v>
      </c>
      <c r="AY397">
        <f t="shared" si="364"/>
        <v>-1.2873788183154677</v>
      </c>
      <c r="BA397">
        <f t="shared" si="345"/>
        <v>5.1605292396026243</v>
      </c>
      <c r="BB397">
        <f t="shared" si="357"/>
        <v>14.253884862205728</v>
      </c>
      <c r="BC397">
        <f t="shared" si="358"/>
        <v>-1.0554353654934503</v>
      </c>
      <c r="BD397">
        <f t="shared" si="346"/>
        <v>-240.4719920607215</v>
      </c>
      <c r="BF397">
        <f t="shared" si="347"/>
        <v>-28.814909333758361</v>
      </c>
      <c r="BG397">
        <f t="shared" si="348"/>
        <v>-193.14672832986733</v>
      </c>
      <c r="BH397">
        <f t="shared" si="359"/>
        <v>-13.146728329867329</v>
      </c>
      <c r="BI397">
        <f t="shared" si="360"/>
        <v>-13.146728329867329</v>
      </c>
      <c r="BJ397">
        <f t="shared" si="349"/>
        <v>0</v>
      </c>
      <c r="BK397">
        <f t="shared" si="361"/>
        <v>0</v>
      </c>
      <c r="BM397">
        <f t="shared" si="362"/>
        <v>-43.068794195964095</v>
      </c>
      <c r="BN397">
        <f t="shared" si="350"/>
        <v>-132.67473626914585</v>
      </c>
      <c r="BQ397" s="75">
        <f t="shared" si="363"/>
        <v>31.155845662490865</v>
      </c>
      <c r="BR397" s="80"/>
      <c r="BS397" s="80"/>
      <c r="BT397" s="80">
        <v>741310.24100000004</v>
      </c>
      <c r="BU397" s="80">
        <v>8.6150300000000009</v>
      </c>
      <c r="BV397" s="80">
        <v>107.324</v>
      </c>
      <c r="BY397" s="80"/>
      <c r="BZ397" s="80"/>
      <c r="CA397" s="80"/>
      <c r="CC397" s="80"/>
    </row>
    <row r="398" spans="1:81">
      <c r="A398">
        <f t="shared" si="319"/>
        <v>920000</v>
      </c>
      <c r="B398">
        <f t="shared" si="351"/>
        <v>920</v>
      </c>
      <c r="C398">
        <f t="shared" si="320"/>
        <v>1.4683355097779409</v>
      </c>
      <c r="D398">
        <f t="shared" si="321"/>
        <v>0.82160989132045825</v>
      </c>
      <c r="F398">
        <f t="shared" si="322"/>
        <v>5.2725706124235857E-4</v>
      </c>
      <c r="G398">
        <f t="shared" si="323"/>
        <v>7.0513893095361735E-3</v>
      </c>
      <c r="H398">
        <f t="shared" si="324"/>
        <v>-3.1345412606904639</v>
      </c>
      <c r="J398">
        <f t="shared" si="325"/>
        <v>9</v>
      </c>
      <c r="M398">
        <f t="shared" si="326"/>
        <v>4.5877400964896269E-3</v>
      </c>
      <c r="N398">
        <f t="shared" si="327"/>
        <v>-1.5707963250000001</v>
      </c>
      <c r="O398">
        <f t="shared" si="328"/>
        <v>118.32012368207874</v>
      </c>
      <c r="P398">
        <f t="shared" si="329"/>
        <v>1.5623445784842898</v>
      </c>
      <c r="Q398">
        <f t="shared" si="330"/>
        <v>48.319687177893215</v>
      </c>
      <c r="R398">
        <f t="shared" si="331"/>
        <v>1.5500993509634708</v>
      </c>
      <c r="S398">
        <f t="shared" si="332"/>
        <v>0.84991719597165938</v>
      </c>
      <c r="T398">
        <f t="shared" si="333"/>
        <v>-0.55496820126279844</v>
      </c>
      <c r="U398">
        <f t="shared" si="334"/>
        <v>0.71908147315975313</v>
      </c>
      <c r="V398">
        <f t="shared" si="335"/>
        <v>-0.76831667589049701</v>
      </c>
      <c r="X398">
        <f t="shared" si="352"/>
        <v>-19.039470661463259</v>
      </c>
      <c r="Y398">
        <f t="shared" si="336"/>
        <v>-120.00994322850774</v>
      </c>
      <c r="Z398">
        <f t="shared" si="353"/>
        <v>59.990056771492263</v>
      </c>
      <c r="AC398">
        <v>1</v>
      </c>
      <c r="AD398">
        <f t="shared" si="337"/>
        <v>118.31589778276802</v>
      </c>
      <c r="AE398">
        <f t="shared" si="338"/>
        <v>-3.8300004564001122E-3</v>
      </c>
      <c r="AF398">
        <f t="shared" si="339"/>
        <v>3.9631316943456001E-3</v>
      </c>
      <c r="AG398">
        <f t="shared" si="315"/>
        <v>15310.83591195706</v>
      </c>
      <c r="AH398">
        <f t="shared" si="316"/>
        <v>-15048.833379863428</v>
      </c>
      <c r="AJ398">
        <f t="shared" si="340"/>
        <v>55000</v>
      </c>
      <c r="AK398">
        <f t="shared" si="341"/>
        <v>34097.904145305001</v>
      </c>
      <c r="AL398">
        <v>1</v>
      </c>
      <c r="AM398">
        <f t="shared" si="342"/>
        <v>48.309338320551007</v>
      </c>
      <c r="AN398">
        <f t="shared" si="317"/>
        <v>729.07867775169211</v>
      </c>
      <c r="AO398">
        <f t="shared" si="318"/>
        <v>-1123.4043605014813</v>
      </c>
      <c r="AQ398">
        <f t="shared" si="343"/>
        <v>1.3451265132239362E-2</v>
      </c>
      <c r="AR398">
        <f t="shared" si="344"/>
        <v>-6.5217113867149328</v>
      </c>
      <c r="AT398">
        <f t="shared" si="313"/>
        <v>-97938.19789698314</v>
      </c>
      <c r="AU398">
        <f t="shared" si="314"/>
        <v>-100055.2787548577</v>
      </c>
      <c r="AV398">
        <f t="shared" si="354"/>
        <v>-2.3455022178263256</v>
      </c>
      <c r="AW398">
        <f t="shared" si="355"/>
        <v>7652.893689924651</v>
      </c>
      <c r="AX398">
        <f t="shared" si="356"/>
        <v>-26192.434110760165</v>
      </c>
      <c r="AY398">
        <f t="shared" si="364"/>
        <v>-1.2865296067518786</v>
      </c>
      <c r="BA398">
        <f t="shared" si="345"/>
        <v>5.1309308855776194</v>
      </c>
      <c r="BB398">
        <f t="shared" si="357"/>
        <v>14.203923293636173</v>
      </c>
      <c r="BC398">
        <f t="shared" si="358"/>
        <v>-1.0589726110744471</v>
      </c>
      <c r="BD398">
        <f t="shared" si="346"/>
        <v>-240.67466130384551</v>
      </c>
      <c r="BF398">
        <f t="shared" si="347"/>
        <v>-28.934272388315968</v>
      </c>
      <c r="BG398">
        <f t="shared" si="348"/>
        <v>-193.19586722358844</v>
      </c>
      <c r="BH398">
        <f t="shared" si="359"/>
        <v>-13.195867223588436</v>
      </c>
      <c r="BI398">
        <f t="shared" si="360"/>
        <v>-13.195867223588436</v>
      </c>
      <c r="BJ398">
        <f t="shared" si="349"/>
        <v>0</v>
      </c>
      <c r="BK398">
        <f t="shared" si="361"/>
        <v>0</v>
      </c>
      <c r="BM398">
        <f t="shared" si="362"/>
        <v>-43.138195681952141</v>
      </c>
      <c r="BN398">
        <f t="shared" si="350"/>
        <v>-132.52120591974295</v>
      </c>
      <c r="BQ398" s="75">
        <f t="shared" si="363"/>
        <v>31.105884093921308</v>
      </c>
      <c r="BR398" s="80"/>
      <c r="BS398" s="80"/>
      <c r="BT398" s="80">
        <v>758577.57499999995</v>
      </c>
      <c r="BU398" s="80">
        <v>8.3056699999999992</v>
      </c>
      <c r="BV398" s="80">
        <v>105.50700000000001</v>
      </c>
      <c r="BY398" s="80"/>
      <c r="BZ398" s="80"/>
      <c r="CA398" s="80"/>
      <c r="CC398" s="80"/>
    </row>
    <row r="399" spans="1:81">
      <c r="A399">
        <f t="shared" si="319"/>
        <v>925000</v>
      </c>
      <c r="B399">
        <f t="shared" si="351"/>
        <v>925</v>
      </c>
      <c r="C399">
        <f t="shared" si="320"/>
        <v>1.472619649201887</v>
      </c>
      <c r="D399">
        <f t="shared" si="321"/>
        <v>0.82431227775570948</v>
      </c>
      <c r="F399">
        <f t="shared" si="322"/>
        <v>5.2156956122136847E-4</v>
      </c>
      <c r="G399">
        <f t="shared" si="323"/>
        <v>7.0132350205512435E-3</v>
      </c>
      <c r="H399">
        <f t="shared" si="324"/>
        <v>-3.134579414979449</v>
      </c>
      <c r="J399">
        <f t="shared" si="325"/>
        <v>9</v>
      </c>
      <c r="M399">
        <f t="shared" si="326"/>
        <v>4.5629415013734671E-3</v>
      </c>
      <c r="N399">
        <f t="shared" si="327"/>
        <v>-1.5707963250000001</v>
      </c>
      <c r="O399">
        <f t="shared" si="328"/>
        <v>118.963122023791</v>
      </c>
      <c r="P399">
        <f t="shared" si="329"/>
        <v>1.5623902614523428</v>
      </c>
      <c r="Q399">
        <f t="shared" si="330"/>
        <v>48.582182001749871</v>
      </c>
      <c r="R399">
        <f t="shared" si="331"/>
        <v>1.5502111948206811</v>
      </c>
      <c r="S399">
        <f t="shared" si="332"/>
        <v>0.84863416752072762</v>
      </c>
      <c r="T399">
        <f t="shared" si="333"/>
        <v>-0.5573984164467034</v>
      </c>
      <c r="U399">
        <f t="shared" si="334"/>
        <v>0.71719649907279592</v>
      </c>
      <c r="V399">
        <f t="shared" si="335"/>
        <v>-0.77102536580103453</v>
      </c>
      <c r="X399">
        <f t="shared" si="352"/>
        <v>-19.097234331694384</v>
      </c>
      <c r="Y399">
        <f t="shared" si="336"/>
        <v>-120.14270592201746</v>
      </c>
      <c r="Z399">
        <f t="shared" si="353"/>
        <v>59.857294077982544</v>
      </c>
      <c r="AC399">
        <v>1</v>
      </c>
      <c r="AD399">
        <f t="shared" si="337"/>
        <v>118.95891896637001</v>
      </c>
      <c r="AE399">
        <f t="shared" si="338"/>
        <v>-3.8717440223385467E-3</v>
      </c>
      <c r="AF399">
        <f t="shared" si="339"/>
        <v>3.9846704535540008E-3</v>
      </c>
      <c r="AG399">
        <f t="shared" si="315"/>
        <v>15230.670581468828</v>
      </c>
      <c r="AH399">
        <f t="shared" si="316"/>
        <v>-15049.991832203292</v>
      </c>
      <c r="AJ399">
        <f t="shared" si="340"/>
        <v>55000</v>
      </c>
      <c r="AK399">
        <f t="shared" si="341"/>
        <v>34283.218841746879</v>
      </c>
      <c r="AL399">
        <v>1</v>
      </c>
      <c r="AM399">
        <f t="shared" si="342"/>
        <v>48.571889072293132</v>
      </c>
      <c r="AN399">
        <f t="shared" si="317"/>
        <v>728.8280645867053</v>
      </c>
      <c r="AO399">
        <f t="shared" si="318"/>
        <v>-1117.337064132661</v>
      </c>
      <c r="AQ399">
        <f t="shared" si="343"/>
        <v>1.330623968457058E-2</v>
      </c>
      <c r="AR399">
        <f t="shared" si="344"/>
        <v>-6.4864591902360429</v>
      </c>
      <c r="AT399">
        <f t="shared" si="313"/>
        <v>-97418.494879658669</v>
      </c>
      <c r="AU399">
        <f t="shared" si="314"/>
        <v>-98993.381965196342</v>
      </c>
      <c r="AV399">
        <f t="shared" si="354"/>
        <v>-2.3481763735653916</v>
      </c>
      <c r="AW399">
        <f t="shared" si="355"/>
        <v>7656.4975451127311</v>
      </c>
      <c r="AX399">
        <f t="shared" si="356"/>
        <v>-26125.403657971965</v>
      </c>
      <c r="AY399">
        <f t="shared" si="364"/>
        <v>-1.285712020233412</v>
      </c>
      <c r="BA399">
        <f t="shared" si="345"/>
        <v>5.1016552983933705</v>
      </c>
      <c r="BB399">
        <f t="shared" si="357"/>
        <v>14.154222229093701</v>
      </c>
      <c r="BC399">
        <f t="shared" si="358"/>
        <v>-1.0624643533319795</v>
      </c>
      <c r="BD399">
        <f t="shared" si="346"/>
        <v>-240.8747233985782</v>
      </c>
      <c r="BF399">
        <f t="shared" si="347"/>
        <v>-29.052871001385835</v>
      </c>
      <c r="BG399">
        <f t="shared" si="348"/>
        <v>-193.24328006052261</v>
      </c>
      <c r="BH399">
        <f t="shared" si="359"/>
        <v>-13.243280060522608</v>
      </c>
      <c r="BI399">
        <f t="shared" si="360"/>
        <v>-13.243280060522608</v>
      </c>
      <c r="BJ399">
        <f t="shared" si="349"/>
        <v>0</v>
      </c>
      <c r="BK399">
        <f t="shared" si="361"/>
        <v>0</v>
      </c>
      <c r="BM399">
        <f t="shared" si="362"/>
        <v>-43.207093230479536</v>
      </c>
      <c r="BN399">
        <f t="shared" si="350"/>
        <v>-132.36855666194441</v>
      </c>
      <c r="BQ399" s="75">
        <f t="shared" si="363"/>
        <v>31.05618302937884</v>
      </c>
      <c r="BR399" s="80"/>
      <c r="BS399" s="80"/>
      <c r="BT399" s="80">
        <v>776247.11699999997</v>
      </c>
      <c r="BU399" s="80">
        <v>7.9999099999999999</v>
      </c>
      <c r="BV399" s="80">
        <v>105.28700000000001</v>
      </c>
      <c r="BY399" s="80"/>
      <c r="BZ399" s="80"/>
      <c r="CA399" s="80"/>
      <c r="CC399" s="80"/>
    </row>
    <row r="400" spans="1:81">
      <c r="A400">
        <f t="shared" si="319"/>
        <v>930000</v>
      </c>
      <c r="B400">
        <f t="shared" si="351"/>
        <v>930</v>
      </c>
      <c r="C400">
        <f t="shared" si="320"/>
        <v>1.4769144805718266</v>
      </c>
      <c r="D400">
        <f t="shared" si="321"/>
        <v>0.82699896676869822</v>
      </c>
      <c r="F400">
        <f t="shared" si="322"/>
        <v>5.1597360847407188E-4</v>
      </c>
      <c r="G400">
        <f t="shared" si="323"/>
        <v>6.9754916118434686E-3</v>
      </c>
      <c r="H400">
        <f t="shared" si="324"/>
        <v>-3.1346171583881568</v>
      </c>
      <c r="J400">
        <f t="shared" si="325"/>
        <v>9</v>
      </c>
      <c r="M400">
        <f t="shared" si="326"/>
        <v>4.5384095578176959E-3</v>
      </c>
      <c r="N400">
        <f t="shared" si="327"/>
        <v>-1.5707963250000001</v>
      </c>
      <c r="O400">
        <f t="shared" si="328"/>
        <v>119.60612061110204</v>
      </c>
      <c r="P400">
        <f t="shared" si="329"/>
        <v>1.5624354532402092</v>
      </c>
      <c r="Q400">
        <f t="shared" si="330"/>
        <v>48.844677426791556</v>
      </c>
      <c r="R400">
        <f t="shared" si="331"/>
        <v>1.5503218365625788</v>
      </c>
      <c r="S400">
        <f t="shared" si="332"/>
        <v>0.84735002515129709</v>
      </c>
      <c r="T400">
        <f t="shared" si="333"/>
        <v>-0.55982129116289781</v>
      </c>
      <c r="U400">
        <f t="shared" si="334"/>
        <v>0.71531617439345163</v>
      </c>
      <c r="V400">
        <f t="shared" si="335"/>
        <v>-0.77371987226796102</v>
      </c>
      <c r="X400">
        <f t="shared" si="352"/>
        <v>-19.154788523385605</v>
      </c>
      <c r="Y400">
        <f t="shared" si="336"/>
        <v>-120.27520825927427</v>
      </c>
      <c r="Z400">
        <f t="shared" si="353"/>
        <v>59.724791740725735</v>
      </c>
      <c r="AC400">
        <v>1</v>
      </c>
      <c r="AD400">
        <f t="shared" si="337"/>
        <v>119.60194014997202</v>
      </c>
      <c r="AE400">
        <f t="shared" si="338"/>
        <v>-3.9137138406668912E-3</v>
      </c>
      <c r="AF400">
        <f t="shared" si="339"/>
        <v>4.0062092127624007E-3</v>
      </c>
      <c r="AG400">
        <f t="shared" si="315"/>
        <v>15150.912624235983</v>
      </c>
      <c r="AH400">
        <f t="shared" si="316"/>
        <v>-15050.720827091047</v>
      </c>
      <c r="AJ400">
        <f t="shared" si="340"/>
        <v>55000</v>
      </c>
      <c r="AK400">
        <f t="shared" si="341"/>
        <v>34468.533538188756</v>
      </c>
      <c r="AL400">
        <v>1</v>
      </c>
      <c r="AM400">
        <f t="shared" si="342"/>
        <v>48.83443982403525</v>
      </c>
      <c r="AN400">
        <f t="shared" si="317"/>
        <v>728.58148043470214</v>
      </c>
      <c r="AO400">
        <f t="shared" si="318"/>
        <v>-1111.3349250062263</v>
      </c>
      <c r="AQ400">
        <f t="shared" si="343"/>
        <v>1.3163547050403984E-2</v>
      </c>
      <c r="AR400">
        <f t="shared" si="344"/>
        <v>-6.4515860448734967</v>
      </c>
      <c r="AT400">
        <f t="shared" si="313"/>
        <v>-96901.580702161795</v>
      </c>
      <c r="AU400">
        <f t="shared" si="314"/>
        <v>-97945.537325368467</v>
      </c>
      <c r="AV400">
        <f t="shared" si="354"/>
        <v>-2.3508367171620019</v>
      </c>
      <c r="AW400">
        <f t="shared" si="355"/>
        <v>7659.228239597508</v>
      </c>
      <c r="AX400">
        <f t="shared" si="356"/>
        <v>-26058.736460126904</v>
      </c>
      <c r="AY400">
        <f t="shared" si="364"/>
        <v>-1.284925236603506</v>
      </c>
      <c r="BA400">
        <f t="shared" si="345"/>
        <v>5.0726978524778978</v>
      </c>
      <c r="BB400">
        <f t="shared" si="357"/>
        <v>14.104779899967317</v>
      </c>
      <c r="BC400">
        <f t="shared" si="358"/>
        <v>-1.0659114805584959</v>
      </c>
      <c r="BD400">
        <f t="shared" si="346"/>
        <v>-241.07222924032791</v>
      </c>
      <c r="BF400">
        <f t="shared" si="347"/>
        <v>-29.170713169737642</v>
      </c>
      <c r="BG400">
        <f t="shared" si="348"/>
        <v>-193.28901249881386</v>
      </c>
      <c r="BH400">
        <f t="shared" si="359"/>
        <v>-13.289012498813861</v>
      </c>
      <c r="BI400">
        <f t="shared" si="360"/>
        <v>-13.289012498813861</v>
      </c>
      <c r="BJ400">
        <f t="shared" si="349"/>
        <v>0</v>
      </c>
      <c r="BK400">
        <f t="shared" si="361"/>
        <v>0</v>
      </c>
      <c r="BM400">
        <f t="shared" si="362"/>
        <v>-43.275493069704957</v>
      </c>
      <c r="BN400">
        <f t="shared" si="350"/>
        <v>-132.21678325848595</v>
      </c>
      <c r="BQ400" s="75">
        <f t="shared" si="363"/>
        <v>31.006740700252454</v>
      </c>
      <c r="BR400" s="80"/>
      <c r="BS400" s="80"/>
      <c r="BT400" s="80">
        <v>794328.23499999999</v>
      </c>
      <c r="BU400" s="80">
        <v>7.7399399999999998</v>
      </c>
      <c r="BV400" s="80">
        <v>105.286</v>
      </c>
      <c r="BY400" s="80"/>
      <c r="BZ400" s="80"/>
      <c r="CA400" s="80"/>
      <c r="CC400" s="80"/>
    </row>
    <row r="401" spans="1:81">
      <c r="A401">
        <f t="shared" si="319"/>
        <v>935000</v>
      </c>
      <c r="B401">
        <f t="shared" si="351"/>
        <v>935</v>
      </c>
      <c r="C401">
        <f t="shared" si="320"/>
        <v>1.4812199108831285</v>
      </c>
      <c r="D401">
        <f t="shared" si="321"/>
        <v>0.82967005628595314</v>
      </c>
      <c r="F401">
        <f t="shared" si="322"/>
        <v>5.1046724842143123E-4</v>
      </c>
      <c r="G401">
        <f t="shared" si="323"/>
        <v>6.9381524786033145E-3</v>
      </c>
      <c r="H401">
        <f t="shared" si="324"/>
        <v>-3.1346544975213968</v>
      </c>
      <c r="J401">
        <f t="shared" si="325"/>
        <v>9</v>
      </c>
      <c r="M401">
        <f t="shared" si="326"/>
        <v>4.5141399879897936E-3</v>
      </c>
      <c r="N401">
        <f t="shared" si="327"/>
        <v>-1.5707963250000001</v>
      </c>
      <c r="O401">
        <f t="shared" si="328"/>
        <v>120.24911944007205</v>
      </c>
      <c r="P401">
        <f t="shared" si="329"/>
        <v>1.5624801617270523</v>
      </c>
      <c r="Q401">
        <f t="shared" si="330"/>
        <v>49.107173443377626</v>
      </c>
      <c r="R401">
        <f t="shared" si="331"/>
        <v>1.550431295463687</v>
      </c>
      <c r="S401">
        <f t="shared" si="332"/>
        <v>0.84606481903949338</v>
      </c>
      <c r="T401">
        <f t="shared" si="333"/>
        <v>-0.56223683030171789</v>
      </c>
      <c r="U401">
        <f t="shared" si="334"/>
        <v>0.71344054423850423</v>
      </c>
      <c r="V401">
        <f t="shared" si="335"/>
        <v>-0.77640026758277747</v>
      </c>
      <c r="X401">
        <f t="shared" si="352"/>
        <v>-19.212135566884779</v>
      </c>
      <c r="Y401">
        <f t="shared" si="336"/>
        <v>-120.40744787433087</v>
      </c>
      <c r="Z401">
        <f t="shared" si="353"/>
        <v>59.59255212566913</v>
      </c>
      <c r="AC401">
        <v>1</v>
      </c>
      <c r="AD401">
        <f t="shared" si="337"/>
        <v>120.24496133357401</v>
      </c>
      <c r="AE401">
        <f t="shared" si="338"/>
        <v>-3.9559099113851449E-3</v>
      </c>
      <c r="AF401">
        <f t="shared" si="339"/>
        <v>4.0277479719708006E-3</v>
      </c>
      <c r="AG401">
        <f t="shared" si="315"/>
        <v>15071.562393269713</v>
      </c>
      <c r="AH401">
        <f t="shared" si="316"/>
        <v>-15051.026894796672</v>
      </c>
      <c r="AJ401">
        <f t="shared" si="340"/>
        <v>55000</v>
      </c>
      <c r="AK401">
        <f t="shared" si="341"/>
        <v>34653.848234630626</v>
      </c>
      <c r="AL401">
        <v>1</v>
      </c>
      <c r="AM401">
        <f t="shared" si="342"/>
        <v>49.096990575777383</v>
      </c>
      <c r="AN401">
        <f t="shared" si="317"/>
        <v>728.33883940416399</v>
      </c>
      <c r="AO401">
        <f t="shared" si="318"/>
        <v>-1105.3968995682485</v>
      </c>
      <c r="AQ401">
        <f t="shared" si="343"/>
        <v>1.3023137463991186E-2</v>
      </c>
      <c r="AR401">
        <f t="shared" si="344"/>
        <v>-6.4170858696943371</v>
      </c>
      <c r="AT401">
        <f t="shared" si="313"/>
        <v>-96387.452982144488</v>
      </c>
      <c r="AU401">
        <f t="shared" si="314"/>
        <v>-96911.521660292812</v>
      </c>
      <c r="AV401">
        <f t="shared" si="354"/>
        <v>-2.3534833149516765</v>
      </c>
      <c r="AW401">
        <f t="shared" si="355"/>
        <v>7661.112745169612</v>
      </c>
      <c r="AX401">
        <f t="shared" si="356"/>
        <v>-25992.425758758665</v>
      </c>
      <c r="AY401">
        <f t="shared" si="364"/>
        <v>-1.2841684560570648</v>
      </c>
      <c r="BA401">
        <f t="shared" si="345"/>
        <v>5.0440539841405787</v>
      </c>
      <c r="BB401">
        <f t="shared" si="357"/>
        <v>14.05559451951534</v>
      </c>
      <c r="BC401">
        <f t="shared" si="358"/>
        <v>-1.0693148588946118</v>
      </c>
      <c r="BD401">
        <f t="shared" si="346"/>
        <v>-241.26722845529642</v>
      </c>
      <c r="BF401">
        <f t="shared" si="347"/>
        <v>-29.287806806072567</v>
      </c>
      <c r="BG401">
        <f t="shared" si="348"/>
        <v>-193.33310893231493</v>
      </c>
      <c r="BH401">
        <f t="shared" si="359"/>
        <v>-13.333108932314929</v>
      </c>
      <c r="BI401">
        <f t="shared" si="360"/>
        <v>-13.333108932314929</v>
      </c>
      <c r="BJ401">
        <f t="shared" si="349"/>
        <v>0</v>
      </c>
      <c r="BK401">
        <f t="shared" si="361"/>
        <v>0</v>
      </c>
      <c r="BM401">
        <f t="shared" si="362"/>
        <v>-43.343401325587905</v>
      </c>
      <c r="BN401">
        <f t="shared" si="350"/>
        <v>-132.06588047701851</v>
      </c>
      <c r="BQ401" s="75">
        <f t="shared" si="363"/>
        <v>30.957555319800477</v>
      </c>
      <c r="BR401" s="80"/>
      <c r="BS401" s="80"/>
      <c r="BT401" s="80">
        <v>812830.51599999995</v>
      </c>
      <c r="BU401" s="80">
        <v>7.5259600000000004</v>
      </c>
      <c r="BV401" s="80">
        <v>105.187</v>
      </c>
      <c r="BY401" s="80"/>
      <c r="BZ401" s="80"/>
      <c r="CA401" s="80"/>
      <c r="CC401" s="80"/>
    </row>
    <row r="402" spans="1:81">
      <c r="A402">
        <f t="shared" si="319"/>
        <v>940000</v>
      </c>
      <c r="B402">
        <f t="shared" si="351"/>
        <v>940</v>
      </c>
      <c r="C402">
        <f t="shared" si="320"/>
        <v>1.4855358479811636</v>
      </c>
      <c r="D402">
        <f t="shared" si="321"/>
        <v>0.8323256439905562</v>
      </c>
      <c r="F402">
        <f t="shared" si="322"/>
        <v>5.0504857837963013E-4</v>
      </c>
      <c r="G402">
        <f t="shared" si="323"/>
        <v>6.9012111568963136E-3</v>
      </c>
      <c r="H402">
        <f t="shared" si="324"/>
        <v>-3.1346914388431038</v>
      </c>
      <c r="J402">
        <f t="shared" si="325"/>
        <v>9</v>
      </c>
      <c r="M402">
        <f t="shared" si="326"/>
        <v>4.490128605074954E-3</v>
      </c>
      <c r="N402">
        <f t="shared" si="327"/>
        <v>-1.5707963250000001</v>
      </c>
      <c r="O402">
        <f t="shared" si="328"/>
        <v>120.89211850684501</v>
      </c>
      <c r="P402">
        <f t="shared" si="329"/>
        <v>1.5625243946244132</v>
      </c>
      <c r="Q402">
        <f t="shared" si="330"/>
        <v>49.369670042072443</v>
      </c>
      <c r="R402">
        <f t="shared" si="331"/>
        <v>1.5505395903887154</v>
      </c>
      <c r="S402">
        <f t="shared" si="332"/>
        <v>0.84477859890938056</v>
      </c>
      <c r="T402">
        <f t="shared" si="333"/>
        <v>-0.56464503906634622</v>
      </c>
      <c r="U402">
        <f t="shared" si="334"/>
        <v>0.71156965231226577</v>
      </c>
      <c r="V402">
        <f t="shared" si="335"/>
        <v>-0.77906662409286176</v>
      </c>
      <c r="X402">
        <f t="shared" si="352"/>
        <v>-19.269277748274789</v>
      </c>
      <c r="Y402">
        <f t="shared" si="336"/>
        <v>-120.53942246132794</v>
      </c>
      <c r="Z402">
        <f t="shared" si="353"/>
        <v>59.460577538672055</v>
      </c>
      <c r="AC402">
        <v>1</v>
      </c>
      <c r="AD402">
        <f t="shared" si="337"/>
        <v>120.88798251717601</v>
      </c>
      <c r="AE402">
        <f t="shared" si="338"/>
        <v>-3.9983322344933105E-3</v>
      </c>
      <c r="AF402">
        <f t="shared" si="339"/>
        <v>4.0492867311791997E-3</v>
      </c>
      <c r="AG402">
        <f t="shared" si="315"/>
        <v>14992.620165905155</v>
      </c>
      <c r="AH402">
        <f t="shared" si="316"/>
        <v>-15050.916503288712</v>
      </c>
      <c r="AJ402">
        <f t="shared" si="340"/>
        <v>55000</v>
      </c>
      <c r="AK402">
        <f t="shared" si="341"/>
        <v>34839.162931072504</v>
      </c>
      <c r="AL402">
        <v>1</v>
      </c>
      <c r="AM402">
        <f t="shared" si="342"/>
        <v>49.359541327519509</v>
      </c>
      <c r="AN402">
        <f t="shared" si="317"/>
        <v>728.10005787994442</v>
      </c>
      <c r="AO402">
        <f t="shared" si="318"/>
        <v>-1099.521966421956</v>
      </c>
      <c r="AQ402">
        <f t="shared" si="343"/>
        <v>1.28849624796005E-2</v>
      </c>
      <c r="AR402">
        <f t="shared" si="344"/>
        <v>-6.3829527131444959</v>
      </c>
      <c r="AT402">
        <f t="shared" si="313"/>
        <v>-95876.108981669357</v>
      </c>
      <c r="AU402">
        <f t="shared" si="314"/>
        <v>-95891.116059537671</v>
      </c>
      <c r="AV402">
        <f t="shared" si="354"/>
        <v>-2.3561162334525161</v>
      </c>
      <c r="AW402">
        <f t="shared" si="355"/>
        <v>7662.1772575098939</v>
      </c>
      <c r="AX402">
        <f t="shared" si="356"/>
        <v>-25926.465025864389</v>
      </c>
      <c r="AY402">
        <f t="shared" si="364"/>
        <v>-1.283440900478827</v>
      </c>
      <c r="BA402">
        <f t="shared" si="345"/>
        <v>5.0157191919159159</v>
      </c>
      <c r="BB402">
        <f t="shared" si="357"/>
        <v>14.006664285260435</v>
      </c>
      <c r="BC402">
        <f t="shared" si="358"/>
        <v>-1.0726753329736891</v>
      </c>
      <c r="BD402">
        <f t="shared" si="346"/>
        <v>-241.45976943741067</v>
      </c>
      <c r="BF402">
        <f t="shared" si="347"/>
        <v>-29.404159738710717</v>
      </c>
      <c r="BG402">
        <f t="shared" si="348"/>
        <v>-193.37561252848056</v>
      </c>
      <c r="BH402">
        <f t="shared" si="359"/>
        <v>-13.375612528480559</v>
      </c>
      <c r="BI402">
        <f t="shared" si="360"/>
        <v>-13.375612528480559</v>
      </c>
      <c r="BJ402">
        <f t="shared" si="349"/>
        <v>0</v>
      </c>
      <c r="BK402">
        <f t="shared" si="361"/>
        <v>0</v>
      </c>
      <c r="BM402">
        <f t="shared" si="362"/>
        <v>-43.410824023971159</v>
      </c>
      <c r="BN402">
        <f t="shared" si="350"/>
        <v>-131.91584309106989</v>
      </c>
      <c r="BQ402" s="75">
        <f t="shared" si="363"/>
        <v>30.908625085545573</v>
      </c>
      <c r="BR402" s="80"/>
      <c r="BS402" s="80"/>
      <c r="BT402" s="80">
        <v>831763.77099999995</v>
      </c>
      <c r="BU402" s="80">
        <v>7.3913599999999997</v>
      </c>
      <c r="BV402" s="80">
        <v>104.541</v>
      </c>
      <c r="BY402" s="80"/>
      <c r="BZ402" s="80"/>
      <c r="CA402" s="80"/>
      <c r="CC402" s="80"/>
    </row>
    <row r="403" spans="1:81">
      <c r="A403">
        <f t="shared" si="319"/>
        <v>945000</v>
      </c>
      <c r="B403">
        <f t="shared" si="351"/>
        <v>945</v>
      </c>
      <c r="C403">
        <f t="shared" si="320"/>
        <v>1.4898622005555486</v>
      </c>
      <c r="D403">
        <f t="shared" si="321"/>
        <v>0.83496582730966229</v>
      </c>
      <c r="F403">
        <f t="shared" si="322"/>
        <v>4.9971574591513345E-4</v>
      </c>
      <c r="G403">
        <f t="shared" si="323"/>
        <v>6.864661319925267E-3</v>
      </c>
      <c r="H403">
        <f t="shared" si="324"/>
        <v>-3.134727988680075</v>
      </c>
      <c r="J403">
        <f t="shared" si="325"/>
        <v>9</v>
      </c>
      <c r="M403">
        <f t="shared" si="326"/>
        <v>4.4663713108682081E-3</v>
      </c>
      <c r="N403">
        <f t="shared" si="327"/>
        <v>-1.5707963250000001</v>
      </c>
      <c r="O403">
        <f t="shared" si="328"/>
        <v>121.53511780764654</v>
      </c>
      <c r="P403">
        <f t="shared" si="329"/>
        <v>1.5625681594806442</v>
      </c>
      <c r="Q403">
        <f t="shared" si="330"/>
        <v>49.632167213639981</v>
      </c>
      <c r="R403">
        <f t="shared" si="331"/>
        <v>1.5506467398033943</v>
      </c>
      <c r="S403">
        <f t="shared" si="332"/>
        <v>0.84349141403266248</v>
      </c>
      <c r="T403">
        <f t="shared" si="333"/>
        <v>-0.5670459229685304</v>
      </c>
      <c r="U403">
        <f t="shared" si="334"/>
        <v>0.70970354092983257</v>
      </c>
      <c r="V403">
        <f t="shared" si="335"/>
        <v>-0.78171901418821255</v>
      </c>
      <c r="X403">
        <f t="shared" si="352"/>
        <v>-19.326217310395993</v>
      </c>
      <c r="Y403">
        <f t="shared" si="336"/>
        <v>-120.67112977354367</v>
      </c>
      <c r="Z403">
        <f t="shared" si="353"/>
        <v>59.328870226456331</v>
      </c>
      <c r="AC403">
        <v>1</v>
      </c>
      <c r="AD403">
        <f t="shared" si="337"/>
        <v>121.531003700778</v>
      </c>
      <c r="AE403">
        <f t="shared" si="338"/>
        <v>-4.040980809991386E-3</v>
      </c>
      <c r="AF403">
        <f t="shared" si="339"/>
        <v>4.0708254903875996E-3</v>
      </c>
      <c r="AG403">
        <f t="shared" si="315"/>
        <v>14914.086145685305</v>
      </c>
      <c r="AH403">
        <f t="shared" si="316"/>
        <v>-15050.39605798459</v>
      </c>
      <c r="AJ403">
        <f t="shared" si="340"/>
        <v>55000</v>
      </c>
      <c r="AK403">
        <f t="shared" si="341"/>
        <v>35024.477627514381</v>
      </c>
      <c r="AL403">
        <v>1</v>
      </c>
      <c r="AM403">
        <f t="shared" si="342"/>
        <v>49.622092079261627</v>
      </c>
      <c r="AN403">
        <f t="shared" si="317"/>
        <v>727.86505445126397</v>
      </c>
      <c r="AO403">
        <f t="shared" si="318"/>
        <v>-1093.7091257430172</v>
      </c>
      <c r="AQ403">
        <f t="shared" si="343"/>
        <v>1.2748974929723314E-2</v>
      </c>
      <c r="AR403">
        <f t="shared" si="344"/>
        <v>-6.3491807496261563</v>
      </c>
      <c r="AT403">
        <f t="shared" si="313"/>
        <v>-95367.545615234078</v>
      </c>
      <c r="AU403">
        <f t="shared" si="314"/>
        <v>-94884.10577647695</v>
      </c>
      <c r="AV403">
        <f t="shared" si="354"/>
        <v>-2.3587355393485954</v>
      </c>
      <c r="AW403">
        <f t="shared" si="355"/>
        <v>7662.4472202648785</v>
      </c>
      <c r="AX403">
        <f t="shared" si="356"/>
        <v>-25860.847955555921</v>
      </c>
      <c r="AY403">
        <f t="shared" si="364"/>
        <v>-1.2827418128024226</v>
      </c>
      <c r="BA403">
        <f t="shared" si="345"/>
        <v>4.9876890367904352</v>
      </c>
      <c r="BB403">
        <f t="shared" si="357"/>
        <v>13.957987381231092</v>
      </c>
      <c r="BC403">
        <f t="shared" si="358"/>
        <v>-1.0759937265461728</v>
      </c>
      <c r="BD403">
        <f t="shared" si="346"/>
        <v>-241.6498993840946</v>
      </c>
      <c r="BF403">
        <f t="shared" si="347"/>
        <v>-29.519779711380266</v>
      </c>
      <c r="BG403">
        <f t="shared" si="348"/>
        <v>-193.41656526506875</v>
      </c>
      <c r="BH403">
        <f t="shared" si="359"/>
        <v>-13.416565265068755</v>
      </c>
      <c r="BI403">
        <f t="shared" si="360"/>
        <v>-13.416565265068755</v>
      </c>
      <c r="BJ403">
        <f t="shared" si="349"/>
        <v>0</v>
      </c>
      <c r="BK403">
        <f t="shared" si="361"/>
        <v>0</v>
      </c>
      <c r="BM403">
        <f t="shared" si="362"/>
        <v>-43.477767092611359</v>
      </c>
      <c r="BN403">
        <f t="shared" si="350"/>
        <v>-131.76666588097416</v>
      </c>
      <c r="BQ403" s="75">
        <f t="shared" si="363"/>
        <v>30.859948181516227</v>
      </c>
      <c r="BR403" s="80"/>
      <c r="BS403" s="80"/>
      <c r="BT403" s="80">
        <v>851138.03799999994</v>
      </c>
      <c r="BU403" s="80">
        <v>7.3125499999999999</v>
      </c>
      <c r="BV403" s="80">
        <v>103.205</v>
      </c>
      <c r="BY403" s="80"/>
      <c r="BZ403" s="80"/>
      <c r="CA403" s="80"/>
      <c r="CC403" s="80"/>
    </row>
    <row r="404" spans="1:81">
      <c r="A404">
        <f t="shared" si="319"/>
        <v>950000</v>
      </c>
      <c r="B404">
        <f t="shared" si="351"/>
        <v>950</v>
      </c>
      <c r="C404">
        <f t="shared" si="320"/>
        <v>1.4941988781343483</v>
      </c>
      <c r="D404">
        <f t="shared" si="321"/>
        <v>0.83759070340245412</v>
      </c>
      <c r="F404">
        <f t="shared" si="322"/>
        <v>4.9446694726026658E-4</v>
      </c>
      <c r="G404">
        <f t="shared" si="323"/>
        <v>6.8284967744108816E-3</v>
      </c>
      <c r="H404">
        <f t="shared" si="324"/>
        <v>-3.1347641532255892</v>
      </c>
      <c r="J404">
        <f t="shared" si="325"/>
        <v>9</v>
      </c>
      <c r="M404">
        <f t="shared" si="326"/>
        <v>4.4428640934425856E-3</v>
      </c>
      <c r="N404">
        <f t="shared" si="327"/>
        <v>-1.5707963250000001</v>
      </c>
      <c r="O404">
        <f t="shared" si="328"/>
        <v>122.1781173387817</v>
      </c>
      <c r="P404">
        <f t="shared" si="329"/>
        <v>1.5626114636852035</v>
      </c>
      <c r="Q404">
        <f t="shared" si="330"/>
        <v>49.894664949038528</v>
      </c>
      <c r="R404">
        <f t="shared" si="331"/>
        <v>1.5507527617849648</v>
      </c>
      <c r="S404">
        <f t="shared" si="332"/>
        <v>0.84220331322848196</v>
      </c>
      <c r="T404">
        <f t="shared" si="333"/>
        <v>-0.56943948782431764</v>
      </c>
      <c r="U404">
        <f t="shared" si="334"/>
        <v>0.70784225104015919</v>
      </c>
      <c r="V404">
        <f t="shared" si="335"/>
        <v>-0.78435751028852574</v>
      </c>
      <c r="X404">
        <f t="shared" si="352"/>
        <v>-19.382956453841857</v>
      </c>
      <c r="Y404">
        <f t="shared" si="336"/>
        <v>-120.80256762245918</v>
      </c>
      <c r="Z404">
        <f t="shared" si="353"/>
        <v>59.197432377540821</v>
      </c>
      <c r="AC404">
        <v>1</v>
      </c>
      <c r="AD404">
        <f t="shared" si="337"/>
        <v>122.17402488438002</v>
      </c>
      <c r="AE404">
        <f t="shared" si="338"/>
        <v>-4.0838556378793717E-3</v>
      </c>
      <c r="AF404">
        <f t="shared" si="339"/>
        <v>4.0923642495959995E-3</v>
      </c>
      <c r="AG404">
        <f t="shared" si="315"/>
        <v>14835.96046421714</v>
      </c>
      <c r="AH404">
        <f t="shared" si="316"/>
        <v>-15049.471901536775</v>
      </c>
      <c r="AJ404">
        <f t="shared" si="340"/>
        <v>55000</v>
      </c>
      <c r="AK404">
        <f t="shared" si="341"/>
        <v>35209.792323956251</v>
      </c>
      <c r="AL404">
        <v>1</v>
      </c>
      <c r="AM404">
        <f t="shared" si="342"/>
        <v>49.88464283100376</v>
      </c>
      <c r="AN404">
        <f t="shared" si="317"/>
        <v>727.63374984234827</v>
      </c>
      <c r="AO404">
        <f t="shared" si="318"/>
        <v>-1087.9573987132344</v>
      </c>
      <c r="AQ404">
        <f t="shared" si="343"/>
        <v>1.2615128884816125E-2</v>
      </c>
      <c r="AR404">
        <f t="shared" si="344"/>
        <v>-6.3157642761831925</v>
      </c>
      <c r="AT404">
        <f t="shared" si="313"/>
        <v>-94861.759457762571</v>
      </c>
      <c r="AU404">
        <f t="shared" si="314"/>
        <v>-93890.280130455139</v>
      </c>
      <c r="AV404">
        <f t="shared" si="354"/>
        <v>-2.361341299473791</v>
      </c>
      <c r="AW404">
        <f t="shared" si="355"/>
        <v>7661.9473482768981</v>
      </c>
      <c r="AX404">
        <f t="shared" si="356"/>
        <v>-25795.56845601866</v>
      </c>
      <c r="AY404">
        <f t="shared" si="364"/>
        <v>-1.2820704563894967</v>
      </c>
      <c r="BA404">
        <f t="shared" si="345"/>
        <v>4.9599591423228189</v>
      </c>
      <c r="BB404">
        <f t="shared" si="357"/>
        <v>13.909561980058678</v>
      </c>
      <c r="BC404">
        <f t="shared" si="358"/>
        <v>-1.0792708430842943</v>
      </c>
      <c r="BD404">
        <f t="shared" si="346"/>
        <v>-241.83766433091603</v>
      </c>
      <c r="BF404">
        <f t="shared" si="347"/>
        <v>-29.634674383100648</v>
      </c>
      <c r="BG404">
        <f t="shared" si="348"/>
        <v>-193.4560079656849</v>
      </c>
      <c r="BH404">
        <f t="shared" si="359"/>
        <v>-13.456007965684904</v>
      </c>
      <c r="BI404">
        <f t="shared" si="360"/>
        <v>-13.456007965684904</v>
      </c>
      <c r="BJ404">
        <f t="shared" si="349"/>
        <v>0</v>
      </c>
      <c r="BK404">
        <f t="shared" si="361"/>
        <v>0</v>
      </c>
      <c r="BM404">
        <f t="shared" si="362"/>
        <v>-43.544236363159328</v>
      </c>
      <c r="BN404">
        <f t="shared" si="350"/>
        <v>-131.61834363476891</v>
      </c>
      <c r="BQ404" s="75">
        <f t="shared" si="363"/>
        <v>30.811522780343815</v>
      </c>
      <c r="BR404" s="80"/>
      <c r="BS404" s="80"/>
      <c r="BT404" s="80">
        <v>870963.59</v>
      </c>
      <c r="BU404" s="80">
        <v>7.1463099999999997</v>
      </c>
      <c r="BV404" s="80">
        <v>103.91</v>
      </c>
      <c r="BY404" s="80"/>
      <c r="BZ404" s="80"/>
      <c r="CA404" s="80"/>
      <c r="CC404" s="80"/>
    </row>
    <row r="405" spans="1:81">
      <c r="A405">
        <f t="shared" si="319"/>
        <v>955000</v>
      </c>
      <c r="B405">
        <f t="shared" si="351"/>
        <v>955</v>
      </c>
      <c r="C405">
        <f t="shared" si="320"/>
        <v>1.4985457910782316</v>
      </c>
      <c r="D405">
        <f t="shared" si="321"/>
        <v>0.84020036914852658</v>
      </c>
      <c r="F405">
        <f t="shared" si="322"/>
        <v>4.8930042578678346E-4</v>
      </c>
      <c r="G405">
        <f t="shared" si="323"/>
        <v>6.792711457086484E-3</v>
      </c>
      <c r="H405">
        <f t="shared" si="324"/>
        <v>-3.1347999385429137</v>
      </c>
      <c r="J405">
        <f t="shared" si="325"/>
        <v>9</v>
      </c>
      <c r="M405">
        <f t="shared" si="326"/>
        <v>4.4196030248905309E-3</v>
      </c>
      <c r="N405">
        <f t="shared" si="327"/>
        <v>-1.5707963250000001</v>
      </c>
      <c r="O405">
        <f t="shared" si="328"/>
        <v>122.82111709663295</v>
      </c>
      <c r="P405">
        <f t="shared" si="329"/>
        <v>1.5626543144728127</v>
      </c>
      <c r="Q405">
        <f t="shared" si="330"/>
        <v>50.157163239415659</v>
      </c>
      <c r="R405">
        <f t="shared" si="331"/>
        <v>1.5508576740323401</v>
      </c>
      <c r="S405">
        <f t="shared" si="332"/>
        <v>0.84091434486331329</v>
      </c>
      <c r="T405">
        <f t="shared" si="333"/>
        <v>-0.57182573974980355</v>
      </c>
      <c r="U405">
        <f t="shared" si="334"/>
        <v>0.70598582224894679</v>
      </c>
      <c r="V405">
        <f t="shared" si="335"/>
        <v>-0.78698218483059634</v>
      </c>
      <c r="X405">
        <f t="shared" si="352"/>
        <v>-19.439497337928447</v>
      </c>
      <c r="Y405">
        <f t="shared" si="336"/>
        <v>-120.93373387683924</v>
      </c>
      <c r="Z405">
        <f t="shared" si="353"/>
        <v>59.066266123160759</v>
      </c>
      <c r="AC405">
        <v>1</v>
      </c>
      <c r="AD405">
        <f t="shared" si="337"/>
        <v>122.81704606798202</v>
      </c>
      <c r="AE405">
        <f t="shared" si="338"/>
        <v>-4.1269567181572682E-3</v>
      </c>
      <c r="AF405">
        <f t="shared" si="339"/>
        <v>4.1139030088044003E-3</v>
      </c>
      <c r="AG405">
        <f t="shared" si="315"/>
        <v>14758.243182999762</v>
      </c>
      <c r="AH405">
        <f t="shared" si="316"/>
        <v>-15048.15031365339</v>
      </c>
      <c r="AJ405">
        <f t="shared" si="340"/>
        <v>55000</v>
      </c>
      <c r="AK405">
        <f t="shared" si="341"/>
        <v>35395.107020398129</v>
      </c>
      <c r="AL405">
        <v>1</v>
      </c>
      <c r="AM405">
        <f t="shared" si="342"/>
        <v>50.147193582745878</v>
      </c>
      <c r="AN405">
        <f t="shared" si="317"/>
        <v>727.40606684560032</v>
      </c>
      <c r="AO405">
        <f t="shared" si="318"/>
        <v>-1082.2658269719791</v>
      </c>
      <c r="AQ405">
        <f t="shared" si="343"/>
        <v>1.2483379614514102E-2</v>
      </c>
      <c r="AR405">
        <f t="shared" si="344"/>
        <v>-6.2826977092907299</v>
      </c>
      <c r="AT405">
        <f t="shared" si="313"/>
        <v>-94358.746752556035</v>
      </c>
      <c r="AU405">
        <f t="shared" si="314"/>
        <v>-92909.432411849732</v>
      </c>
      <c r="AV405">
        <f t="shared" si="354"/>
        <v>-2.3639335807960453</v>
      </c>
      <c r="AW405">
        <f t="shared" si="355"/>
        <v>7660.7016500029004</v>
      </c>
      <c r="AX405">
        <f t="shared" si="356"/>
        <v>-25730.620641766</v>
      </c>
      <c r="AY405">
        <f t="shared" si="364"/>
        <v>-1.2814261144282972</v>
      </c>
      <c r="BA405">
        <f t="shared" si="345"/>
        <v>4.9325251946665203</v>
      </c>
      <c r="BB405">
        <f t="shared" si="357"/>
        <v>13.861386244938496</v>
      </c>
      <c r="BC405">
        <f t="shared" si="358"/>
        <v>-1.0825074663677481</v>
      </c>
      <c r="BD405">
        <f t="shared" si="346"/>
        <v>-242.0231091851436</v>
      </c>
      <c r="BF405">
        <f t="shared" si="347"/>
        <v>-29.748851328153055</v>
      </c>
      <c r="BG405">
        <f t="shared" si="348"/>
        <v>-193.49398033420542</v>
      </c>
      <c r="BH405">
        <f t="shared" si="359"/>
        <v>-13.493980334205418</v>
      </c>
      <c r="BI405">
        <f t="shared" si="360"/>
        <v>-13.493980334205418</v>
      </c>
      <c r="BJ405">
        <f t="shared" si="349"/>
        <v>0</v>
      </c>
      <c r="BK405">
        <f t="shared" si="361"/>
        <v>0</v>
      </c>
      <c r="BM405">
        <f t="shared" si="362"/>
        <v>-43.610237573091553</v>
      </c>
      <c r="BN405">
        <f t="shared" si="350"/>
        <v>-131.47087114906182</v>
      </c>
      <c r="BQ405" s="75">
        <f t="shared" si="363"/>
        <v>30.763347045223632</v>
      </c>
      <c r="BR405" s="80"/>
      <c r="BS405" s="80"/>
      <c r="BT405" s="80">
        <v>891250.93799999997</v>
      </c>
      <c r="BU405" s="80">
        <v>6.8612700000000002</v>
      </c>
      <c r="BV405" s="80">
        <v>102.337</v>
      </c>
      <c r="BY405" s="80"/>
      <c r="BZ405" s="80"/>
      <c r="CA405" s="80"/>
      <c r="CC405" s="80"/>
    </row>
    <row r="406" spans="1:81">
      <c r="A406">
        <f t="shared" si="319"/>
        <v>960000</v>
      </c>
      <c r="B406">
        <f t="shared" si="351"/>
        <v>960</v>
      </c>
      <c r="C406">
        <f t="shared" si="320"/>
        <v>1.5029028505745934</v>
      </c>
      <c r="D406">
        <f t="shared" si="321"/>
        <v>0.84279492113668653</v>
      </c>
      <c r="F406">
        <f t="shared" si="322"/>
        <v>4.8421447053500897E-4</v>
      </c>
      <c r="G406">
        <f t="shared" si="323"/>
        <v>6.7572994313026356E-3</v>
      </c>
      <c r="H406">
        <f t="shared" si="324"/>
        <v>-3.1348353505686974</v>
      </c>
      <c r="J406">
        <f t="shared" si="325"/>
        <v>9</v>
      </c>
      <c r="M406">
        <f t="shared" si="326"/>
        <v>4.3965842591358927E-3</v>
      </c>
      <c r="N406">
        <f t="shared" si="327"/>
        <v>-1.5707963250000001</v>
      </c>
      <c r="O406">
        <f t="shared" si="328"/>
        <v>123.46411707765803</v>
      </c>
      <c r="P406">
        <f t="shared" si="329"/>
        <v>1.5626967189274872</v>
      </c>
      <c r="Q406">
        <f t="shared" si="330"/>
        <v>50.419662076103258</v>
      </c>
      <c r="R406">
        <f t="shared" si="331"/>
        <v>1.5509614938759508</v>
      </c>
      <c r="S406">
        <f t="shared" si="332"/>
        <v>0.8396245568509485</v>
      </c>
      <c r="T406">
        <f t="shared" si="333"/>
        <v>-0.57420468515689793</v>
      </c>
      <c r="U406">
        <f t="shared" si="334"/>
        <v>0.70413429284133766</v>
      </c>
      <c r="V406">
        <f t="shared" si="335"/>
        <v>-0.78959311025604395</v>
      </c>
      <c r="X406">
        <f t="shared" si="352"/>
        <v>-19.495842081638738</v>
      </c>
      <c r="Y406">
        <f t="shared" si="336"/>
        <v>-121.06462646182743</v>
      </c>
      <c r="Z406">
        <f t="shared" si="353"/>
        <v>58.93537353817257</v>
      </c>
      <c r="AC406">
        <v>1</v>
      </c>
      <c r="AD406">
        <f t="shared" si="337"/>
        <v>123.46006725158401</v>
      </c>
      <c r="AE406">
        <f t="shared" si="338"/>
        <v>-4.170284050825074E-3</v>
      </c>
      <c r="AF406">
        <f t="shared" si="339"/>
        <v>4.1354417680128002E-3</v>
      </c>
      <c r="AG406">
        <f t="shared" si="315"/>
        <v>14680.934295224703</v>
      </c>
      <c r="AH406">
        <f t="shared" si="316"/>
        <v>-15046.437510952233</v>
      </c>
      <c r="AJ406">
        <f t="shared" si="340"/>
        <v>55000</v>
      </c>
      <c r="AK406">
        <f t="shared" si="341"/>
        <v>35580.421716840006</v>
      </c>
      <c r="AL406">
        <v>1</v>
      </c>
      <c r="AM406">
        <f t="shared" si="342"/>
        <v>50.409744334487996</v>
      </c>
      <c r="AN406">
        <f t="shared" si="317"/>
        <v>727.18193025719575</v>
      </c>
      <c r="AO406">
        <f t="shared" si="318"/>
        <v>-1076.633472084719</v>
      </c>
      <c r="AQ406">
        <f t="shared" si="343"/>
        <v>1.2353683550255056E-2</v>
      </c>
      <c r="AR406">
        <f t="shared" si="344"/>
        <v>-6.249975581745038</v>
      </c>
      <c r="AT406">
        <f t="shared" ref="AT406:AT469" si="365">-AR406*AH406+AG406*AQ406</f>
        <v>-93858.503419198751</v>
      </c>
      <c r="AU406">
        <f t="shared" ref="AU406:AU469" si="366">AQ406*AH406+AG406*AR406</f>
        <v>-91941.359789926675</v>
      </c>
      <c r="AV406">
        <f t="shared" si="354"/>
        <v>-2.3665124504020407</v>
      </c>
      <c r="AW406">
        <f t="shared" si="355"/>
        <v>7658.7334491546626</v>
      </c>
      <c r="AX406">
        <f t="shared" si="356"/>
        <v>-25665.998826177947</v>
      </c>
      <c r="AY406">
        <f t="shared" si="364"/>
        <v>-1.280808089351118</v>
      </c>
      <c r="BA406">
        <f t="shared" si="345"/>
        <v>4.9053829425036293</v>
      </c>
      <c r="BB406">
        <f t="shared" si="357"/>
        <v>13.813458331463043</v>
      </c>
      <c r="BC406">
        <f t="shared" si="358"/>
        <v>-1.0857043610509227</v>
      </c>
      <c r="BD406">
        <f t="shared" si="346"/>
        <v>-242.20627775824664</v>
      </c>
      <c r="BF406">
        <f t="shared" si="347"/>
        <v>-29.862318036131331</v>
      </c>
      <c r="BG406">
        <f t="shared" si="348"/>
        <v>-193.53052098811347</v>
      </c>
      <c r="BH406">
        <f t="shared" si="359"/>
        <v>-13.530520988113466</v>
      </c>
      <c r="BI406">
        <f t="shared" si="360"/>
        <v>-13.530520988113466</v>
      </c>
      <c r="BJ406">
        <f t="shared" si="349"/>
        <v>0</v>
      </c>
      <c r="BK406">
        <f t="shared" si="361"/>
        <v>0</v>
      </c>
      <c r="BM406">
        <f t="shared" si="362"/>
        <v>-43.675776367594366</v>
      </c>
      <c r="BN406">
        <f t="shared" si="350"/>
        <v>-131.32424322986685</v>
      </c>
      <c r="BQ406" s="75">
        <f t="shared" si="363"/>
        <v>30.715419131748178</v>
      </c>
      <c r="BR406" s="80"/>
      <c r="BS406" s="80"/>
      <c r="BT406" s="80">
        <v>912010.83900000004</v>
      </c>
      <c r="BU406" s="80">
        <v>6.4708399999999999</v>
      </c>
      <c r="BV406" s="80">
        <v>100.33499999999999</v>
      </c>
      <c r="BY406" s="80"/>
      <c r="BZ406" s="80"/>
      <c r="CA406" s="80"/>
      <c r="CC406" s="80"/>
    </row>
    <row r="407" spans="1:81">
      <c r="A407">
        <f t="shared" si="319"/>
        <v>965000</v>
      </c>
      <c r="B407">
        <f t="shared" si="351"/>
        <v>965</v>
      </c>
      <c r="C407">
        <f t="shared" si="320"/>
        <v>1.5072699686316346</v>
      </c>
      <c r="D407">
        <f t="shared" si="321"/>
        <v>0.84537445565416192</v>
      </c>
      <c r="F407">
        <f t="shared" si="322"/>
        <v>4.7920741479625506E-4</v>
      </c>
      <c r="G407">
        <f t="shared" si="323"/>
        <v>6.7222548837376625E-3</v>
      </c>
      <c r="H407">
        <f t="shared" si="324"/>
        <v>-3.1348703951162626</v>
      </c>
      <c r="J407">
        <f t="shared" si="325"/>
        <v>9</v>
      </c>
      <c r="M407">
        <f t="shared" si="326"/>
        <v>4.3738040298139449E-3</v>
      </c>
      <c r="N407">
        <f t="shared" si="327"/>
        <v>-1.5707963250000001</v>
      </c>
      <c r="O407">
        <f t="shared" si="328"/>
        <v>124.1071172783882</v>
      </c>
      <c r="P407">
        <f t="shared" si="329"/>
        <v>1.5627386839864392</v>
      </c>
      <c r="Q407">
        <f t="shared" si="330"/>
        <v>50.682161450612803</v>
      </c>
      <c r="R407">
        <f t="shared" si="331"/>
        <v>1.5510642382872828</v>
      </c>
      <c r="S407">
        <f t="shared" si="332"/>
        <v>0.83833399665257125</v>
      </c>
      <c r="T407">
        <f t="shared" si="333"/>
        <v>-0.57657633074910741</v>
      </c>
      <c r="U407">
        <f t="shared" si="334"/>
        <v>0.70228769980441674</v>
      </c>
      <c r="V407">
        <f t="shared" si="335"/>
        <v>-0.79219035899935297</v>
      </c>
      <c r="X407">
        <f t="shared" si="352"/>
        <v>-19.551992764542394</v>
      </c>
      <c r="Y407">
        <f t="shared" si="336"/>
        <v>-121.19524335805627</v>
      </c>
      <c r="Z407">
        <f t="shared" si="353"/>
        <v>58.804756641943726</v>
      </c>
      <c r="AC407">
        <v>1</v>
      </c>
      <c r="AD407">
        <f t="shared" si="337"/>
        <v>124.10308843518602</v>
      </c>
      <c r="AE407">
        <f t="shared" si="338"/>
        <v>-4.2138376358827907E-3</v>
      </c>
      <c r="AF407">
        <f t="shared" si="339"/>
        <v>4.1569805272212001E-3</v>
      </c>
      <c r="AG407">
        <f t="shared" si="315"/>
        <v>14604.033727548158</v>
      </c>
      <c r="AH407">
        <f t="shared" si="316"/>
        <v>-15044.339646846815</v>
      </c>
      <c r="AJ407">
        <f t="shared" si="340"/>
        <v>55000</v>
      </c>
      <c r="AK407">
        <f t="shared" si="341"/>
        <v>35765.736413281884</v>
      </c>
      <c r="AL407">
        <v>1</v>
      </c>
      <c r="AM407">
        <f t="shared" si="342"/>
        <v>50.672295086230136</v>
      </c>
      <c r="AN407">
        <f t="shared" si="317"/>
        <v>726.96126681501084</v>
      </c>
      <c r="AO407">
        <f t="shared" si="318"/>
        <v>-1071.0594150280226</v>
      </c>
      <c r="AQ407">
        <f t="shared" si="343"/>
        <v>1.2225998249255417E-2</v>
      </c>
      <c r="AR407">
        <f t="shared" si="344"/>
        <v>-6.217592539650088</v>
      </c>
      <c r="AT407">
        <f t="shared" si="365"/>
        <v>-93361.025061411725</v>
      </c>
      <c r="AU407">
        <f t="shared" si="366"/>
        <v>-90985.86322338524</v>
      </c>
      <c r="AV407">
        <f t="shared" si="354"/>
        <v>-2.3690779754822944</v>
      </c>
      <c r="AW407">
        <f t="shared" si="355"/>
        <v>7656.0654055913483</v>
      </c>
      <c r="AX407">
        <f t="shared" si="356"/>
        <v>-25601.697514312844</v>
      </c>
      <c r="AY407">
        <f t="shared" si="364"/>
        <v>-1.2802157022700198</v>
      </c>
      <c r="BA407">
        <f t="shared" si="345"/>
        <v>4.8785281968978413</v>
      </c>
      <c r="BB407">
        <f t="shared" si="357"/>
        <v>13.765776389334821</v>
      </c>
      <c r="BC407">
        <f t="shared" si="358"/>
        <v>-1.0888622732122746</v>
      </c>
      <c r="BD407">
        <f t="shared" si="346"/>
        <v>-242.38721279737189</v>
      </c>
      <c r="BF407">
        <f t="shared" si="347"/>
        <v>-29.975081912067473</v>
      </c>
      <c r="BG407">
        <f t="shared" si="348"/>
        <v>-193.56566749078289</v>
      </c>
      <c r="BH407">
        <f t="shared" si="359"/>
        <v>-13.565667490782886</v>
      </c>
      <c r="BI407">
        <f t="shared" si="360"/>
        <v>-13.565667490782886</v>
      </c>
      <c r="BJ407">
        <f t="shared" si="349"/>
        <v>0</v>
      </c>
      <c r="BK407">
        <f t="shared" si="361"/>
        <v>0</v>
      </c>
      <c r="BM407">
        <f t="shared" si="362"/>
        <v>-43.740858301402298</v>
      </c>
      <c r="BN407">
        <f t="shared" si="350"/>
        <v>-131.17845469341103</v>
      </c>
      <c r="BQ407" s="75">
        <f t="shared" si="363"/>
        <v>30.667737189619956</v>
      </c>
      <c r="BR407" s="80"/>
      <c r="BS407" s="80"/>
      <c r="BT407" s="80">
        <v>933254.30099999998</v>
      </c>
      <c r="BU407" s="80">
        <v>6.2453099999999999</v>
      </c>
      <c r="BV407" s="80">
        <v>100.20399999999999</v>
      </c>
      <c r="BY407" s="80"/>
      <c r="BZ407" s="80"/>
      <c r="CA407" s="80"/>
      <c r="CC407" s="80"/>
    </row>
    <row r="408" spans="1:81">
      <c r="A408">
        <f t="shared" si="319"/>
        <v>970000</v>
      </c>
      <c r="B408">
        <f t="shared" si="351"/>
        <v>970</v>
      </c>
      <c r="C408">
        <f t="shared" si="320"/>
        <v>1.5116470580724177</v>
      </c>
      <c r="D408">
        <f t="shared" si="321"/>
        <v>0.84793906867621016</v>
      </c>
      <c r="F408">
        <f t="shared" si="322"/>
        <v>4.7427763474631828E-4</v>
      </c>
      <c r="G408">
        <f t="shared" si="323"/>
        <v>6.6875721212102416E-3</v>
      </c>
      <c r="H408">
        <f t="shared" si="324"/>
        <v>-3.1349050778787899</v>
      </c>
      <c r="J408">
        <f t="shared" si="325"/>
        <v>9</v>
      </c>
      <c r="M408">
        <f t="shared" si="326"/>
        <v>4.3512586482169656E-3</v>
      </c>
      <c r="N408">
        <f t="shared" si="327"/>
        <v>-1.5707963250000001</v>
      </c>
      <c r="O408">
        <f t="shared" si="328"/>
        <v>124.75011769542616</v>
      </c>
      <c r="P408">
        <f t="shared" si="329"/>
        <v>1.5627802164438616</v>
      </c>
      <c r="Q408">
        <f t="shared" si="330"/>
        <v>50.944661354630668</v>
      </c>
      <c r="R408">
        <f t="shared" si="331"/>
        <v>1.5511659238881219</v>
      </c>
      <c r="S408">
        <f t="shared" si="332"/>
        <v>0.83704271127692365</v>
      </c>
      <c r="T408">
        <f t="shared" si="333"/>
        <v>-0.5789406835173363</v>
      </c>
      <c r="U408">
        <f t="shared" si="334"/>
        <v>0.70044607884950771</v>
      </c>
      <c r="V408">
        <f t="shared" si="335"/>
        <v>-0.79477400347622695</v>
      </c>
      <c r="X408">
        <f t="shared" si="352"/>
        <v>-19.607951427691731</v>
      </c>
      <c r="Y408">
        <f t="shared" si="336"/>
        <v>-121.32558260077055</v>
      </c>
      <c r="Z408">
        <f t="shared" si="353"/>
        <v>58.674417399229455</v>
      </c>
      <c r="AC408">
        <v>1</v>
      </c>
      <c r="AD408">
        <f t="shared" si="337"/>
        <v>124.74610961878801</v>
      </c>
      <c r="AE408">
        <f t="shared" si="338"/>
        <v>-4.2576174733304165E-3</v>
      </c>
      <c r="AF408">
        <f t="shared" si="339"/>
        <v>4.1785192864296E-3</v>
      </c>
      <c r="AG408">
        <f t="shared" si="315"/>
        <v>14527.541341835335</v>
      </c>
      <c r="AH408">
        <f t="shared" si="316"/>
        <v>-15041.862811463436</v>
      </c>
      <c r="AJ408">
        <f t="shared" si="340"/>
        <v>55000</v>
      </c>
      <c r="AK408">
        <f t="shared" si="341"/>
        <v>35951.051109723754</v>
      </c>
      <c r="AL408">
        <v>1</v>
      </c>
      <c r="AM408">
        <f t="shared" si="342"/>
        <v>50.934845837972254</v>
      </c>
      <c r="AN408">
        <f t="shared" si="317"/>
        <v>726.74400513877856</v>
      </c>
      <c r="AO408">
        <f t="shared" si="318"/>
        <v>-1065.5427556904503</v>
      </c>
      <c r="AQ408">
        <f t="shared" si="343"/>
        <v>1.2100282359782723E-2</v>
      </c>
      <c r="AR408">
        <f t="shared" si="344"/>
        <v>-6.1855433394973307</v>
      </c>
      <c r="AT408">
        <f t="shared" si="365"/>
        <v>-92866.306974850624</v>
      </c>
      <c r="AU408">
        <f t="shared" si="366"/>
        <v>-90042.747373497492</v>
      </c>
      <c r="AV408">
        <f t="shared" si="354"/>
        <v>-2.3716302233166475</v>
      </c>
      <c r="AW408">
        <f t="shared" si="355"/>
        <v>7652.7195354940841</v>
      </c>
      <c r="AX408">
        <f t="shared" si="356"/>
        <v>-25537.711395981871</v>
      </c>
      <c r="AY408">
        <f t="shared" si="364"/>
        <v>-1.2796482924302608</v>
      </c>
      <c r="BA408">
        <f t="shared" si="345"/>
        <v>4.8519568310740651</v>
      </c>
      <c r="BB408">
        <f t="shared" si="357"/>
        <v>13.718338563966036</v>
      </c>
      <c r="BC408">
        <f t="shared" si="358"/>
        <v>-1.0919819308863867</v>
      </c>
      <c r="BD408">
        <f t="shared" si="346"/>
        <v>-242.56595601582833</v>
      </c>
      <c r="BF408">
        <f t="shared" si="347"/>
        <v>-30.087150276625636</v>
      </c>
      <c r="BG408">
        <f t="shared" si="348"/>
        <v>-193.59945638274073</v>
      </c>
      <c r="BH408">
        <f t="shared" si="359"/>
        <v>-13.599456382740726</v>
      </c>
      <c r="BI408">
        <f t="shared" si="360"/>
        <v>-13.599456382740726</v>
      </c>
      <c r="BJ408">
        <f t="shared" si="349"/>
        <v>0</v>
      </c>
      <c r="BK408">
        <f t="shared" si="361"/>
        <v>0</v>
      </c>
      <c r="BM408">
        <f t="shared" si="362"/>
        <v>-43.805488840591664</v>
      </c>
      <c r="BN408">
        <f t="shared" si="350"/>
        <v>-131.03350036691242</v>
      </c>
      <c r="BQ408" s="75">
        <f t="shared" si="363"/>
        <v>30.620299364251174</v>
      </c>
      <c r="BR408" s="80"/>
      <c r="BS408" s="80"/>
      <c r="BT408" s="80">
        <v>954992.58600000001</v>
      </c>
      <c r="BU408" s="80">
        <v>6.1328699999999996</v>
      </c>
      <c r="BV408" s="80">
        <v>99.956599999999995</v>
      </c>
      <c r="BY408" s="80"/>
      <c r="BZ408" s="80"/>
      <c r="CA408" s="80"/>
      <c r="CC408" s="80"/>
    </row>
    <row r="409" spans="1:81">
      <c r="A409">
        <f t="shared" si="319"/>
        <v>975000</v>
      </c>
      <c r="B409">
        <f t="shared" si="351"/>
        <v>975</v>
      </c>
      <c r="C409">
        <f t="shared" si="320"/>
        <v>1.5160340325288872</v>
      </c>
      <c r="D409">
        <f t="shared" si="321"/>
        <v>0.85048885585611633</v>
      </c>
      <c r="F409">
        <f t="shared" si="322"/>
        <v>4.6942354812796159E-4</v>
      </c>
      <c r="G409">
        <f t="shared" si="323"/>
        <v>6.6532455675903726E-3</v>
      </c>
      <c r="H409">
        <f t="shared" si="324"/>
        <v>-3.1349394044324099</v>
      </c>
      <c r="J409">
        <f t="shared" si="325"/>
        <v>9</v>
      </c>
      <c r="M409">
        <f t="shared" si="326"/>
        <v>4.3289445013030324E-3</v>
      </c>
      <c r="N409">
        <f t="shared" si="327"/>
        <v>-1.5707963250000001</v>
      </c>
      <c r="O409">
        <f t="shared" si="328"/>
        <v>125.39311832544431</v>
      </c>
      <c r="P409">
        <f t="shared" si="329"/>
        <v>1.5628213229545933</v>
      </c>
      <c r="Q409">
        <f t="shared" si="330"/>
        <v>51.207161780013713</v>
      </c>
      <c r="R409">
        <f t="shared" si="331"/>
        <v>1.5512665669595125</v>
      </c>
      <c r="S409">
        <f t="shared" si="332"/>
        <v>0.83575074728055687</v>
      </c>
      <c r="T409">
        <f t="shared" si="333"/>
        <v>-0.58129775073570467</v>
      </c>
      <c r="U409">
        <f t="shared" si="334"/>
        <v>0.69860946443426863</v>
      </c>
      <c r="V409">
        <f t="shared" si="335"/>
        <v>-0.79734411607224764</v>
      </c>
      <c r="X409">
        <f t="shared" si="352"/>
        <v>-19.663720074494663</v>
      </c>
      <c r="Y409">
        <f t="shared" si="336"/>
        <v>-121.45564227896482</v>
      </c>
      <c r="Z409">
        <f t="shared" si="353"/>
        <v>58.544357721035183</v>
      </c>
      <c r="AC409">
        <v>1</v>
      </c>
      <c r="AD409">
        <f t="shared" si="337"/>
        <v>125.38913080239003</v>
      </c>
      <c r="AE409">
        <f t="shared" si="338"/>
        <v>-4.3016235631679542E-3</v>
      </c>
      <c r="AF409">
        <f t="shared" si="339"/>
        <v>4.2000580456379999E-3</v>
      </c>
      <c r="AG409">
        <f t="shared" si="315"/>
        <v>14451.456936876843</v>
      </c>
      <c r="AH409">
        <f t="shared" si="316"/>
        <v>-15039.013031588118</v>
      </c>
      <c r="AJ409">
        <f t="shared" si="340"/>
        <v>55000</v>
      </c>
      <c r="AK409">
        <f t="shared" si="341"/>
        <v>36136.365806165624</v>
      </c>
      <c r="AL409">
        <v>1</v>
      </c>
      <c r="AM409">
        <f t="shared" si="342"/>
        <v>51.197396589714373</v>
      </c>
      <c r="AN409">
        <f t="shared" si="317"/>
        <v>726.53007567238672</v>
      </c>
      <c r="AO409">
        <f t="shared" si="318"/>
        <v>-1060.0826123887562</v>
      </c>
      <c r="AQ409">
        <f t="shared" si="343"/>
        <v>1.1976495587671488E-2</v>
      </c>
      <c r="AR409">
        <f t="shared" si="344"/>
        <v>-6.1538228453353021</v>
      </c>
      <c r="AT409">
        <f t="shared" si="365"/>
        <v>-92374.344154842343</v>
      </c>
      <c r="AU409">
        <f t="shared" si="366"/>
        <v>-89111.820519747795</v>
      </c>
      <c r="AV409">
        <f t="shared" si="354"/>
        <v>-2.3741692612601577</v>
      </c>
      <c r="AW409">
        <f t="shared" si="355"/>
        <v>7648.7172308509307</v>
      </c>
      <c r="AX409">
        <f t="shared" si="356"/>
        <v>-25474.035339076159</v>
      </c>
      <c r="AY409">
        <f t="shared" si="364"/>
        <v>-1.2791052166808754</v>
      </c>
      <c r="BA409">
        <f t="shared" si="345"/>
        <v>4.8256647801314312</v>
      </c>
      <c r="BB409">
        <f t="shared" si="357"/>
        <v>13.671142997971693</v>
      </c>
      <c r="BC409">
        <f t="shared" si="358"/>
        <v>-1.0950640445792823</v>
      </c>
      <c r="BD409">
        <f t="shared" si="346"/>
        <v>-242.74254812261253</v>
      </c>
      <c r="BF409">
        <f t="shared" si="347"/>
        <v>-30.198530366359527</v>
      </c>
      <c r="BG409">
        <f t="shared" si="348"/>
        <v>-193.63192321194268</v>
      </c>
      <c r="BH409">
        <f t="shared" si="359"/>
        <v>-13.631923211942677</v>
      </c>
      <c r="BI409">
        <f t="shared" si="360"/>
        <v>-13.631923211942677</v>
      </c>
      <c r="BJ409">
        <f t="shared" si="349"/>
        <v>0</v>
      </c>
      <c r="BK409">
        <f t="shared" si="361"/>
        <v>0</v>
      </c>
      <c r="BM409">
        <f t="shared" si="362"/>
        <v>-43.86967336433122</v>
      </c>
      <c r="BN409">
        <f t="shared" si="350"/>
        <v>-130.88937508933017</v>
      </c>
      <c r="BQ409" s="75">
        <f t="shared" si="363"/>
        <v>30.573103798256831</v>
      </c>
      <c r="BR409" s="80"/>
      <c r="BS409" s="80"/>
      <c r="BT409" s="80">
        <v>977237.22100000002</v>
      </c>
      <c r="BU409" s="80">
        <v>5.7547600000000001</v>
      </c>
      <c r="BV409" s="80">
        <v>98.699600000000004</v>
      </c>
      <c r="BY409" s="80"/>
      <c r="BZ409" s="80"/>
      <c r="CA409" s="80"/>
      <c r="CC409" s="80"/>
    </row>
    <row r="410" spans="1:81">
      <c r="A410">
        <f t="shared" si="319"/>
        <v>980000</v>
      </c>
      <c r="B410">
        <f t="shared" si="351"/>
        <v>980</v>
      </c>
      <c r="C410">
        <f t="shared" si="320"/>
        <v>1.520430806435866</v>
      </c>
      <c r="D410">
        <f t="shared" si="321"/>
        <v>0.8530239125155733</v>
      </c>
      <c r="F410">
        <f t="shared" si="322"/>
        <v>4.6464361298038871E-4</v>
      </c>
      <c r="G410">
        <f t="shared" si="323"/>
        <v>6.6192697608052388E-3</v>
      </c>
      <c r="H410">
        <f t="shared" si="324"/>
        <v>-3.1349733802391948</v>
      </c>
      <c r="J410">
        <f t="shared" si="325"/>
        <v>9</v>
      </c>
      <c r="M410">
        <f t="shared" si="326"/>
        <v>4.3068580497657724E-3</v>
      </c>
      <c r="N410">
        <f t="shared" si="327"/>
        <v>-1.5707963250000001</v>
      </c>
      <c r="O410">
        <f t="shared" si="328"/>
        <v>126.03611916518294</v>
      </c>
      <c r="P410">
        <f t="shared" si="329"/>
        <v>1.5628620100376753</v>
      </c>
      <c r="Q410">
        <f t="shared" si="330"/>
        <v>51.469662718784903</v>
      </c>
      <c r="R410">
        <f t="shared" si="331"/>
        <v>1.5513661834504449</v>
      </c>
      <c r="S410">
        <f t="shared" si="332"/>
        <v>0.83445815076816776</v>
      </c>
      <c r="T410">
        <f t="shared" si="333"/>
        <v>-0.58364753995738705</v>
      </c>
      <c r="U410">
        <f t="shared" si="334"/>
        <v>0.696777889784576</v>
      </c>
      <c r="V410">
        <f t="shared" si="335"/>
        <v>-0.79990076913183827</v>
      </c>
      <c r="X410">
        <f t="shared" si="352"/>
        <v>-19.719300671565186</v>
      </c>
      <c r="Y410">
        <f t="shared" si="336"/>
        <v>-121.5854205345339</v>
      </c>
      <c r="Z410">
        <f t="shared" si="353"/>
        <v>58.414579465466105</v>
      </c>
      <c r="AC410">
        <v>1</v>
      </c>
      <c r="AD410">
        <f t="shared" si="337"/>
        <v>126.03215198599202</v>
      </c>
      <c r="AE410">
        <f t="shared" si="338"/>
        <v>-4.345855905395401E-3</v>
      </c>
      <c r="AF410">
        <f t="shared" si="339"/>
        <v>4.2215968048464007E-3</v>
      </c>
      <c r="AG410">
        <f t="shared" si="315"/>
        <v>14375.780250077147</v>
      </c>
      <c r="AH410">
        <f t="shared" si="316"/>
        <v>-15035.796270642151</v>
      </c>
      <c r="AJ410">
        <f t="shared" si="340"/>
        <v>55000</v>
      </c>
      <c r="AK410">
        <f t="shared" si="341"/>
        <v>36321.680502607509</v>
      </c>
      <c r="AL410">
        <v>1</v>
      </c>
      <c r="AM410">
        <f t="shared" si="342"/>
        <v>51.459947341456505</v>
      </c>
      <c r="AN410">
        <f t="shared" si="317"/>
        <v>726.31941062822875</v>
      </c>
      <c r="AO410">
        <f t="shared" si="318"/>
        <v>-1054.6781213988631</v>
      </c>
      <c r="AQ410">
        <f t="shared" si="343"/>
        <v>1.1854598664031869E-2</v>
      </c>
      <c r="AR410">
        <f t="shared" si="344"/>
        <v>-6.1224260260258996</v>
      </c>
      <c r="AT410">
        <f t="shared" si="365"/>
        <v>-91885.131304055685</v>
      </c>
      <c r="AU410">
        <f t="shared" si="366"/>
        <v>-88192.894477884052</v>
      </c>
      <c r="AV410">
        <f t="shared" si="354"/>
        <v>-2.3766951567293733</v>
      </c>
      <c r="AW410">
        <f t="shared" si="355"/>
        <v>7644.0792782791432</v>
      </c>
      <c r="AX410">
        <f t="shared" si="356"/>
        <v>-25410.664383136813</v>
      </c>
      <c r="AY410">
        <f t="shared" si="364"/>
        <v>-1.2785858489618638</v>
      </c>
      <c r="BA410">
        <f t="shared" si="345"/>
        <v>4.7996480406961011</v>
      </c>
      <c r="BB410">
        <f t="shared" si="357"/>
        <v>13.624187832562537</v>
      </c>
      <c r="BC410">
        <f t="shared" si="358"/>
        <v>-1.0981093077675095</v>
      </c>
      <c r="BD410">
        <f t="shared" si="346"/>
        <v>-242.91702885100386</v>
      </c>
      <c r="BF410">
        <f t="shared" si="347"/>
        <v>-30.309229334027993</v>
      </c>
      <c r="BG410">
        <f t="shared" si="348"/>
        <v>-193.6631025630912</v>
      </c>
      <c r="BH410">
        <f t="shared" si="359"/>
        <v>-13.663102563091201</v>
      </c>
      <c r="BI410">
        <f t="shared" si="360"/>
        <v>-13.663102563091201</v>
      </c>
      <c r="BJ410">
        <f t="shared" si="349"/>
        <v>0</v>
      </c>
      <c r="BK410">
        <f t="shared" si="361"/>
        <v>0</v>
      </c>
      <c r="BM410">
        <f t="shared" si="362"/>
        <v>-43.93341716659053</v>
      </c>
      <c r="BN410">
        <f t="shared" si="350"/>
        <v>-130.74607371208737</v>
      </c>
      <c r="BQ410" s="75">
        <f t="shared" si="363"/>
        <v>30.526148632847672</v>
      </c>
    </row>
    <row r="411" spans="1:81">
      <c r="A411">
        <f t="shared" si="319"/>
        <v>985000</v>
      </c>
      <c r="B411">
        <f t="shared" si="351"/>
        <v>985</v>
      </c>
      <c r="C411">
        <f t="shared" si="320"/>
        <v>1.5248372950250306</v>
      </c>
      <c r="D411">
        <f t="shared" si="321"/>
        <v>0.85554433363543414</v>
      </c>
      <c r="F411">
        <f t="shared" si="322"/>
        <v>4.5993632641379983E-4</v>
      </c>
      <c r="G411">
        <f t="shared" si="323"/>
        <v>6.5856393499365102E-3</v>
      </c>
      <c r="H411">
        <f t="shared" si="324"/>
        <v>-3.1350070106500638</v>
      </c>
      <c r="J411">
        <f t="shared" si="325"/>
        <v>9</v>
      </c>
      <c r="M411">
        <f t="shared" si="326"/>
        <v>4.2849958261629E-3</v>
      </c>
      <c r="N411">
        <f t="shared" si="327"/>
        <v>-1.5707963250000001</v>
      </c>
      <c r="O411">
        <f t="shared" si="328"/>
        <v>126.67912021144856</v>
      </c>
      <c r="P411">
        <f t="shared" si="329"/>
        <v>1.5629022840797957</v>
      </c>
      <c r="Q411">
        <f t="shared" si="330"/>
        <v>51.73216416312907</v>
      </c>
      <c r="R411">
        <f t="shared" si="331"/>
        <v>1.5514647889862749</v>
      </c>
      <c r="S411">
        <f t="shared" si="332"/>
        <v>0.83316496739302026</v>
      </c>
      <c r="T411">
        <f t="shared" si="333"/>
        <v>-0.58599005901046919</v>
      </c>
      <c r="U411">
        <f t="shared" si="334"/>
        <v>0.6949513869161974</v>
      </c>
      <c r="V411">
        <f t="shared" si="335"/>
        <v>-0.80244403494752148</v>
      </c>
      <c r="X411">
        <f t="shared" si="352"/>
        <v>-19.774695149552219</v>
      </c>
      <c r="Y411">
        <f t="shared" si="336"/>
        <v>-121.71491556143631</v>
      </c>
      <c r="Z411">
        <f t="shared" si="353"/>
        <v>58.285084438563686</v>
      </c>
      <c r="AC411">
        <v>1</v>
      </c>
      <c r="AD411">
        <f t="shared" si="337"/>
        <v>126.67517316959402</v>
      </c>
      <c r="AE411">
        <f t="shared" si="338"/>
        <v>-4.390314500012758E-3</v>
      </c>
      <c r="AF411">
        <f t="shared" si="339"/>
        <v>4.2431355640548006E-3</v>
      </c>
      <c r="AG411">
        <f t="shared" si="315"/>
        <v>14300.510959115263</v>
      </c>
      <c r="AH411">
        <f t="shared" si="316"/>
        <v>-15032.218428685423</v>
      </c>
      <c r="AJ411">
        <f t="shared" si="340"/>
        <v>55000</v>
      </c>
      <c r="AK411">
        <f t="shared" si="341"/>
        <v>36506.995199049379</v>
      </c>
      <c r="AL411">
        <v>1</v>
      </c>
      <c r="AM411">
        <f t="shared" si="342"/>
        <v>51.722498093198631</v>
      </c>
      <c r="AN411">
        <f t="shared" si="317"/>
        <v>726.11194393352434</v>
      </c>
      <c r="AO411">
        <f t="shared" si="318"/>
        <v>-1049.328436501085</v>
      </c>
      <c r="AQ411">
        <f t="shared" si="343"/>
        <v>1.1734553314102779E-2</v>
      </c>
      <c r="AR411">
        <f t="shared" si="344"/>
        <v>-6.0913479525841812</v>
      </c>
      <c r="AT411">
        <f t="shared" si="365"/>
        <v>-91398.662840102494</v>
      </c>
      <c r="AU411">
        <f t="shared" si="366"/>
        <v>-87285.784520295056</v>
      </c>
      <c r="AV411">
        <f t="shared" si="354"/>
        <v>-2.3792079771889858</v>
      </c>
      <c r="AW411">
        <f t="shared" si="355"/>
        <v>7638.825877210701</v>
      </c>
      <c r="AX411">
        <f t="shared" si="356"/>
        <v>-25347.593733158788</v>
      </c>
      <c r="AY411">
        <f t="shared" si="364"/>
        <v>-1.2780895798074643</v>
      </c>
      <c r="BA411">
        <f t="shared" si="345"/>
        <v>4.7739026705196856</v>
      </c>
      <c r="BB411">
        <f t="shared" si="357"/>
        <v>13.577471208843633</v>
      </c>
      <c r="BC411">
        <f t="shared" si="358"/>
        <v>-1.1011183973815215</v>
      </c>
      <c r="BD411">
        <f t="shared" si="346"/>
        <v>-243.08943698626041</v>
      </c>
      <c r="BF411">
        <f t="shared" si="347"/>
        <v>-30.419254248964155</v>
      </c>
      <c r="BG411">
        <f t="shared" si="348"/>
        <v>-193.69302808602737</v>
      </c>
      <c r="BH411">
        <f t="shared" si="359"/>
        <v>-13.693028086027368</v>
      </c>
      <c r="BI411">
        <f t="shared" si="360"/>
        <v>-13.693028086027368</v>
      </c>
      <c r="BJ411">
        <f t="shared" si="349"/>
        <v>0</v>
      </c>
      <c r="BK411">
        <f t="shared" si="361"/>
        <v>0</v>
      </c>
      <c r="BM411">
        <f t="shared" si="362"/>
        <v>-43.996725457807784</v>
      </c>
      <c r="BN411">
        <f t="shared" si="350"/>
        <v>-130.60359109976696</v>
      </c>
      <c r="BQ411" s="75">
        <f t="shared" si="363"/>
        <v>30.479432009128772</v>
      </c>
    </row>
    <row r="412" spans="1:81">
      <c r="A412">
        <f t="shared" si="319"/>
        <v>990000</v>
      </c>
      <c r="B412">
        <f t="shared" si="351"/>
        <v>990</v>
      </c>
      <c r="C412">
        <f t="shared" si="320"/>
        <v>1.5292534143188639</v>
      </c>
      <c r="D412">
        <f t="shared" si="321"/>
        <v>0.858050213846828</v>
      </c>
      <c r="F412">
        <f t="shared" si="322"/>
        <v>4.553002234272144E-4</v>
      </c>
      <c r="G412">
        <f t="shared" si="323"/>
        <v>6.5523490924059196E-3</v>
      </c>
      <c r="H412">
        <f t="shared" si="324"/>
        <v>-3.1350403009075944</v>
      </c>
      <c r="J412">
        <f t="shared" si="325"/>
        <v>9</v>
      </c>
      <c r="M412">
        <f t="shared" si="326"/>
        <v>4.2633544331014718E-3</v>
      </c>
      <c r="N412">
        <f t="shared" si="327"/>
        <v>-1.5707963250000001</v>
      </c>
      <c r="O412">
        <f t="shared" si="328"/>
        <v>127.32212146111216</v>
      </c>
      <c r="P412">
        <f t="shared" si="329"/>
        <v>1.5629421513386326</v>
      </c>
      <c r="Q412">
        <f t="shared" si="330"/>
        <v>51.994666105388895</v>
      </c>
      <c r="R412">
        <f t="shared" si="331"/>
        <v>1.5515623988768921</v>
      </c>
      <c r="S412">
        <f t="shared" si="332"/>
        <v>0.83187124235744603</v>
      </c>
      <c r="T412">
        <f t="shared" si="333"/>
        <v>-0.5883253159938262</v>
      </c>
      <c r="U412">
        <f t="shared" si="334"/>
        <v>0.69312998665624947</v>
      </c>
      <c r="V412">
        <f t="shared" si="335"/>
        <v>-0.80497398574947121</v>
      </c>
      <c r="X412">
        <f t="shared" si="352"/>
        <v>-19.829905403947198</v>
      </c>
      <c r="Y412">
        <f t="shared" si="336"/>
        <v>-121.84412560487016</v>
      </c>
      <c r="Z412">
        <f t="shared" si="353"/>
        <v>58.155874395129842</v>
      </c>
      <c r="AC412">
        <v>1</v>
      </c>
      <c r="AD412">
        <f t="shared" si="337"/>
        <v>127.31819435319601</v>
      </c>
      <c r="AE412">
        <f t="shared" si="338"/>
        <v>-4.4349993470200258E-3</v>
      </c>
      <c r="AF412">
        <f t="shared" si="339"/>
        <v>4.2646743232632005E-3</v>
      </c>
      <c r="AG412">
        <f t="shared" si="315"/>
        <v>14225.648683577627</v>
      </c>
      <c r="AH412">
        <f t="shared" si="316"/>
        <v>-15028.285342446206</v>
      </c>
      <c r="AJ412">
        <f t="shared" si="340"/>
        <v>55000</v>
      </c>
      <c r="AK412">
        <f t="shared" si="341"/>
        <v>36692.309895491257</v>
      </c>
      <c r="AL412">
        <v>1</v>
      </c>
      <c r="AM412">
        <f t="shared" si="342"/>
        <v>51.985048844940749</v>
      </c>
      <c r="AN412">
        <f t="shared" si="317"/>
        <v>725.90761117853401</v>
      </c>
      <c r="AO412">
        <f t="shared" si="318"/>
        <v>-1044.032728539092</v>
      </c>
      <c r="AQ412">
        <f t="shared" si="343"/>
        <v>1.1616322227203381E-2</v>
      </c>
      <c r="AR412">
        <f t="shared" si="344"/>
        <v>-6.06058379559882</v>
      </c>
      <c r="AT412">
        <f t="shared" si="365"/>
        <v>-90914.932903065317</v>
      </c>
      <c r="AU412">
        <f t="shared" si="366"/>
        <v>-86390.309298632463</v>
      </c>
      <c r="AV412">
        <f t="shared" si="354"/>
        <v>-2.3817077901388588</v>
      </c>
      <c r="AW412">
        <f t="shared" si="355"/>
        <v>7632.9766574656378</v>
      </c>
      <c r="AX412">
        <f t="shared" si="356"/>
        <v>-25284.818753619602</v>
      </c>
      <c r="AY412">
        <f t="shared" si="364"/>
        <v>-1.277615815864996</v>
      </c>
      <c r="BA412">
        <f t="shared" si="345"/>
        <v>4.7484247880287489</v>
      </c>
      <c r="BB412">
        <f t="shared" si="357"/>
        <v>13.530991269024311</v>
      </c>
      <c r="BC412">
        <f t="shared" si="358"/>
        <v>-1.1040919742738629</v>
      </c>
      <c r="BD412">
        <f t="shared" si="346"/>
        <v>-243.25981039244388</v>
      </c>
      <c r="BF412">
        <f t="shared" si="347"/>
        <v>-30.5286120974936</v>
      </c>
      <c r="BG412">
        <f t="shared" si="348"/>
        <v>-193.72173252322614</v>
      </c>
      <c r="BH412">
        <f t="shared" si="359"/>
        <v>-13.721732523226137</v>
      </c>
      <c r="BI412">
        <f t="shared" si="360"/>
        <v>-13.721732523226137</v>
      </c>
      <c r="BJ412">
        <f t="shared" si="349"/>
        <v>0</v>
      </c>
      <c r="BK412">
        <f t="shared" si="361"/>
        <v>0</v>
      </c>
      <c r="BM412">
        <f t="shared" si="362"/>
        <v>-44.059603366517912</v>
      </c>
      <c r="BN412">
        <f t="shared" si="350"/>
        <v>-130.46192213078226</v>
      </c>
      <c r="BQ412" s="75">
        <f t="shared" si="363"/>
        <v>30.432952069309451</v>
      </c>
    </row>
    <row r="413" spans="1:81">
      <c r="A413">
        <f t="shared" si="319"/>
        <v>995000</v>
      </c>
      <c r="B413">
        <f t="shared" si="351"/>
        <v>995</v>
      </c>
      <c r="C413">
        <f t="shared" si="320"/>
        <v>1.5336790811245908</v>
      </c>
      <c r="D413">
        <f t="shared" si="321"/>
        <v>0.86054164742263206</v>
      </c>
      <c r="F413">
        <f t="shared" si="322"/>
        <v>4.5073387576781865E-4</v>
      </c>
      <c r="G413">
        <f t="shared" si="323"/>
        <v>6.5193938512459297E-3</v>
      </c>
      <c r="H413">
        <f t="shared" si="324"/>
        <v>-3.1350732561487544</v>
      </c>
      <c r="J413">
        <f t="shared" si="325"/>
        <v>9</v>
      </c>
      <c r="M413">
        <f t="shared" si="326"/>
        <v>4.2419305414778466E-3</v>
      </c>
      <c r="N413">
        <f t="shared" si="327"/>
        <v>-1.5707963250000001</v>
      </c>
      <c r="O413">
        <f t="shared" si="328"/>
        <v>127.96512291110761</v>
      </c>
      <c r="P413">
        <f t="shared" si="329"/>
        <v>1.5629816179460938</v>
      </c>
      <c r="Q413">
        <f t="shared" si="330"/>
        <v>52.257168538060853</v>
      </c>
      <c r="R413">
        <f t="shared" si="331"/>
        <v>1.5516590281246383</v>
      </c>
      <c r="S413">
        <f t="shared" si="332"/>
        <v>0.83057702041342696</v>
      </c>
      <c r="T413">
        <f t="shared" si="333"/>
        <v>-0.59065331927302134</v>
      </c>
      <c r="U413">
        <f t="shared" si="334"/>
        <v>0.69131371866443581</v>
      </c>
      <c r="V413">
        <f t="shared" si="335"/>
        <v>-0.80749069369535154</v>
      </c>
      <c r="X413">
        <f t="shared" si="352"/>
        <v>-19.884933295871356</v>
      </c>
      <c r="Y413">
        <f t="shared" si="336"/>
        <v>-121.9730489604619</v>
      </c>
      <c r="Z413">
        <f t="shared" si="353"/>
        <v>58.026951039538105</v>
      </c>
      <c r="AC413">
        <v>1</v>
      </c>
      <c r="AD413">
        <f t="shared" si="337"/>
        <v>127.96121553679802</v>
      </c>
      <c r="AE413">
        <f t="shared" si="338"/>
        <v>-4.4799104464172037E-3</v>
      </c>
      <c r="AF413">
        <f t="shared" si="339"/>
        <v>4.2862130824716004E-3</v>
      </c>
      <c r="AG413">
        <f t="shared" si="315"/>
        <v>14151.192986563346</v>
      </c>
      <c r="AH413">
        <f t="shared" si="316"/>
        <v>-15024.002785376613</v>
      </c>
      <c r="AJ413">
        <f t="shared" si="340"/>
        <v>55000</v>
      </c>
      <c r="AK413">
        <f t="shared" si="341"/>
        <v>36877.624591933127</v>
      </c>
      <c r="AL413">
        <v>1</v>
      </c>
      <c r="AM413">
        <f t="shared" si="342"/>
        <v>52.247599596682882</v>
      </c>
      <c r="AN413">
        <f t="shared" si="317"/>
        <v>725.70634956658409</v>
      </c>
      <c r="AO413">
        <f t="shared" si="318"/>
        <v>-1038.7901849921391</v>
      </c>
      <c r="AQ413">
        <f t="shared" si="343"/>
        <v>1.1499869027738878E-2</v>
      </c>
      <c r="AR413">
        <f t="shared" si="344"/>
        <v>-6.0301288227302967</v>
      </c>
      <c r="AT413">
        <f t="shared" si="365"/>
        <v>-90433.935362948047</v>
      </c>
      <c r="AU413">
        <f t="shared" si="366"/>
        <v>-85506.290768598687</v>
      </c>
      <c r="AV413">
        <f t="shared" si="354"/>
        <v>-2.3841946631014128</v>
      </c>
      <c r="AW413">
        <f t="shared" si="355"/>
        <v>7626.5506962368436</v>
      </c>
      <c r="AX413">
        <f t="shared" si="356"/>
        <v>-25222.334962724421</v>
      </c>
      <c r="AY413">
        <f t="shared" si="364"/>
        <v>-1.2771639794287699</v>
      </c>
      <c r="BA413">
        <f t="shared" si="345"/>
        <v>4.7232105718303616</v>
      </c>
      <c r="BB413">
        <f t="shared" si="357"/>
        <v>13.484746157544619</v>
      </c>
      <c r="BC413">
        <f t="shared" si="358"/>
        <v>-1.1070306836726429</v>
      </c>
      <c r="BD413">
        <f t="shared" si="346"/>
        <v>-243.4281860384018</v>
      </c>
      <c r="BF413">
        <f t="shared" si="347"/>
        <v>-30.637309783397697</v>
      </c>
      <c r="BG413">
        <f t="shared" si="348"/>
        <v>-193.74924773642365</v>
      </c>
      <c r="BH413">
        <f t="shared" si="359"/>
        <v>-13.749247736423655</v>
      </c>
      <c r="BI413">
        <f t="shared" si="360"/>
        <v>-13.749247736423655</v>
      </c>
      <c r="BJ413">
        <f t="shared" si="349"/>
        <v>0</v>
      </c>
      <c r="BK413">
        <f t="shared" si="361"/>
        <v>0</v>
      </c>
      <c r="BM413">
        <f t="shared" si="362"/>
        <v>-44.122055940942317</v>
      </c>
      <c r="BN413">
        <f t="shared" si="350"/>
        <v>-130.32106169802188</v>
      </c>
      <c r="BQ413" s="75">
        <f t="shared" si="363"/>
        <v>30.386706957829755</v>
      </c>
    </row>
    <row r="414" spans="1:81">
      <c r="A414">
        <f t="shared" si="319"/>
        <v>1000000</v>
      </c>
      <c r="B414">
        <f t="shared" si="351"/>
        <v>1000</v>
      </c>
      <c r="C414">
        <f t="shared" si="320"/>
        <v>1.5381142130281005</v>
      </c>
      <c r="D414">
        <f t="shared" si="321"/>
        <v>0.86301872826928971</v>
      </c>
      <c r="F414">
        <f t="shared" si="322"/>
        <v>4.4623589083018356E-4</v>
      </c>
      <c r="G414">
        <f t="shared" si="323"/>
        <v>6.4867685924525484E-3</v>
      </c>
      <c r="H414">
        <f t="shared" si="324"/>
        <v>-3.1351058814075476</v>
      </c>
      <c r="J414">
        <f t="shared" si="325"/>
        <v>9</v>
      </c>
      <c r="M414">
        <f t="shared" si="326"/>
        <v>4.2207208887704573E-3</v>
      </c>
      <c r="N414">
        <f t="shared" si="327"/>
        <v>-1.5707963250000001</v>
      </c>
      <c r="O414">
        <f t="shared" si="328"/>
        <v>128.60812455843015</v>
      </c>
      <c r="P414">
        <f t="shared" si="329"/>
        <v>1.5630206899114618</v>
      </c>
      <c r="Q414">
        <f t="shared" si="330"/>
        <v>52.519671453791474</v>
      </c>
      <c r="R414">
        <f t="shared" si="331"/>
        <v>1.5517546914319926</v>
      </c>
      <c r="S414">
        <f t="shared" si="332"/>
        <v>0.82928234586325567</v>
      </c>
      <c r="T414">
        <f t="shared" si="333"/>
        <v>-0.5929740774762261</v>
      </c>
      <c r="U414">
        <f t="shared" si="334"/>
        <v>0.68950261145406577</v>
      </c>
      <c r="V414">
        <f t="shared" si="335"/>
        <v>-0.80999423086043654</v>
      </c>
      <c r="X414">
        <f t="shared" si="352"/>
        <v>-19.939780652842906</v>
      </c>
      <c r="Y414">
        <f t="shared" si="336"/>
        <v>-122.10168397346609</v>
      </c>
      <c r="Z414">
        <f t="shared" si="353"/>
        <v>57.898316026533905</v>
      </c>
      <c r="AC414">
        <v>1</v>
      </c>
      <c r="AD414">
        <f t="shared" si="337"/>
        <v>128.6042367204</v>
      </c>
      <c r="AE414">
        <f t="shared" si="338"/>
        <v>-4.5250477982042916E-3</v>
      </c>
      <c r="AF414">
        <f t="shared" si="339"/>
        <v>4.3077518416800003E-3</v>
      </c>
      <c r="AG414">
        <f t="shared" si="315"/>
        <v>14077.143376261896</v>
      </c>
      <c r="AH414">
        <f t="shared" si="316"/>
        <v>-15019.37646773252</v>
      </c>
      <c r="AJ414">
        <f t="shared" si="340"/>
        <v>55000</v>
      </c>
      <c r="AK414">
        <f t="shared" si="341"/>
        <v>37062.939288375004</v>
      </c>
      <c r="AL414">
        <v>1</v>
      </c>
      <c r="AM414">
        <f t="shared" si="342"/>
        <v>52.510150348425007</v>
      </c>
      <c r="AN414">
        <f t="shared" si="317"/>
        <v>725.50809786583989</v>
      </c>
      <c r="AO414">
        <f t="shared" si="318"/>
        <v>-1033.6000095600957</v>
      </c>
      <c r="AQ414">
        <f t="shared" si="343"/>
        <v>1.1385158247218521E-2</v>
      </c>
      <c r="AR414">
        <f t="shared" si="344"/>
        <v>-5.9999783962841606</v>
      </c>
      <c r="AT414">
        <f t="shared" si="365"/>
        <v>-89955.663827046301</v>
      </c>
      <c r="AU414">
        <f t="shared" si="366"/>
        <v>-84633.554116825733</v>
      </c>
      <c r="AV414">
        <f t="shared" si="354"/>
        <v>-2.3866686636093717</v>
      </c>
      <c r="AW414">
        <f t="shared" si="355"/>
        <v>7619.5665345088119</v>
      </c>
      <c r="AX414">
        <f t="shared" si="356"/>
        <v>-25160.138026859433</v>
      </c>
      <c r="AY414">
        <f t="shared" si="364"/>
        <v>-1.2767335079885902</v>
      </c>
      <c r="BA414">
        <f t="shared" si="345"/>
        <v>4.6982562601783577</v>
      </c>
      <c r="BB414">
        <f t="shared" si="357"/>
        <v>13.43873402212331</v>
      </c>
      <c r="BC414">
        <f t="shared" si="358"/>
        <v>-1.1099351556207815</v>
      </c>
      <c r="BD414">
        <f t="shared" si="346"/>
        <v>-243.59460002293443</v>
      </c>
      <c r="BF414">
        <f t="shared" si="347"/>
        <v>-30.745354128417922</v>
      </c>
      <c r="BG414">
        <f t="shared" si="348"/>
        <v>-193.77560473240447</v>
      </c>
      <c r="BH414">
        <f t="shared" si="359"/>
        <v>-13.775604732404474</v>
      </c>
      <c r="BI414">
        <f t="shared" si="360"/>
        <v>-13.775604732404474</v>
      </c>
      <c r="BJ414">
        <f t="shared" si="349"/>
        <v>0</v>
      </c>
      <c r="BK414">
        <f t="shared" si="361"/>
        <v>0</v>
      </c>
      <c r="BM414">
        <f t="shared" si="362"/>
        <v>-44.184088150541228</v>
      </c>
      <c r="BN414">
        <f t="shared" si="350"/>
        <v>-130.18100470947005</v>
      </c>
      <c r="BQ414" s="75">
        <f t="shared" si="363"/>
        <v>30.340694822408448</v>
      </c>
    </row>
    <row r="415" spans="1:81">
      <c r="A415">
        <f t="shared" si="319"/>
        <v>1005000</v>
      </c>
      <c r="B415">
        <f t="shared" si="351"/>
        <v>1005</v>
      </c>
      <c r="C415">
        <f t="shared" si="320"/>
        <v>1.5425587283878532</v>
      </c>
      <c r="D415">
        <f t="shared" si="321"/>
        <v>0.86548154991896731</v>
      </c>
      <c r="F415">
        <f t="shared" si="322"/>
        <v>4.4180491059376544E-4</v>
      </c>
      <c r="G415">
        <f t="shared" si="323"/>
        <v>6.4544683824173917E-3</v>
      </c>
      <c r="H415">
        <f t="shared" si="324"/>
        <v>-3.1351381816175827</v>
      </c>
      <c r="J415">
        <f t="shared" si="325"/>
        <v>9</v>
      </c>
      <c r="M415">
        <f t="shared" si="326"/>
        <v>4.1997222773835392E-3</v>
      </c>
      <c r="N415">
        <f t="shared" si="327"/>
        <v>-1.5707963250000001</v>
      </c>
      <c r="O415">
        <f t="shared" si="328"/>
        <v>129.25112640013475</v>
      </c>
      <c r="P415">
        <f t="shared" si="329"/>
        <v>1.5630593731244438</v>
      </c>
      <c r="Q415">
        <f t="shared" si="330"/>
        <v>52.782174845373525</v>
      </c>
      <c r="R415">
        <f t="shared" si="331"/>
        <v>1.5518494032090235</v>
      </c>
      <c r="S415">
        <f t="shared" si="332"/>
        <v>0.82798726256027066</v>
      </c>
      <c r="T415">
        <f t="shared" si="333"/>
        <v>-0.59528759949016219</v>
      </c>
      <c r="U415">
        <f t="shared" si="334"/>
        <v>0.68769669241284759</v>
      </c>
      <c r="V415">
        <f t="shared" si="335"/>
        <v>-0.81248466922800877</v>
      </c>
      <c r="X415">
        <f t="shared" si="352"/>
        <v>-19.994449269525081</v>
      </c>
      <c r="Y415">
        <f t="shared" si="336"/>
        <v>-122.2300290379777</v>
      </c>
      <c r="Z415">
        <f t="shared" si="353"/>
        <v>57.769970962022299</v>
      </c>
      <c r="AC415">
        <v>1</v>
      </c>
      <c r="AD415">
        <f t="shared" si="337"/>
        <v>129.24725790400203</v>
      </c>
      <c r="AE415">
        <f t="shared" si="338"/>
        <v>-4.5704114023812888E-3</v>
      </c>
      <c r="AF415">
        <f t="shared" si="339"/>
        <v>4.3292906008884002E-3</v>
      </c>
      <c r="AG415">
        <f t="shared" si="315"/>
        <v>14003.499307503427</v>
      </c>
      <c r="AH415">
        <f t="shared" si="316"/>
        <v>-15014.412036677171</v>
      </c>
      <c r="AJ415">
        <f t="shared" si="340"/>
        <v>55000</v>
      </c>
      <c r="AK415">
        <f t="shared" si="341"/>
        <v>37248.253984816882</v>
      </c>
      <c r="AL415">
        <v>1</v>
      </c>
      <c r="AM415">
        <f t="shared" si="342"/>
        <v>52.772701100167126</v>
      </c>
      <c r="AN415">
        <f t="shared" si="317"/>
        <v>725.31279636274849</v>
      </c>
      <c r="AO415">
        <f t="shared" si="318"/>
        <v>-1028.4614217608309</v>
      </c>
      <c r="AQ415">
        <f t="shared" si="343"/>
        <v>1.1272155297245703E-2</v>
      </c>
      <c r="AR415">
        <f t="shared" si="344"/>
        <v>-5.9701279708567281</v>
      </c>
      <c r="AT415">
        <f t="shared" si="365"/>
        <v>-89480.111647235259</v>
      </c>
      <c r="AU415">
        <f t="shared" si="366"/>
        <v>-83771.927689773293</v>
      </c>
      <c r="AV415">
        <f t="shared" si="354"/>
        <v>-2.3891298591938548</v>
      </c>
      <c r="AW415">
        <f t="shared" si="355"/>
        <v>7612.0421929319537</v>
      </c>
      <c r="AX415">
        <f t="shared" si="356"/>
        <v>-25098.223755245741</v>
      </c>
      <c r="AY415">
        <f t="shared" si="364"/>
        <v>-1.27632385379237</v>
      </c>
      <c r="BA415">
        <f t="shared" si="345"/>
        <v>4.6735581504045536</v>
      </c>
      <c r="BB415">
        <f t="shared" si="357"/>
        <v>13.392953014731965</v>
      </c>
      <c r="BC415">
        <f t="shared" si="358"/>
        <v>-1.1128060054014848</v>
      </c>
      <c r="BD415">
        <f t="shared" si="346"/>
        <v>-243.75908759917274</v>
      </c>
      <c r="BF415">
        <f t="shared" si="347"/>
        <v>-30.852751872797821</v>
      </c>
      <c r="BG415">
        <f t="shared" si="348"/>
        <v>-193.80083368797605</v>
      </c>
      <c r="BH415">
        <f t="shared" si="359"/>
        <v>-13.800833687976052</v>
      </c>
      <c r="BI415">
        <f t="shared" si="360"/>
        <v>-13.800833687976052</v>
      </c>
      <c r="BJ415">
        <f t="shared" si="349"/>
        <v>0</v>
      </c>
      <c r="BK415">
        <f t="shared" si="361"/>
        <v>0</v>
      </c>
      <c r="BM415">
        <f t="shared" si="362"/>
        <v>-44.245704887529783</v>
      </c>
      <c r="BN415">
        <f t="shared" si="350"/>
        <v>-130.04174608880334</v>
      </c>
      <c r="BQ415" s="75">
        <f t="shared" si="363"/>
        <v>30.2949138150171</v>
      </c>
    </row>
    <row r="416" spans="1:81">
      <c r="A416">
        <f t="shared" si="319"/>
        <v>1010000</v>
      </c>
      <c r="B416">
        <f t="shared" si="351"/>
        <v>1010</v>
      </c>
      <c r="C416">
        <f t="shared" si="320"/>
        <v>1.5470125463287829</v>
      </c>
      <c r="D416">
        <f t="shared" si="321"/>
        <v>0.86793020552204247</v>
      </c>
      <c r="F416">
        <f t="shared" si="322"/>
        <v>4.3743961059717544E-4</v>
      </c>
      <c r="G416">
        <f t="shared" si="323"/>
        <v>6.4224883854362624E-3</v>
      </c>
      <c r="H416">
        <f t="shared" si="324"/>
        <v>-3.135170161614564</v>
      </c>
      <c r="J416">
        <f t="shared" si="325"/>
        <v>9</v>
      </c>
      <c r="M416">
        <f t="shared" si="326"/>
        <v>4.1789315730400567E-3</v>
      </c>
      <c r="N416">
        <f t="shared" si="327"/>
        <v>-1.5707963250000001</v>
      </c>
      <c r="O416">
        <f t="shared" si="328"/>
        <v>129.89412843333474</v>
      </c>
      <c r="P416">
        <f t="shared" si="329"/>
        <v>1.5630976733581301</v>
      </c>
      <c r="Q416">
        <f t="shared" si="330"/>
        <v>53.04467870574242</v>
      </c>
      <c r="R416">
        <f t="shared" si="331"/>
        <v>1.5519431775806232</v>
      </c>
      <c r="S416">
        <f t="shared" si="332"/>
        <v>0.82669181390966784</v>
      </c>
      <c r="T416">
        <f t="shared" si="333"/>
        <v>-0.59759389445606703</v>
      </c>
      <c r="U416">
        <f t="shared" si="334"/>
        <v>0.68589598782345773</v>
      </c>
      <c r="V416">
        <f t="shared" si="335"/>
        <v>-0.8149620806800304</v>
      </c>
      <c r="X416">
        <f t="shared" si="352"/>
        <v>-20.048940908455265</v>
      </c>
      <c r="Y416">
        <f t="shared" si="336"/>
        <v>-122.35808259615574</v>
      </c>
      <c r="Z416">
        <f t="shared" si="353"/>
        <v>57.641917403844261</v>
      </c>
      <c r="AC416">
        <v>1</v>
      </c>
      <c r="AD416">
        <f t="shared" si="337"/>
        <v>129.890279087604</v>
      </c>
      <c r="AE416">
        <f t="shared" si="338"/>
        <v>-4.6160012589481977E-3</v>
      </c>
      <c r="AF416">
        <f t="shared" si="339"/>
        <v>4.350829360096801E-3</v>
      </c>
      <c r="AG416">
        <f t="shared" si="315"/>
        <v>13930.260183281724</v>
      </c>
      <c r="AH416">
        <f t="shared" si="316"/>
        <v>-15009.115076407292</v>
      </c>
      <c r="AJ416">
        <f t="shared" si="340"/>
        <v>55000</v>
      </c>
      <c r="AK416">
        <f t="shared" si="341"/>
        <v>37433.568681258752</v>
      </c>
      <c r="AL416">
        <v>1</v>
      </c>
      <c r="AM416">
        <f t="shared" si="342"/>
        <v>53.035251851909251</v>
      </c>
      <c r="AN416">
        <f t="shared" si="317"/>
        <v>725.120386817091</v>
      </c>
      <c r="AO416">
        <f t="shared" si="318"/>
        <v>-1023.3736565395236</v>
      </c>
      <c r="AQ416">
        <f t="shared" si="343"/>
        <v>1.1160826443441676E-2</v>
      </c>
      <c r="AR416">
        <f t="shared" si="344"/>
        <v>-5.9405730910507009</v>
      </c>
      <c r="AT416">
        <f t="shared" si="365"/>
        <v>-89007.27192717095</v>
      </c>
      <c r="AU416">
        <f t="shared" si="366"/>
        <v>-82921.242924575839</v>
      </c>
      <c r="AV416">
        <f t="shared" si="354"/>
        <v>-2.3915783173728116</v>
      </c>
      <c r="AW416">
        <f t="shared" si="355"/>
        <v>7603.9951871730073</v>
      </c>
      <c r="AX416">
        <f t="shared" si="356"/>
        <v>-25036.58809478597</v>
      </c>
      <c r="AY416">
        <f t="shared" si="364"/>
        <v>-1.2759344834224058</v>
      </c>
      <c r="BA416">
        <f t="shared" si="345"/>
        <v>4.6491125983188768</v>
      </c>
      <c r="BB416">
        <f t="shared" si="357"/>
        <v>13.347401292499697</v>
      </c>
      <c r="BC416">
        <f t="shared" si="358"/>
        <v>-1.1156438339504058</v>
      </c>
      <c r="BD416">
        <f t="shared" si="346"/>
        <v>-243.92168319819345</v>
      </c>
      <c r="BF416">
        <f t="shared" si="347"/>
        <v>-30.959509675859088</v>
      </c>
      <c r="BG416">
        <f t="shared" si="348"/>
        <v>-193.82496397415716</v>
      </c>
      <c r="BH416">
        <f t="shared" si="359"/>
        <v>-13.824963974157157</v>
      </c>
      <c r="BI416">
        <f t="shared" si="360"/>
        <v>-13.824963974157157</v>
      </c>
      <c r="BJ416">
        <f t="shared" si="349"/>
        <v>0</v>
      </c>
      <c r="BK416">
        <f t="shared" si="361"/>
        <v>0</v>
      </c>
      <c r="BM416">
        <f t="shared" si="362"/>
        <v>-44.306910968358785</v>
      </c>
      <c r="BN416">
        <f t="shared" si="350"/>
        <v>-129.90328077596371</v>
      </c>
      <c r="BQ416" s="75">
        <f t="shared" si="363"/>
        <v>30.249362092784832</v>
      </c>
    </row>
    <row r="417" spans="1:69">
      <c r="A417">
        <f t="shared" si="319"/>
        <v>1015000</v>
      </c>
      <c r="B417">
        <f t="shared" si="351"/>
        <v>1015</v>
      </c>
      <c r="C417">
        <f t="shared" si="320"/>
        <v>1.5514755867361869</v>
      </c>
      <c r="D417">
        <f t="shared" si="321"/>
        <v>0.87036478783991311</v>
      </c>
      <c r="F417">
        <f t="shared" si="322"/>
        <v>4.3313869894777131E-4</v>
      </c>
      <c r="G417">
        <f t="shared" si="323"/>
        <v>6.3908238612915783E-3</v>
      </c>
      <c r="H417">
        <f t="shared" si="324"/>
        <v>-3.1352018261387085</v>
      </c>
      <c r="J417">
        <f t="shared" si="325"/>
        <v>9</v>
      </c>
      <c r="M417">
        <f t="shared" si="326"/>
        <v>4.1583457032221246E-3</v>
      </c>
      <c r="N417">
        <f t="shared" si="327"/>
        <v>-1.5707963250000001</v>
      </c>
      <c r="O417">
        <f t="shared" si="328"/>
        <v>130.53713065520031</v>
      </c>
      <c r="P417">
        <f t="shared" si="329"/>
        <v>1.5631355962718669</v>
      </c>
      <c r="Q417">
        <f t="shared" si="330"/>
        <v>53.307183027972762</v>
      </c>
      <c r="R417">
        <f t="shared" si="331"/>
        <v>1.5520360283935246</v>
      </c>
      <c r="S417">
        <f t="shared" si="332"/>
        <v>0.82539604286938462</v>
      </c>
      <c r="T417">
        <f t="shared" si="333"/>
        <v>-0.59989297176568079</v>
      </c>
      <c r="U417">
        <f t="shared" si="334"/>
        <v>0.68410052288388046</v>
      </c>
      <c r="V417">
        <f t="shared" si="335"/>
        <v>-0.81742653698808065</v>
      </c>
      <c r="X417">
        <f t="shared" si="352"/>
        <v>-20.103257300755924</v>
      </c>
      <c r="Y417">
        <f t="shared" si="336"/>
        <v>-122.48584313745759</v>
      </c>
      <c r="Z417">
        <f t="shared" si="353"/>
        <v>57.514156862542407</v>
      </c>
      <c r="AC417">
        <v>1</v>
      </c>
      <c r="AD417">
        <f t="shared" si="337"/>
        <v>130.53330027120603</v>
      </c>
      <c r="AE417">
        <f t="shared" si="338"/>
        <v>-4.661817367905015E-3</v>
      </c>
      <c r="AF417">
        <f t="shared" si="339"/>
        <v>4.3723681193052E-3</v>
      </c>
      <c r="AG417">
        <f t="shared" si="315"/>
        <v>13857.425356250191</v>
      </c>
      <c r="AH417">
        <f t="shared" si="316"/>
        <v>-15003.49110830103</v>
      </c>
      <c r="AJ417">
        <f t="shared" si="340"/>
        <v>55000</v>
      </c>
      <c r="AK417">
        <f t="shared" si="341"/>
        <v>37618.883377700629</v>
      </c>
      <c r="AL417">
        <v>1</v>
      </c>
      <c r="AM417">
        <f t="shared" si="342"/>
        <v>53.297802603651384</v>
      </c>
      <c r="AN417">
        <f t="shared" si="317"/>
        <v>724.93081241858044</v>
      </c>
      <c r="AO417">
        <f t="shared" si="318"/>
        <v>-1018.335963889496</v>
      </c>
      <c r="AQ417">
        <f t="shared" si="343"/>
        <v>1.1051138780266248E-2</v>
      </c>
      <c r="AR417">
        <f t="shared" si="344"/>
        <v>-5.9113093892583173</v>
      </c>
      <c r="AT417">
        <f t="shared" si="365"/>
        <v>-88537.137529404456</v>
      </c>
      <c r="AU417">
        <f t="shared" si="366"/>
        <v>-82081.334281774369</v>
      </c>
      <c r="AV417">
        <f t="shared" si="354"/>
        <v>-2.3940141056397879</v>
      </c>
      <c r="AW417">
        <f t="shared" si="355"/>
        <v>7595.4425427614124</v>
      </c>
      <c r="AX417">
        <f t="shared" si="356"/>
        <v>-24975.227125096906</v>
      </c>
      <c r="AY417">
        <f t="shared" si="364"/>
        <v>-1.2755648773848696</v>
      </c>
      <c r="BA417">
        <f t="shared" si="345"/>
        <v>4.6249160175820547</v>
      </c>
      <c r="BB417">
        <f t="shared" si="357"/>
        <v>13.302077018552529</v>
      </c>
      <c r="BC417">
        <f t="shared" si="358"/>
        <v>-1.1184492282549183</v>
      </c>
      <c r="BD417">
        <f t="shared" si="346"/>
        <v>-244.08242045189573</v>
      </c>
      <c r="BF417">
        <f t="shared" si="347"/>
        <v>-31.065634116608742</v>
      </c>
      <c r="BG417">
        <f t="shared" si="348"/>
        <v>-193.84802417960466</v>
      </c>
      <c r="BH417">
        <f t="shared" si="359"/>
        <v>-13.848024179604664</v>
      </c>
      <c r="BI417">
        <f t="shared" si="360"/>
        <v>-13.848024179604664</v>
      </c>
      <c r="BJ417">
        <f t="shared" si="349"/>
        <v>0</v>
      </c>
      <c r="BK417">
        <f t="shared" si="361"/>
        <v>0</v>
      </c>
      <c r="BM417">
        <f t="shared" si="362"/>
        <v>-44.367711135161272</v>
      </c>
      <c r="BN417">
        <f t="shared" si="350"/>
        <v>-129.76560372770899</v>
      </c>
      <c r="BQ417" s="75">
        <f t="shared" si="363"/>
        <v>30.204037818837666</v>
      </c>
    </row>
    <row r="418" spans="1:69">
      <c r="A418">
        <f t="shared" si="319"/>
        <v>1020000</v>
      </c>
      <c r="B418">
        <f t="shared" si="351"/>
        <v>1020</v>
      </c>
      <c r="C418">
        <f t="shared" si="320"/>
        <v>1.5559477702496127</v>
      </c>
      <c r="D418">
        <f t="shared" si="321"/>
        <v>0.8727853892381221</v>
      </c>
      <c r="F418">
        <f t="shared" si="322"/>
        <v>4.2890091536518791E-4</v>
      </c>
      <c r="G418">
        <f t="shared" si="323"/>
        <v>6.3594701629061182E-3</v>
      </c>
      <c r="H418">
        <f t="shared" si="324"/>
        <v>-3.135233179837094</v>
      </c>
      <c r="J418">
        <f t="shared" si="325"/>
        <v>9</v>
      </c>
      <c r="M418">
        <f t="shared" si="326"/>
        <v>4.1379616556573105E-3</v>
      </c>
      <c r="N418">
        <f t="shared" si="327"/>
        <v>-1.5707963250000001</v>
      </c>
      <c r="O418">
        <f t="shared" si="328"/>
        <v>131.18013306295711</v>
      </c>
      <c r="P418">
        <f t="shared" si="329"/>
        <v>1.5631731474140445</v>
      </c>
      <c r="Q418">
        <f t="shared" si="330"/>
        <v>53.569687805274839</v>
      </c>
      <c r="R418">
        <f t="shared" si="331"/>
        <v>1.5521279692231165</v>
      </c>
      <c r="S418">
        <f t="shared" si="332"/>
        <v>0.82409999195105466</v>
      </c>
      <c r="T418">
        <f t="shared" si="333"/>
        <v>-0.602184841057258</v>
      </c>
      <c r="U418">
        <f t="shared" si="334"/>
        <v>0.68231032172751938</v>
      </c>
      <c r="V418">
        <f t="shared" si="335"/>
        <v>-0.81987810980455844</v>
      </c>
      <c r="X418">
        <f t="shared" si="352"/>
        <v>-20.157400146827854</v>
      </c>
      <c r="Y418">
        <f t="shared" si="336"/>
        <v>-122.61330919788499</v>
      </c>
      <c r="Z418">
        <f t="shared" si="353"/>
        <v>57.386690802115012</v>
      </c>
      <c r="AC418">
        <v>1</v>
      </c>
      <c r="AD418">
        <f t="shared" si="337"/>
        <v>131.176321454808</v>
      </c>
      <c r="AE418">
        <f t="shared" si="338"/>
        <v>-4.7078597292517432E-3</v>
      </c>
      <c r="AF418">
        <f t="shared" si="339"/>
        <v>4.3939068785135999E-3</v>
      </c>
      <c r="AG418">
        <f t="shared" si="315"/>
        <v>13784.994130190715</v>
      </c>
      <c r="AH418">
        <f t="shared" si="316"/>
        <v>-14997.545591086557</v>
      </c>
      <c r="AJ418">
        <f t="shared" si="340"/>
        <v>55000</v>
      </c>
      <c r="AK418">
        <f t="shared" si="341"/>
        <v>37804.198074142507</v>
      </c>
      <c r="AL418">
        <v>1</v>
      </c>
      <c r="AM418">
        <f t="shared" si="342"/>
        <v>53.560353355393502</v>
      </c>
      <c r="AN418">
        <f t="shared" si="317"/>
        <v>724.74401774494208</v>
      </c>
      <c r="AO418">
        <f t="shared" si="318"/>
        <v>-1013.3476084841693</v>
      </c>
      <c r="AQ418">
        <f t="shared" si="343"/>
        <v>1.0943060206700302E-2</v>
      </c>
      <c r="AR418">
        <f t="shared" si="344"/>
        <v>-5.8823325835096805</v>
      </c>
      <c r="AT418">
        <f t="shared" si="365"/>
        <v>-88069.701082404717</v>
      </c>
      <c r="AU418">
        <f t="shared" si="366"/>
        <v>-81252.039179866522</v>
      </c>
      <c r="AV418">
        <f t="shared" si="354"/>
        <v>-2.3964372914530214</v>
      </c>
      <c r="AW418">
        <f t="shared" si="355"/>
        <v>7586.4008094502688</v>
      </c>
      <c r="AX418">
        <f t="shared" si="356"/>
        <v>-24914.137053720733</v>
      </c>
      <c r="AY418">
        <f t="shared" si="364"/>
        <v>-1.2752145297120894</v>
      </c>
      <c r="BA418">
        <f t="shared" si="345"/>
        <v>4.6009648790541684</v>
      </c>
      <c r="BB418">
        <f t="shared" si="357"/>
        <v>13.256978362791298</v>
      </c>
      <c r="BC418">
        <f t="shared" si="358"/>
        <v>-1.1212227617409321</v>
      </c>
      <c r="BD418">
        <f t="shared" si="346"/>
        <v>-244.24133221516411</v>
      </c>
      <c r="BF418">
        <f t="shared" si="347"/>
        <v>-31.171131694374367</v>
      </c>
      <c r="BG418">
        <f t="shared" si="348"/>
        <v>-193.87004213330542</v>
      </c>
      <c r="BH418">
        <f t="shared" si="359"/>
        <v>-13.870042133305418</v>
      </c>
      <c r="BI418">
        <f t="shared" si="360"/>
        <v>-13.870042133305418</v>
      </c>
      <c r="BJ418">
        <f t="shared" si="349"/>
        <v>0</v>
      </c>
      <c r="BK418">
        <f t="shared" si="361"/>
        <v>0</v>
      </c>
      <c r="BM418">
        <f t="shared" si="362"/>
        <v>-44.428110057165668</v>
      </c>
      <c r="BN418">
        <f t="shared" si="350"/>
        <v>-129.62870991814134</v>
      </c>
      <c r="BQ418" s="75">
        <f t="shared" si="363"/>
        <v>30.158939163076433</v>
      </c>
    </row>
    <row r="419" spans="1:69">
      <c r="A419">
        <f t="shared" si="319"/>
        <v>1025000</v>
      </c>
      <c r="B419">
        <f t="shared" si="351"/>
        <v>1025</v>
      </c>
      <c r="C419">
        <f t="shared" si="320"/>
        <v>1.5604290182567433</v>
      </c>
      <c r="D419">
        <f t="shared" si="321"/>
        <v>0.87519210167978823</v>
      </c>
      <c r="F419">
        <f t="shared" si="322"/>
        <v>4.2472503025748172E-4</v>
      </c>
      <c r="G419">
        <f t="shared" si="323"/>
        <v>6.3284227340656305E-3</v>
      </c>
      <c r="H419">
        <f t="shared" si="324"/>
        <v>-3.1352642272659348</v>
      </c>
      <c r="J419">
        <f t="shared" si="325"/>
        <v>9</v>
      </c>
      <c r="M419">
        <f t="shared" si="326"/>
        <v>4.117776476849226E-3</v>
      </c>
      <c r="N419">
        <f t="shared" si="327"/>
        <v>-1.5707963250000001</v>
      </c>
      <c r="O419">
        <f t="shared" si="328"/>
        <v>131.82313565388492</v>
      </c>
      <c r="P419">
        <f t="shared" si="329"/>
        <v>1.5632103322248012</v>
      </c>
      <c r="Q419">
        <f t="shared" si="330"/>
        <v>53.832193030991384</v>
      </c>
      <c r="R419">
        <f t="shared" si="331"/>
        <v>1.5522190133800551</v>
      </c>
      <c r="S419">
        <f t="shared" si="332"/>
        <v>0.82280370322103213</v>
      </c>
      <c r="T419">
        <f t="shared" si="333"/>
        <v>-0.60446951221160361</v>
      </c>
      <c r="U419">
        <f t="shared" si="334"/>
        <v>0.68052540744307677</v>
      </c>
      <c r="V419">
        <f t="shared" si="335"/>
        <v>-0.82231687065414094</v>
      </c>
      <c r="X419">
        <f t="shared" si="352"/>
        <v>-20.211371117026129</v>
      </c>
      <c r="Y419">
        <f t="shared" si="336"/>
        <v>-122.74047935924037</v>
      </c>
      <c r="Z419">
        <f t="shared" si="353"/>
        <v>57.259520640759632</v>
      </c>
      <c r="AC419">
        <v>1</v>
      </c>
      <c r="AD419">
        <f t="shared" si="337"/>
        <v>131.81934263841001</v>
      </c>
      <c r="AE419">
        <f t="shared" si="338"/>
        <v>-4.7541283429883832E-3</v>
      </c>
      <c r="AF419">
        <f t="shared" si="339"/>
        <v>4.4154456377219998E-3</v>
      </c>
      <c r="AG419">
        <f t="shared" si="315"/>
        <v>13712.965761455956</v>
      </c>
      <c r="AH419">
        <f t="shared" si="316"/>
        <v>-14991.283921030717</v>
      </c>
      <c r="AJ419">
        <f t="shared" si="340"/>
        <v>55000</v>
      </c>
      <c r="AK419">
        <f t="shared" si="341"/>
        <v>37989.512770584377</v>
      </c>
      <c r="AL419">
        <v>1</v>
      </c>
      <c r="AM419">
        <f t="shared" si="342"/>
        <v>53.822904107135628</v>
      </c>
      <c r="AN419">
        <f t="shared" si="317"/>
        <v>724.55994872142082</v>
      </c>
      <c r="AO419">
        <f t="shared" si="318"/>
        <v>-1008.4078693197633</v>
      </c>
      <c r="AQ419">
        <f t="shared" si="343"/>
        <v>1.0836559402756671E-2</v>
      </c>
      <c r="AR419">
        <f t="shared" si="344"/>
        <v>-5.8536384753840842</v>
      </c>
      <c r="AT419">
        <f t="shared" si="365"/>
        <v>-87604.9549874902</v>
      </c>
      <c r="AU419">
        <f t="shared" si="366"/>
        <v>-80433.197931617033</v>
      </c>
      <c r="AV419">
        <f t="shared" si="354"/>
        <v>-2.3988479422248545</v>
      </c>
      <c r="AW419">
        <f t="shared" si="355"/>
        <v>7576.8860751103093</v>
      </c>
      <c r="AX419">
        <f t="shared" si="356"/>
        <v>-24853.314211508659</v>
      </c>
      <c r="AY419">
        <f t="shared" si="364"/>
        <v>-1.2748829475771968</v>
      </c>
      <c r="BA419">
        <f t="shared" si="345"/>
        <v>4.5772557101222482</v>
      </c>
      <c r="BB419">
        <f t="shared" si="357"/>
        <v>13.21210350261188</v>
      </c>
      <c r="BC419">
        <f t="shared" si="358"/>
        <v>-1.1239649946476578</v>
      </c>
      <c r="BD419">
        <f t="shared" si="346"/>
        <v>-244.3984505873409</v>
      </c>
      <c r="BF419">
        <f t="shared" si="347"/>
        <v>-31.276008829464725</v>
      </c>
      <c r="BG419">
        <f t="shared" si="348"/>
        <v>-193.89104492655491</v>
      </c>
      <c r="BH419">
        <f t="shared" si="359"/>
        <v>-13.891044926554912</v>
      </c>
      <c r="BI419">
        <f t="shared" si="360"/>
        <v>-13.891044926554912</v>
      </c>
      <c r="BJ419">
        <f t="shared" si="349"/>
        <v>0</v>
      </c>
      <c r="BK419">
        <f t="shared" si="361"/>
        <v>0</v>
      </c>
      <c r="BM419">
        <f t="shared" si="362"/>
        <v>-44.488112332076604</v>
      </c>
      <c r="BN419">
        <f t="shared" si="350"/>
        <v>-129.49259433921401</v>
      </c>
      <c r="BQ419" s="75">
        <f t="shared" si="363"/>
        <v>30.114064302897017</v>
      </c>
    </row>
    <row r="420" spans="1:69">
      <c r="A420">
        <f t="shared" si="319"/>
        <v>1030000</v>
      </c>
      <c r="B420">
        <f t="shared" si="351"/>
        <v>1030</v>
      </c>
      <c r="C420">
        <f t="shared" si="320"/>
        <v>1.56491925288728</v>
      </c>
      <c r="D420">
        <f t="shared" si="321"/>
        <v>0.87758501671933575</v>
      </c>
      <c r="F420">
        <f t="shared" si="322"/>
        <v>4.2060984382862835E-4</v>
      </c>
      <c r="G420">
        <f t="shared" si="323"/>
        <v>6.2976771072079784E-3</v>
      </c>
      <c r="H420">
        <f t="shared" si="324"/>
        <v>-3.1352949728927921</v>
      </c>
      <c r="J420">
        <f t="shared" si="325"/>
        <v>9</v>
      </c>
      <c r="M420">
        <f t="shared" si="326"/>
        <v>4.0977872706509291E-3</v>
      </c>
      <c r="N420">
        <f t="shared" si="327"/>
        <v>-1.5707963250000001</v>
      </c>
      <c r="O420">
        <f t="shared" si="328"/>
        <v>132.46613842531639</v>
      </c>
      <c r="P420">
        <f t="shared" si="329"/>
        <v>1.5632471560386523</v>
      </c>
      <c r="Q420">
        <f t="shared" si="330"/>
        <v>54.094698698594328</v>
      </c>
      <c r="R420">
        <f t="shared" si="331"/>
        <v>1.5523091739166861</v>
      </c>
      <c r="S420">
        <f t="shared" si="332"/>
        <v>0.82150721830148532</v>
      </c>
      <c r="T420">
        <f t="shared" si="333"/>
        <v>-0.60674699534813237</v>
      </c>
      <c r="U420">
        <f t="shared" si="334"/>
        <v>0.67874580209420077</v>
      </c>
      <c r="V420">
        <f t="shared" si="335"/>
        <v>-0.82474289092549724</v>
      </c>
      <c r="X420">
        <f t="shared" si="352"/>
        <v>-20.265171852319352</v>
      </c>
      <c r="Y420">
        <f t="shared" si="336"/>
        <v>-122.86735224839364</v>
      </c>
      <c r="Z420">
        <f t="shared" si="353"/>
        <v>57.132647751606356</v>
      </c>
      <c r="AC420">
        <v>1</v>
      </c>
      <c r="AD420">
        <f t="shared" si="337"/>
        <v>132.46236382201204</v>
      </c>
      <c r="AE420">
        <f t="shared" si="338"/>
        <v>-4.8006232091149315E-3</v>
      </c>
      <c r="AF420">
        <f t="shared" si="339"/>
        <v>4.4369843969303997E-3</v>
      </c>
      <c r="AG420">
        <f t="shared" si="315"/>
        <v>13641.339460384941</v>
      </c>
      <c r="AH420">
        <f t="shared" si="316"/>
        <v>-14984.711432146658</v>
      </c>
      <c r="AJ420">
        <f t="shared" si="340"/>
        <v>55000</v>
      </c>
      <c r="AK420">
        <f t="shared" si="341"/>
        <v>38174.827467026254</v>
      </c>
      <c r="AL420">
        <v>1</v>
      </c>
      <c r="AM420">
        <f t="shared" si="342"/>
        <v>54.08545485887776</v>
      </c>
      <c r="AN420">
        <f t="shared" si="317"/>
        <v>724.37855258166098</v>
      </c>
      <c r="AO420">
        <f t="shared" si="318"/>
        <v>-1003.5160393683806</v>
      </c>
      <c r="AQ420">
        <f t="shared" si="343"/>
        <v>1.0731605806787191E-2</v>
      </c>
      <c r="AR420">
        <f t="shared" si="344"/>
        <v>-5.8252229479821551</v>
      </c>
      <c r="AT420">
        <f t="shared" si="365"/>
        <v>-87142.891425665832</v>
      </c>
      <c r="AU420">
        <f t="shared" si="366"/>
        <v>-79624.653682067117</v>
      </c>
      <c r="AV420">
        <f t="shared" si="354"/>
        <v>-2.401246125311463</v>
      </c>
      <c r="AW420">
        <f t="shared" si="355"/>
        <v>7566.9139791738353</v>
      </c>
      <c r="AX420">
        <f t="shared" si="356"/>
        <v>-24792.755048170264</v>
      </c>
      <c r="AY420">
        <f t="shared" si="364"/>
        <v>-1.274569650920744</v>
      </c>
      <c r="BA420">
        <f t="shared" si="345"/>
        <v>4.5537850940096654</v>
      </c>
      <c r="BB420">
        <f t="shared" si="357"/>
        <v>13.167450623571028</v>
      </c>
      <c r="BC420">
        <f t="shared" si="358"/>
        <v>-1.1266764743907189</v>
      </c>
      <c r="BD420">
        <f t="shared" si="346"/>
        <v>-244.55380693303107</v>
      </c>
      <c r="BF420">
        <f t="shared" si="347"/>
        <v>-31.380271863853185</v>
      </c>
      <c r="BG420">
        <f t="shared" si="348"/>
        <v>-193.91105893424836</v>
      </c>
      <c r="BH420">
        <f t="shared" si="359"/>
        <v>-13.911058934248359</v>
      </c>
      <c r="BI420">
        <f t="shared" si="360"/>
        <v>-13.911058934248359</v>
      </c>
      <c r="BJ420">
        <f t="shared" si="349"/>
        <v>0</v>
      </c>
      <c r="BK420">
        <f t="shared" si="361"/>
        <v>0</v>
      </c>
      <c r="BM420">
        <f t="shared" si="362"/>
        <v>-44.547722487424217</v>
      </c>
      <c r="BN420">
        <f t="shared" si="350"/>
        <v>-129.35725200121729</v>
      </c>
      <c r="BQ420" s="75">
        <f t="shared" si="363"/>
        <v>30.069411423856167</v>
      </c>
    </row>
    <row r="421" spans="1:69">
      <c r="A421">
        <f t="shared" si="319"/>
        <v>1035000</v>
      </c>
      <c r="B421">
        <f t="shared" si="351"/>
        <v>1035</v>
      </c>
      <c r="C421">
        <f t="shared" si="320"/>
        <v>1.5694183970068265</v>
      </c>
      <c r="D421">
        <f t="shared" si="321"/>
        <v>0.87996422549651665</v>
      </c>
      <c r="F421">
        <f t="shared" si="322"/>
        <v>4.1655418521615776E-4</v>
      </c>
      <c r="G421">
        <f t="shared" si="323"/>
        <v>6.2672289012765487E-3</v>
      </c>
      <c r="H421">
        <f t="shared" si="324"/>
        <v>-3.1353254210987238</v>
      </c>
      <c r="J421">
        <f t="shared" si="325"/>
        <v>9</v>
      </c>
      <c r="M421">
        <f t="shared" si="326"/>
        <v>4.0779911968796684E-3</v>
      </c>
      <c r="N421">
        <f t="shared" si="327"/>
        <v>-1.5707963250000001</v>
      </c>
      <c r="O421">
        <f t="shared" si="328"/>
        <v>133.10914137463567</v>
      </c>
      <c r="P421">
        <f t="shared" si="329"/>
        <v>1.5632836240870407</v>
      </c>
      <c r="Q421">
        <f t="shared" si="330"/>
        <v>54.357204801681718</v>
      </c>
      <c r="R421">
        <f t="shared" si="331"/>
        <v>1.5523984636332799</v>
      </c>
      <c r="S421">
        <f t="shared" si="332"/>
        <v>0.8202105783715532</v>
      </c>
      <c r="T421">
        <f t="shared" si="333"/>
        <v>-0.60901730082095451</v>
      </c>
      <c r="U421">
        <f t="shared" si="334"/>
        <v>0.67697152673889938</v>
      </c>
      <c r="V421">
        <f t="shared" si="335"/>
        <v>-0.82715624186324954</v>
      </c>
      <c r="X421">
        <f t="shared" si="352"/>
        <v>-20.318803964932659</v>
      </c>
      <c r="Y421">
        <f t="shared" si="336"/>
        <v>-122.99392653655978</v>
      </c>
      <c r="Z421">
        <f t="shared" si="353"/>
        <v>57.006073463440217</v>
      </c>
      <c r="AC421">
        <v>1</v>
      </c>
      <c r="AD421">
        <f t="shared" si="337"/>
        <v>133.10538500561401</v>
      </c>
      <c r="AE421">
        <f t="shared" si="338"/>
        <v>-4.8473443276313916E-3</v>
      </c>
      <c r="AF421">
        <f t="shared" si="339"/>
        <v>4.4585231561387996E-3</v>
      </c>
      <c r="AG421">
        <f t="shared" si="315"/>
        <v>13570.114392692311</v>
      </c>
      <c r="AH421">
        <f t="shared" si="316"/>
        <v>-14977.833396419675</v>
      </c>
      <c r="AJ421">
        <f t="shared" si="340"/>
        <v>55000</v>
      </c>
      <c r="AK421">
        <f t="shared" si="341"/>
        <v>38360.142163468132</v>
      </c>
      <c r="AL421">
        <v>1</v>
      </c>
      <c r="AM421">
        <f t="shared" si="342"/>
        <v>54.348005610619879</v>
      </c>
      <c r="AN421">
        <f t="shared" si="317"/>
        <v>724.19977782990327</v>
      </c>
      <c r="AO421">
        <f t="shared" si="318"/>
        <v>-998.6714252411191</v>
      </c>
      <c r="AQ421">
        <f t="shared" si="343"/>
        <v>1.0628169593555318E-2</v>
      </c>
      <c r="AR421">
        <f t="shared" si="344"/>
        <v>-5.7970819639567805</v>
      </c>
      <c r="AT421">
        <f t="shared" si="365"/>
        <v>-86683.50236436454</v>
      </c>
      <c r="AU421">
        <f t="shared" si="366"/>
        <v>-78826.252348188078</v>
      </c>
      <c r="AV421">
        <f t="shared" si="354"/>
        <v>-2.4036319080028901</v>
      </c>
      <c r="AW421">
        <f t="shared" si="355"/>
        <v>7556.4997256453671</v>
      </c>
      <c r="AX421">
        <f t="shared" si="356"/>
        <v>-24732.456127982623</v>
      </c>
      <c r="AY421">
        <f t="shared" si="364"/>
        <v>-1.2742741720888986</v>
      </c>
      <c r="BA421">
        <f t="shared" si="345"/>
        <v>4.5305496690699893</v>
      </c>
      <c r="BB421">
        <f t="shared" si="357"/>
        <v>13.123017920001161</v>
      </c>
      <c r="BC421">
        <f t="shared" si="358"/>
        <v>-1.1293577359139915</v>
      </c>
      <c r="BD421">
        <f t="shared" si="346"/>
        <v>-244.70743190226094</v>
      </c>
      <c r="BF421">
        <f t="shared" si="347"/>
        <v>-31.483927061881595</v>
      </c>
      <c r="BG421">
        <f t="shared" si="348"/>
        <v>-193.93010983550516</v>
      </c>
      <c r="BH421">
        <f t="shared" si="359"/>
        <v>-13.930109835505164</v>
      </c>
      <c r="BI421">
        <f t="shared" si="360"/>
        <v>-13.930109835505164</v>
      </c>
      <c r="BJ421">
        <f t="shared" si="349"/>
        <v>0</v>
      </c>
      <c r="BK421">
        <f t="shared" si="361"/>
        <v>0</v>
      </c>
      <c r="BM421">
        <f t="shared" si="362"/>
        <v>-44.606944981882755</v>
      </c>
      <c r="BN421">
        <f t="shared" si="350"/>
        <v>-129.22267793324423</v>
      </c>
      <c r="BQ421" s="75">
        <f t="shared" si="363"/>
        <v>30.024978720286299</v>
      </c>
    </row>
    <row r="422" spans="1:69">
      <c r="A422">
        <f t="shared" si="319"/>
        <v>1040000</v>
      </c>
      <c r="B422">
        <f t="shared" si="351"/>
        <v>1040</v>
      </c>
      <c r="C422">
        <f t="shared" si="320"/>
        <v>1.5739263742107783</v>
      </c>
      <c r="D422">
        <f t="shared" si="321"/>
        <v>0.88232981873071514</v>
      </c>
      <c r="F422">
        <f t="shared" si="322"/>
        <v>4.1255691165777451E-4</v>
      </c>
      <c r="G422">
        <f t="shared" si="323"/>
        <v>6.2370738196357378E-3</v>
      </c>
      <c r="H422">
        <f t="shared" si="324"/>
        <v>-3.1353555761803644</v>
      </c>
      <c r="J422">
        <f t="shared" si="325"/>
        <v>9</v>
      </c>
      <c r="M422">
        <f t="shared" si="326"/>
        <v>4.0583854699715932E-3</v>
      </c>
      <c r="N422">
        <f t="shared" si="327"/>
        <v>-1.5707963250000001</v>
      </c>
      <c r="O422">
        <f t="shared" si="328"/>
        <v>133.75214449927719</v>
      </c>
      <c r="P422">
        <f t="shared" si="329"/>
        <v>1.5633197415008135</v>
      </c>
      <c r="Q422">
        <f t="shared" si="330"/>
        <v>54.619711333974635</v>
      </c>
      <c r="R422">
        <f t="shared" si="331"/>
        <v>1.5524868950840867</v>
      </c>
      <c r="S422">
        <f t="shared" si="332"/>
        <v>0.81891382416856995</v>
      </c>
      <c r="T422">
        <f t="shared" si="333"/>
        <v>-0.61128043921498543</v>
      </c>
      <c r="U422">
        <f t="shared" si="334"/>
        <v>0.67520260144871824</v>
      </c>
      <c r="V422">
        <f t="shared" si="335"/>
        <v>-0.82955699456017984</v>
      </c>
      <c r="X422">
        <f t="shared" si="352"/>
        <v>-20.372269038974828</v>
      </c>
      <c r="Y422">
        <f t="shared" si="336"/>
        <v>-123.1202009385859</v>
      </c>
      <c r="Z422">
        <f t="shared" si="353"/>
        <v>56.879799061414104</v>
      </c>
      <c r="AC422">
        <v>1</v>
      </c>
      <c r="AD422">
        <f t="shared" si="337"/>
        <v>133.74840618921601</v>
      </c>
      <c r="AE422">
        <f t="shared" si="338"/>
        <v>-4.8942916985377609E-3</v>
      </c>
      <c r="AF422">
        <f t="shared" si="339"/>
        <v>4.4800619153472004E-3</v>
      </c>
      <c r="AG422">
        <f t="shared" si="315"/>
        <v>13499.289680831514</v>
      </c>
      <c r="AH422">
        <f t="shared" si="316"/>
        <v>-14970.655024050562</v>
      </c>
      <c r="AJ422">
        <f t="shared" si="340"/>
        <v>55000</v>
      </c>
      <c r="AK422">
        <f t="shared" si="341"/>
        <v>38545.456859910009</v>
      </c>
      <c r="AL422">
        <v>1</v>
      </c>
      <c r="AM422">
        <f t="shared" si="342"/>
        <v>54.610556362362004</v>
      </c>
      <c r="AN422">
        <f t="shared" si="317"/>
        <v>724.0235742044498</v>
      </c>
      <c r="AO422">
        <f t="shared" si="318"/>
        <v>-993.87334686088184</v>
      </c>
      <c r="AQ422">
        <f t="shared" si="343"/>
        <v>1.0526221653044877E-2</v>
      </c>
      <c r="AR422">
        <f t="shared" si="344"/>
        <v>-5.7692115636008356</v>
      </c>
      <c r="AT422">
        <f t="shared" si="365"/>
        <v>-86226.779564092343</v>
      </c>
      <c r="AU422">
        <f t="shared" si="366"/>
        <v>-78037.842560125035</v>
      </c>
      <c r="AV422">
        <f t="shared" si="354"/>
        <v>-2.4060053575133766</v>
      </c>
      <c r="AW422">
        <f t="shared" si="355"/>
        <v>7545.658095694911</v>
      </c>
      <c r="AX422">
        <f t="shared" si="356"/>
        <v>-24672.414125653322</v>
      </c>
      <c r="AY422">
        <f t="shared" si="364"/>
        <v>-1.2739960554828327</v>
      </c>
      <c r="BA422">
        <f t="shared" si="345"/>
        <v>4.5075461280677249</v>
      </c>
      <c r="BB422">
        <f t="shared" si="357"/>
        <v>13.07880359557717</v>
      </c>
      <c r="BC422">
        <f t="shared" si="358"/>
        <v>-1.132009302030544</v>
      </c>
      <c r="BD422">
        <f t="shared" si="346"/>
        <v>-244.85935545001288</v>
      </c>
      <c r="BF422">
        <f t="shared" si="347"/>
        <v>-31.586980610982287</v>
      </c>
      <c r="BG422">
        <f t="shared" si="348"/>
        <v>-193.94822263364881</v>
      </c>
      <c r="BH422">
        <f t="shared" si="359"/>
        <v>-13.948222633648811</v>
      </c>
      <c r="BI422">
        <f t="shared" si="360"/>
        <v>-13.948222633648811</v>
      </c>
      <c r="BJ422">
        <f t="shared" si="349"/>
        <v>0</v>
      </c>
      <c r="BK422">
        <f t="shared" si="361"/>
        <v>0</v>
      </c>
      <c r="BM422">
        <f t="shared" si="362"/>
        <v>-44.665784206559458</v>
      </c>
      <c r="BN422">
        <f t="shared" si="350"/>
        <v>-129.08886718363593</v>
      </c>
      <c r="BQ422" s="75">
        <f t="shared" si="363"/>
        <v>29.980764395862309</v>
      </c>
    </row>
    <row r="423" spans="1:69">
      <c r="A423">
        <f t="shared" si="319"/>
        <v>1045000</v>
      </c>
      <c r="B423">
        <f t="shared" si="351"/>
        <v>1045</v>
      </c>
      <c r="C423">
        <f t="shared" si="320"/>
        <v>1.5784431088182154</v>
      </c>
      <c r="D423">
        <f t="shared" si="321"/>
        <v>0.88468188671553061</v>
      </c>
      <c r="F423">
        <f t="shared" si="322"/>
        <v>4.0861690768585057E-4</v>
      </c>
      <c r="G423">
        <f t="shared" si="323"/>
        <v>6.2072076480464804E-3</v>
      </c>
      <c r="H423">
        <f t="shared" si="324"/>
        <v>-3.1353854423519536</v>
      </c>
      <c r="J423">
        <f t="shared" si="325"/>
        <v>9</v>
      </c>
      <c r="M423">
        <f t="shared" si="326"/>
        <v>4.0389673576750789E-3</v>
      </c>
      <c r="N423">
        <f t="shared" si="327"/>
        <v>-1.5707963250000001</v>
      </c>
      <c r="O423">
        <f t="shared" si="328"/>
        <v>134.3951477967245</v>
      </c>
      <c r="P423">
        <f t="shared" si="329"/>
        <v>1.5633555133126296</v>
      </c>
      <c r="Q423">
        <f t="shared" si="330"/>
        <v>54.882218289314302</v>
      </c>
      <c r="R423">
        <f t="shared" si="331"/>
        <v>1.5525744805832178</v>
      </c>
      <c r="S423">
        <f t="shared" si="332"/>
        <v>0.81761699598935056</v>
      </c>
      <c r="T423">
        <f t="shared" si="333"/>
        <v>-0.61353642134208253</v>
      </c>
      <c r="U423">
        <f t="shared" si="334"/>
        <v>0.67343904532768484</v>
      </c>
      <c r="V423">
        <f t="shared" si="335"/>
        <v>-0.83194521994967463</v>
      </c>
      <c r="X423">
        <f t="shared" si="352"/>
        <v>-20.425568631050041</v>
      </c>
      <c r="Y423">
        <f t="shared" si="336"/>
        <v>-123.24617421224863</v>
      </c>
      <c r="Z423">
        <f t="shared" si="353"/>
        <v>56.753825787751367</v>
      </c>
      <c r="AC423">
        <v>1</v>
      </c>
      <c r="AD423">
        <f t="shared" si="337"/>
        <v>134.39142737281801</v>
      </c>
      <c r="AE423">
        <f t="shared" si="338"/>
        <v>-4.9414653218340402E-3</v>
      </c>
      <c r="AF423">
        <f t="shared" si="339"/>
        <v>4.5016006745556003E-3</v>
      </c>
      <c r="AG423">
        <f t="shared" si="315"/>
        <v>13428.864405331971</v>
      </c>
      <c r="AH423">
        <f t="shared" si="316"/>
        <v>-14963.181463715473</v>
      </c>
      <c r="AJ423">
        <f t="shared" si="340"/>
        <v>55000</v>
      </c>
      <c r="AK423">
        <f t="shared" si="341"/>
        <v>38730.77155635188</v>
      </c>
      <c r="AL423">
        <v>1</v>
      </c>
      <c r="AM423">
        <f t="shared" si="342"/>
        <v>54.873107114104137</v>
      </c>
      <c r="AN423">
        <f t="shared" si="317"/>
        <v>723.84989264234969</v>
      </c>
      <c r="AO423">
        <f t="shared" si="318"/>
        <v>-989.12113714455495</v>
      </c>
      <c r="AQ423">
        <f t="shared" si="343"/>
        <v>1.0425733569976855E-2</v>
      </c>
      <c r="AR423">
        <f t="shared" si="344"/>
        <v>-5.7416078629898042</v>
      </c>
      <c r="AT423">
        <f t="shared" si="365"/>
        <v>-85772.714584974703</v>
      </c>
      <c r="AU423">
        <f t="shared" si="366"/>
        <v>-77259.275603977861</v>
      </c>
      <c r="AV423">
        <f t="shared" si="354"/>
        <v>-2.4083665409719908</v>
      </c>
      <c r="AW423">
        <f t="shared" si="355"/>
        <v>7534.4034598489061</v>
      </c>
      <c r="AX423">
        <f t="shared" si="356"/>
        <v>-24612.6258223316</v>
      </c>
      <c r="AY423">
        <f t="shared" si="364"/>
        <v>-1.273734857218946</v>
      </c>
      <c r="BA423">
        <f t="shared" si="345"/>
        <v>4.4847712174481043</v>
      </c>
      <c r="BB423">
        <f t="shared" si="357"/>
        <v>13.034805863838063</v>
      </c>
      <c r="BC423">
        <f t="shared" si="358"/>
        <v>-1.1346316837530448</v>
      </c>
      <c r="BD423">
        <f t="shared" si="346"/>
        <v>-245.00960685515611</v>
      </c>
      <c r="BF423">
        <f t="shared" si="347"/>
        <v>-31.689438622416304</v>
      </c>
      <c r="BG423">
        <f t="shared" si="348"/>
        <v>-193.9654216755645</v>
      </c>
      <c r="BH423">
        <f t="shared" si="359"/>
        <v>-13.9654216755645</v>
      </c>
      <c r="BI423">
        <f t="shared" si="360"/>
        <v>-13.9654216755645</v>
      </c>
      <c r="BJ423">
        <f t="shared" si="349"/>
        <v>0</v>
      </c>
      <c r="BK423">
        <f t="shared" si="361"/>
        <v>0</v>
      </c>
      <c r="BM423">
        <f t="shared" si="362"/>
        <v>-44.724244486254378</v>
      </c>
      <c r="BN423">
        <f t="shared" si="350"/>
        <v>-128.95581482040839</v>
      </c>
      <c r="BQ423" s="75">
        <f t="shared" si="363"/>
        <v>29.936766664123201</v>
      </c>
    </row>
    <row r="424" spans="1:69">
      <c r="A424">
        <f t="shared" si="319"/>
        <v>1050000</v>
      </c>
      <c r="B424">
        <f t="shared" si="351"/>
        <v>1050</v>
      </c>
      <c r="C424">
        <f t="shared" si="320"/>
        <v>1.5829685258658035</v>
      </c>
      <c r="D424">
        <f t="shared" si="321"/>
        <v>0.88702051931362935</v>
      </c>
      <c r="F424">
        <f t="shared" si="322"/>
        <v>4.0473308434873292E-4</v>
      </c>
      <c r="G424">
        <f t="shared" si="323"/>
        <v>6.1776262526997425E-3</v>
      </c>
      <c r="H424">
        <f t="shared" si="324"/>
        <v>-3.1354150237473006</v>
      </c>
      <c r="J424">
        <f t="shared" si="325"/>
        <v>9</v>
      </c>
      <c r="M424">
        <f t="shared" si="326"/>
        <v>4.0197341797813873E-3</v>
      </c>
      <c r="N424">
        <f t="shared" si="327"/>
        <v>-1.5707963250000001</v>
      </c>
      <c r="O424">
        <f t="shared" si="328"/>
        <v>135.03815126450911</v>
      </c>
      <c r="P424">
        <f t="shared" si="329"/>
        <v>1.5633909444592957</v>
      </c>
      <c r="Q424">
        <f t="shared" si="330"/>
        <v>55.144725661659194</v>
      </c>
      <c r="R424">
        <f t="shared" si="331"/>
        <v>1.5526612322103601</v>
      </c>
      <c r="S424">
        <f t="shared" si="332"/>
        <v>0.816320133691537</v>
      </c>
      <c r="T424">
        <f t="shared" si="333"/>
        <v>-0.6157852582372072</v>
      </c>
      <c r="U424">
        <f t="shared" si="334"/>
        <v>0.6716808765310156</v>
      </c>
      <c r="V424">
        <f t="shared" si="335"/>
        <v>-0.83432098879840544</v>
      </c>
      <c r="X424">
        <f t="shared" si="352"/>
        <v>-20.478704270854742</v>
      </c>
      <c r="Y424">
        <f t="shared" si="336"/>
        <v>-123.37184515756138</v>
      </c>
      <c r="Z424">
        <f t="shared" si="353"/>
        <v>56.628154842438619</v>
      </c>
      <c r="AC424">
        <v>1</v>
      </c>
      <c r="AD424">
        <f t="shared" si="337"/>
        <v>135.03444855642002</v>
      </c>
      <c r="AE424">
        <f t="shared" si="338"/>
        <v>-4.9888651975202305E-3</v>
      </c>
      <c r="AF424">
        <f t="shared" si="339"/>
        <v>4.5231394337640002E-3</v>
      </c>
      <c r="AG424">
        <f t="shared" ref="AG424:AG487" si="367">AC424*AE424/(AE424^2+AF424^2)+AD424*AF424/(AE424^2+AF424^2)</f>
        <v>13358.837606110606</v>
      </c>
      <c r="AH424">
        <f t="shared" ref="AH424:AH487" si="368">AD424*AE424/(AE424^2+AF424^2)-AC424*AF424/(AE424^2+AF424^2)</f>
        <v>-14955.417802841748</v>
      </c>
      <c r="AJ424">
        <f t="shared" si="340"/>
        <v>55000</v>
      </c>
      <c r="AK424">
        <f t="shared" si="341"/>
        <v>38916.08625279375</v>
      </c>
      <c r="AL424">
        <v>1</v>
      </c>
      <c r="AM424">
        <f t="shared" si="342"/>
        <v>55.135657865846255</v>
      </c>
      <c r="AN424">
        <f t="shared" ref="AN424:AN487" si="369">AJ424*AL424/(AL424^2+AM424^2)+AK424*AM424/(AL424^2+AM424^2)</f>
        <v>723.67868524525829</v>
      </c>
      <c r="AO424">
        <f t="shared" ref="AO424:AO487" si="370">AK424*AL424/(AL424^2+AM424^2)-AJ424*AM424/(AL424^2+AM424^2)</f>
        <v>-984.41414169424797</v>
      </c>
      <c r="AQ424">
        <f t="shared" si="343"/>
        <v>1.0326677604007331E-2</v>
      </c>
      <c r="AR424">
        <f t="shared" si="344"/>
        <v>-5.7142670521774566</v>
      </c>
      <c r="AT424">
        <f t="shared" si="365"/>
        <v>-85321.298793204187</v>
      </c>
      <c r="AU424">
        <f t="shared" si="366"/>
        <v>-76490.40536607019</v>
      </c>
      <c r="AV424">
        <f t="shared" si="354"/>
        <v>-2.4107155254135408</v>
      </c>
      <c r="AW424">
        <f t="shared" si="355"/>
        <v>7522.7497897935664</v>
      </c>
      <c r="AX424">
        <f t="shared" si="356"/>
        <v>-24553.088101762347</v>
      </c>
      <c r="AY424">
        <f t="shared" si="364"/>
        <v>-1.2734901447995646</v>
      </c>
      <c r="BA424">
        <f t="shared" si="345"/>
        <v>4.4622217365979955</v>
      </c>
      <c r="BB424">
        <f t="shared" si="357"/>
        <v>12.991022948666206</v>
      </c>
      <c r="BC424">
        <f t="shared" si="358"/>
        <v>-1.1372253806139763</v>
      </c>
      <c r="BD424">
        <f t="shared" si="346"/>
        <v>-245.15821473879362</v>
      </c>
      <c r="BF424">
        <f t="shared" si="347"/>
        <v>-31.791307132025757</v>
      </c>
      <c r="BG424">
        <f t="shared" si="348"/>
        <v>-193.98173067045354</v>
      </c>
      <c r="BH424">
        <f t="shared" si="359"/>
        <v>-13.981730670453544</v>
      </c>
      <c r="BI424">
        <f t="shared" si="360"/>
        <v>-13.981730670453544</v>
      </c>
      <c r="BJ424">
        <f t="shared" si="349"/>
        <v>0</v>
      </c>
      <c r="BK424">
        <f t="shared" si="361"/>
        <v>0</v>
      </c>
      <c r="BM424">
        <f t="shared" si="362"/>
        <v>-44.782330080691963</v>
      </c>
      <c r="BN424">
        <f t="shared" si="350"/>
        <v>-128.82351593165993</v>
      </c>
      <c r="BQ424" s="75">
        <f t="shared" si="363"/>
        <v>29.892983748951345</v>
      </c>
    </row>
    <row r="425" spans="1:69">
      <c r="A425">
        <f t="shared" si="319"/>
        <v>1055000</v>
      </c>
      <c r="B425">
        <f t="shared" si="351"/>
        <v>1055</v>
      </c>
      <c r="C425">
        <f t="shared" si="320"/>
        <v>1.5875025511017025</v>
      </c>
      <c r="D425">
        <f t="shared" si="321"/>
        <v>0.88934580595185853</v>
      </c>
      <c r="F425">
        <f t="shared" si="322"/>
        <v>4.0090437845784996E-4</v>
      </c>
      <c r="G425">
        <f t="shared" si="323"/>
        <v>6.1483255783061344E-3</v>
      </c>
      <c r="H425">
        <f t="shared" si="324"/>
        <v>-3.1354443244216941</v>
      </c>
      <c r="J425">
        <f t="shared" si="325"/>
        <v>9</v>
      </c>
      <c r="M425">
        <f t="shared" si="326"/>
        <v>4.0006833068914286E-3</v>
      </c>
      <c r="N425">
        <f t="shared" si="327"/>
        <v>-1.5707963250000001</v>
      </c>
      <c r="O425">
        <f t="shared" si="328"/>
        <v>135.68115490020929</v>
      </c>
      <c r="P425">
        <f t="shared" si="329"/>
        <v>1.5634260397840392</v>
      </c>
      <c r="Q425">
        <f t="shared" si="330"/>
        <v>55.407233445082277</v>
      </c>
      <c r="R425">
        <f t="shared" si="331"/>
        <v>1.5527471618163271</v>
      </c>
      <c r="S425">
        <f t="shared" si="332"/>
        <v>0.81502327669500652</v>
      </c>
      <c r="T425">
        <f t="shared" si="333"/>
        <v>-0.61802696115461453</v>
      </c>
      <c r="U425">
        <f t="shared" si="334"/>
        <v>0.66992811228358595</v>
      </c>
      <c r="V425">
        <f t="shared" si="335"/>
        <v>-0.8366843716992397</v>
      </c>
      <c r="X425">
        <f t="shared" si="352"/>
        <v>-20.531677461759838</v>
      </c>
      <c r="Y425">
        <f t="shared" si="336"/>
        <v>-123.49721261609085</v>
      </c>
      <c r="Z425">
        <f t="shared" si="353"/>
        <v>56.502787383909151</v>
      </c>
      <c r="AC425">
        <v>1</v>
      </c>
      <c r="AD425">
        <f t="shared" si="337"/>
        <v>135.67746974002202</v>
      </c>
      <c r="AE425">
        <f t="shared" si="338"/>
        <v>-5.0364913255963309E-3</v>
      </c>
      <c r="AF425">
        <f t="shared" si="339"/>
        <v>4.5446781929724001E-3</v>
      </c>
      <c r="AG425">
        <f t="shared" si="367"/>
        <v>13289.208283757942</v>
      </c>
      <c r="AH425">
        <f t="shared" si="368"/>
        <v>-14947.369067898782</v>
      </c>
      <c r="AJ425">
        <f t="shared" si="340"/>
        <v>55000</v>
      </c>
      <c r="AK425">
        <f t="shared" si="341"/>
        <v>39101.400949235634</v>
      </c>
      <c r="AL425">
        <v>1</v>
      </c>
      <c r="AM425">
        <f t="shared" si="342"/>
        <v>55.398208617588381</v>
      </c>
      <c r="AN425">
        <f t="shared" si="369"/>
        <v>723.50990524642259</v>
      </c>
      <c r="AO425">
        <f t="shared" si="370"/>
        <v>-979.75171849728952</v>
      </c>
      <c r="AQ425">
        <f t="shared" si="343"/>
        <v>1.0229026670580791E-2</v>
      </c>
      <c r="AR425">
        <f t="shared" si="344"/>
        <v>-5.6871853934428609</v>
      </c>
      <c r="AT425">
        <f t="shared" si="365"/>
        <v>-84872.52336738813</v>
      </c>
      <c r="AU425">
        <f t="shared" si="366"/>
        <v>-75731.088278658586</v>
      </c>
      <c r="AV425">
        <f t="shared" si="354"/>
        <v>-2.4130523777697674</v>
      </c>
      <c r="AW425">
        <f t="shared" si="355"/>
        <v>7510.7106698045027</v>
      </c>
      <c r="AX425">
        <f t="shared" si="356"/>
        <v>-24493.797946577626</v>
      </c>
      <c r="AY425">
        <f t="shared" si="364"/>
        <v>-1.2732614967937745</v>
      </c>
      <c r="BA425">
        <f t="shared" si="345"/>
        <v>4.4398945370997973</v>
      </c>
      <c r="BB425">
        <f t="shared" si="357"/>
        <v>12.947453084726735</v>
      </c>
      <c r="BC425">
        <f t="shared" si="358"/>
        <v>-1.1397908809759929</v>
      </c>
      <c r="BD425">
        <f t="shared" si="346"/>
        <v>-245.30520708204443</v>
      </c>
      <c r="BF425">
        <f t="shared" si="347"/>
        <v>-31.892592100998577</v>
      </c>
      <c r="BG425">
        <f t="shared" si="348"/>
        <v>-193.99717270800497</v>
      </c>
      <c r="BH425">
        <f t="shared" si="359"/>
        <v>-13.997172708004967</v>
      </c>
      <c r="BI425">
        <f t="shared" si="360"/>
        <v>-13.997172708004967</v>
      </c>
      <c r="BJ425">
        <f t="shared" si="349"/>
        <v>0</v>
      </c>
      <c r="BK425">
        <f t="shared" si="361"/>
        <v>0</v>
      </c>
      <c r="BM425">
        <f t="shared" si="362"/>
        <v>-44.840045185725316</v>
      </c>
      <c r="BN425">
        <f t="shared" si="350"/>
        <v>-128.69196562596056</v>
      </c>
      <c r="BQ425" s="75">
        <f t="shared" si="363"/>
        <v>29.849413885011874</v>
      </c>
    </row>
    <row r="426" spans="1:69">
      <c r="A426">
        <f t="shared" si="319"/>
        <v>1060000</v>
      </c>
      <c r="B426">
        <f t="shared" si="351"/>
        <v>1060</v>
      </c>
      <c r="C426">
        <f t="shared" si="320"/>
        <v>1.5920451109794871</v>
      </c>
      <c r="D426">
        <f t="shared" si="321"/>
        <v>0.89165783561661716</v>
      </c>
      <c r="F426">
        <f t="shared" si="322"/>
        <v>3.9712975185964309E-4</v>
      </c>
      <c r="G426">
        <f t="shared" si="323"/>
        <v>6.1193016462396848E-3</v>
      </c>
      <c r="H426">
        <f t="shared" si="324"/>
        <v>-3.1354733483537607</v>
      </c>
      <c r="J426">
        <f t="shared" si="325"/>
        <v>9</v>
      </c>
      <c r="M426">
        <f t="shared" si="326"/>
        <v>3.9818121592174122E-3</v>
      </c>
      <c r="N426">
        <f t="shared" si="327"/>
        <v>-1.5707963250000001</v>
      </c>
      <c r="O426">
        <f t="shared" si="328"/>
        <v>136.32415870144902</v>
      </c>
      <c r="P426">
        <f t="shared" si="329"/>
        <v>1.5634608040387137</v>
      </c>
      <c r="Q426">
        <f t="shared" si="330"/>
        <v>55.669741633768282</v>
      </c>
      <c r="R426">
        <f t="shared" si="331"/>
        <v>1.5528322810284538</v>
      </c>
      <c r="S426">
        <f t="shared" si="332"/>
        <v>0.81372646398333393</v>
      </c>
      <c r="T426">
        <f t="shared" si="333"/>
        <v>-0.62026154156406865</v>
      </c>
      <c r="U426">
        <f t="shared" si="334"/>
        <v>0.66818076889816491</v>
      </c>
      <c r="V426">
        <f t="shared" si="335"/>
        <v>-0.83903543906437683</v>
      </c>
      <c r="X426">
        <f t="shared" si="352"/>
        <v>-20.58448968137888</v>
      </c>
      <c r="Y426">
        <f t="shared" si="336"/>
        <v>-123.62227547028284</v>
      </c>
      <c r="Z426">
        <f t="shared" si="353"/>
        <v>56.377724529717156</v>
      </c>
      <c r="AC426">
        <v>1</v>
      </c>
      <c r="AD426">
        <f t="shared" si="337"/>
        <v>136.32049092362402</v>
      </c>
      <c r="AE426">
        <f t="shared" si="338"/>
        <v>-5.0843437060623413E-3</v>
      </c>
      <c r="AF426">
        <f t="shared" si="339"/>
        <v>4.5662169521808E-3</v>
      </c>
      <c r="AG426">
        <f t="shared" si="367"/>
        <v>13219.975400798976</v>
      </c>
      <c r="AH426">
        <f t="shared" si="368"/>
        <v>-14939.04022470334</v>
      </c>
      <c r="AJ426">
        <f t="shared" si="340"/>
        <v>55000</v>
      </c>
      <c r="AK426">
        <f t="shared" si="341"/>
        <v>39286.715645677505</v>
      </c>
      <c r="AL426">
        <v>1</v>
      </c>
      <c r="AM426">
        <f t="shared" si="342"/>
        <v>55.660759369330499</v>
      </c>
      <c r="AN426">
        <f t="shared" si="369"/>
        <v>723.34350697875664</v>
      </c>
      <c r="AO426">
        <f t="shared" si="370"/>
        <v>-975.13323763470055</v>
      </c>
      <c r="AQ426">
        <f t="shared" si="343"/>
        <v>1.0132754322414124E-2</v>
      </c>
      <c r="AR426">
        <f t="shared" si="344"/>
        <v>-5.6603592195869776</v>
      </c>
      <c r="AT426">
        <f t="shared" si="365"/>
        <v>-84426.379304795613</v>
      </c>
      <c r="AU426">
        <f t="shared" si="366"/>
        <v>-74981.183267035114</v>
      </c>
      <c r="AV426">
        <f t="shared" si="354"/>
        <v>-2.4153771648608133</v>
      </c>
      <c r="AW426">
        <f t="shared" si="355"/>
        <v>7498.299307816068</v>
      </c>
      <c r="AX426">
        <f t="shared" si="356"/>
        <v>-24434.752434720831</v>
      </c>
      <c r="AY426">
        <f t="shared" si="364"/>
        <v>-1.2730485025280558</v>
      </c>
      <c r="BA426">
        <f t="shared" si="345"/>
        <v>4.4177865219799966</v>
      </c>
      <c r="BB426">
        <f t="shared" si="357"/>
        <v>12.904094517869481</v>
      </c>
      <c r="BC426">
        <f t="shared" si="358"/>
        <v>-1.1423286623327575</v>
      </c>
      <c r="BD426">
        <f t="shared" si="346"/>
        <v>-245.45061124328015</v>
      </c>
      <c r="BF426">
        <f t="shared" si="347"/>
        <v>-31.993299416644025</v>
      </c>
      <c r="BG426">
        <f t="shared" si="348"/>
        <v>-194.01177027600383</v>
      </c>
      <c r="BH426">
        <f t="shared" si="359"/>
        <v>-14.01177027600383</v>
      </c>
      <c r="BI426">
        <f t="shared" si="360"/>
        <v>-14.01177027600383</v>
      </c>
      <c r="BJ426">
        <f t="shared" si="349"/>
        <v>0</v>
      </c>
      <c r="BK426">
        <f t="shared" si="361"/>
        <v>0</v>
      </c>
      <c r="BM426">
        <f t="shared" si="362"/>
        <v>-44.897393934513509</v>
      </c>
      <c r="BN426">
        <f t="shared" si="350"/>
        <v>-128.56115903272368</v>
      </c>
      <c r="BQ426" s="75">
        <f t="shared" si="363"/>
        <v>29.806055318154616</v>
      </c>
    </row>
    <row r="427" spans="1:69">
      <c r="A427">
        <f t="shared" si="319"/>
        <v>1065000</v>
      </c>
      <c r="B427">
        <f t="shared" si="351"/>
        <v>1065</v>
      </c>
      <c r="C427">
        <f t="shared" si="320"/>
        <v>1.5965961326520797</v>
      </c>
      <c r="D427">
        <f t="shared" si="321"/>
        <v>0.89395669684947476</v>
      </c>
      <c r="F427">
        <f t="shared" si="322"/>
        <v>3.9340819073139486E-4</v>
      </c>
      <c r="G427">
        <f t="shared" si="323"/>
        <v>6.0905505527340939E-3</v>
      </c>
      <c r="H427">
        <f t="shared" si="324"/>
        <v>-3.1355020994472662</v>
      </c>
      <c r="J427">
        <f t="shared" si="325"/>
        <v>9</v>
      </c>
      <c r="M427">
        <f t="shared" si="326"/>
        <v>3.963118205418269E-3</v>
      </c>
      <c r="N427">
        <f t="shared" si="327"/>
        <v>-1.5707963250000001</v>
      </c>
      <c r="O427">
        <f t="shared" si="328"/>
        <v>136.96716266589686</v>
      </c>
      <c r="P427">
        <f t="shared" si="329"/>
        <v>1.5634952418859438</v>
      </c>
      <c r="Q427">
        <f t="shared" si="330"/>
        <v>55.932250222011135</v>
      </c>
      <c r="R427">
        <f t="shared" si="331"/>
        <v>1.5529166012558386</v>
      </c>
      <c r="S427">
        <f t="shared" si="332"/>
        <v>0.81242973410531549</v>
      </c>
      <c r="T427">
        <f t="shared" si="333"/>
        <v>-0.62248901114708621</v>
      </c>
      <c r="U427">
        <f t="shared" si="334"/>
        <v>0.66643886179341094</v>
      </c>
      <c r="V427">
        <f t="shared" si="335"/>
        <v>-0.84137426111870706</v>
      </c>
      <c r="X427">
        <f t="shared" si="352"/>
        <v>-20.637142382122331</v>
      </c>
      <c r="Y427">
        <f t="shared" si="336"/>
        <v>-123.74703264279806</v>
      </c>
      <c r="Z427">
        <f t="shared" si="353"/>
        <v>56.252967357201939</v>
      </c>
      <c r="AC427">
        <v>1</v>
      </c>
      <c r="AD427">
        <f t="shared" si="337"/>
        <v>136.96351210722602</v>
      </c>
      <c r="AE427">
        <f t="shared" si="338"/>
        <v>-5.1324223389182617E-3</v>
      </c>
      <c r="AF427">
        <f t="shared" si="339"/>
        <v>4.5877557113891999E-3</v>
      </c>
      <c r="AG427">
        <f t="shared" si="367"/>
        <v>13151.137882929124</v>
      </c>
      <c r="AH427">
        <f t="shared" si="368"/>
        <v>-14930.436178738533</v>
      </c>
      <c r="AJ427">
        <f t="shared" si="340"/>
        <v>55000</v>
      </c>
      <c r="AK427">
        <f t="shared" si="341"/>
        <v>39472.030342119382</v>
      </c>
      <c r="AL427">
        <v>1</v>
      </c>
      <c r="AM427">
        <f t="shared" si="342"/>
        <v>55.923310121072632</v>
      </c>
      <c r="AN427">
        <f t="shared" si="369"/>
        <v>723.17944584396025</v>
      </c>
      <c r="AO427">
        <f t="shared" si="370"/>
        <v>-970.5580809978527</v>
      </c>
      <c r="AQ427">
        <f t="shared" si="343"/>
        <v>1.0037834731587694E-2</v>
      </c>
      <c r="AR427">
        <f t="shared" si="344"/>
        <v>-5.6337849322772513</v>
      </c>
      <c r="AT427">
        <f t="shared" si="365"/>
        <v>-83982.857427503113</v>
      </c>
      <c r="AU427">
        <f t="shared" si="366"/>
        <v>-74240.551697979346</v>
      </c>
      <c r="AV427">
        <f t="shared" si="354"/>
        <v>-2.4176899533869611</v>
      </c>
      <c r="AW427">
        <f t="shared" si="355"/>
        <v>7485.5285461432513</v>
      </c>
      <c r="AX427">
        <f t="shared" si="356"/>
        <v>-24375.948735998467</v>
      </c>
      <c r="AY427">
        <f t="shared" si="364"/>
        <v>-1.2728507617863978</v>
      </c>
      <c r="BA427">
        <f t="shared" si="345"/>
        <v>4.39589464495399</v>
      </c>
      <c r="BB427">
        <f t="shared" si="357"/>
        <v>12.860945505495767</v>
      </c>
      <c r="BC427">
        <f t="shared" si="358"/>
        <v>-1.1448391916005634</v>
      </c>
      <c r="BD427">
        <f t="shared" si="346"/>
        <v>-245.59445397483387</v>
      </c>
      <c r="BF427">
        <f t="shared" si="347"/>
        <v>-32.09343489317731</v>
      </c>
      <c r="BG427">
        <f t="shared" si="348"/>
        <v>-194.0255452773942</v>
      </c>
      <c r="BH427">
        <f t="shared" si="359"/>
        <v>-14.025545277394201</v>
      </c>
      <c r="BI427">
        <f t="shared" si="360"/>
        <v>-14.025545277394201</v>
      </c>
      <c r="BJ427">
        <f t="shared" si="349"/>
        <v>0</v>
      </c>
      <c r="BK427">
        <f t="shared" si="361"/>
        <v>0</v>
      </c>
      <c r="BM427">
        <f t="shared" si="362"/>
        <v>-44.954380398673081</v>
      </c>
      <c r="BN427">
        <f t="shared" si="350"/>
        <v>-128.43109130256033</v>
      </c>
      <c r="BQ427" s="75">
        <f t="shared" si="363"/>
        <v>29.762906305780902</v>
      </c>
    </row>
    <row r="428" spans="1:69">
      <c r="A428">
        <f t="shared" ref="A428:A433" si="371">A427+5000</f>
        <v>1070000</v>
      </c>
      <c r="B428">
        <f t="shared" si="351"/>
        <v>1070</v>
      </c>
      <c r="C428">
        <f t="shared" si="320"/>
        <v>1.6011555439656957</v>
      </c>
      <c r="D428">
        <f t="shared" si="321"/>
        <v>0.89624247774303289</v>
      </c>
      <c r="F428">
        <f t="shared" si="322"/>
        <v>3.8973870490005775E-4</v>
      </c>
      <c r="G428">
        <f t="shared" si="323"/>
        <v>6.0620684671296582E-3</v>
      </c>
      <c r="H428">
        <f t="shared" si="324"/>
        <v>-3.1355305815328705</v>
      </c>
      <c r="J428">
        <f t="shared" si="325"/>
        <v>9</v>
      </c>
      <c r="M428">
        <f t="shared" si="326"/>
        <v>3.9445989614677168E-3</v>
      </c>
      <c r="N428">
        <f t="shared" si="327"/>
        <v>-1.5707963250000001</v>
      </c>
      <c r="O428">
        <f t="shared" si="328"/>
        <v>137.61016679126496</v>
      </c>
      <c r="P428">
        <f t="shared" si="329"/>
        <v>1.5635293579012108</v>
      </c>
      <c r="Q428">
        <f t="shared" si="330"/>
        <v>56.194759204211351</v>
      </c>
      <c r="R428">
        <f t="shared" si="331"/>
        <v>1.5530001336944392</v>
      </c>
      <c r="S428">
        <f t="shared" si="332"/>
        <v>0.81113312517654212</v>
      </c>
      <c r="T428">
        <f t="shared" si="333"/>
        <v>-0.62470938179320734</v>
      </c>
      <c r="U428">
        <f t="shared" si="334"/>
        <v>0.66470240551163318</v>
      </c>
      <c r="V428">
        <f t="shared" si="335"/>
        <v>-0.84370090789338525</v>
      </c>
      <c r="X428">
        <f t="shared" si="352"/>
        <v>-20.689636991738581</v>
      </c>
      <c r="Y428">
        <f t="shared" si="336"/>
        <v>-123.87148309585594</v>
      </c>
      <c r="Z428">
        <f t="shared" si="353"/>
        <v>56.128516904144064</v>
      </c>
      <c r="AC428">
        <v>1</v>
      </c>
      <c r="AD428">
        <f t="shared" si="337"/>
        <v>137.60653329082803</v>
      </c>
      <c r="AE428">
        <f t="shared" si="338"/>
        <v>-5.1807272241640931E-3</v>
      </c>
      <c r="AF428">
        <f t="shared" si="339"/>
        <v>4.6092944705976007E-3</v>
      </c>
      <c r="AG428">
        <f t="shared" si="367"/>
        <v>13082.694620225489</v>
      </c>
      <c r="AH428">
        <f t="shared" si="368"/>
        <v>-14921.561775485819</v>
      </c>
      <c r="AJ428">
        <f t="shared" si="340"/>
        <v>55000</v>
      </c>
      <c r="AK428">
        <f t="shared" si="341"/>
        <v>39657.345038561252</v>
      </c>
      <c r="AL428">
        <v>1</v>
      </c>
      <c r="AM428">
        <f t="shared" si="342"/>
        <v>56.185860872814757</v>
      </c>
      <c r="AN428">
        <f t="shared" si="369"/>
        <v>723.01767828264644</v>
      </c>
      <c r="AO428">
        <f t="shared" si="370"/>
        <v>-966.02564201306006</v>
      </c>
      <c r="AQ428">
        <f t="shared" si="343"/>
        <v>9.9442426722208422E-3</v>
      </c>
      <c r="AR428">
        <f t="shared" si="344"/>
        <v>-5.6074590004386105</v>
      </c>
      <c r="AT428">
        <f t="shared" si="365"/>
        <v>-83541.948388438599</v>
      </c>
      <c r="AU428">
        <f t="shared" si="366"/>
        <v>-73509.057329517178</v>
      </c>
      <c r="AV428">
        <f t="shared" si="354"/>
        <v>-2.4199908099206304</v>
      </c>
      <c r="AW428">
        <f t="shared" si="355"/>
        <v>7472.4108718684729</v>
      </c>
      <c r="AX428">
        <f t="shared" si="356"/>
        <v>-24317.384108755203</v>
      </c>
      <c r="AY428">
        <f t="shared" si="364"/>
        <v>-1.2726678845195856</v>
      </c>
      <c r="BA428">
        <f t="shared" si="345"/>
        <v>4.3742159096685569</v>
      </c>
      <c r="BB428">
        <f t="shared" si="357"/>
        <v>12.818004316892079</v>
      </c>
      <c r="BC428">
        <f t="shared" si="358"/>
        <v>-1.1473229254010449</v>
      </c>
      <c r="BD428">
        <f t="shared" si="346"/>
        <v>-245.73676143919806</v>
      </c>
      <c r="BF428">
        <f t="shared" si="347"/>
        <v>-32.19300427251197</v>
      </c>
      <c r="BG428">
        <f t="shared" si="348"/>
        <v>-194.03851904681488</v>
      </c>
      <c r="BH428">
        <f t="shared" si="359"/>
        <v>-14.038519046814883</v>
      </c>
      <c r="BI428">
        <f t="shared" si="360"/>
        <v>-14.038519046814883</v>
      </c>
      <c r="BJ428">
        <f t="shared" si="349"/>
        <v>0</v>
      </c>
      <c r="BK428">
        <f t="shared" si="361"/>
        <v>0</v>
      </c>
      <c r="BM428">
        <f t="shared" si="362"/>
        <v>-45.011008589404049</v>
      </c>
      <c r="BN428">
        <f t="shared" si="350"/>
        <v>-128.30175760761685</v>
      </c>
      <c r="BQ428" s="75">
        <f t="shared" si="363"/>
        <v>29.719965117177217</v>
      </c>
    </row>
    <row r="429" spans="1:69">
      <c r="A429">
        <f t="shared" si="371"/>
        <v>1075000</v>
      </c>
      <c r="B429">
        <f t="shared" si="351"/>
        <v>1075</v>
      </c>
      <c r="C429">
        <f t="shared" si="320"/>
        <v>1.6057232734538056</v>
      </c>
      <c r="D429">
        <f t="shared" si="321"/>
        <v>0.89851526593702236</v>
      </c>
      <c r="F429">
        <f t="shared" si="322"/>
        <v>3.8612032718323233E-4</v>
      </c>
      <c r="G429">
        <f t="shared" si="323"/>
        <v>6.0338516301692699E-3</v>
      </c>
      <c r="H429">
        <f t="shared" si="324"/>
        <v>-3.1355587983698308</v>
      </c>
      <c r="J429">
        <f t="shared" si="325"/>
        <v>9</v>
      </c>
      <c r="M429">
        <f t="shared" si="326"/>
        <v>3.9262519895539132E-3</v>
      </c>
      <c r="N429">
        <f t="shared" si="327"/>
        <v>-1.5707963250000001</v>
      </c>
      <c r="O429">
        <f t="shared" si="328"/>
        <v>138.25317107530805</v>
      </c>
      <c r="P429">
        <f t="shared" si="329"/>
        <v>1.5635631565748775</v>
      </c>
      <c r="Q429">
        <f t="shared" si="330"/>
        <v>56.457268574873588</v>
      </c>
      <c r="R429">
        <f t="shared" si="331"/>
        <v>1.5530828893320268</v>
      </c>
      <c r="S429">
        <f t="shared" si="332"/>
        <v>0.80983667488103106</v>
      </c>
      <c r="T429">
        <f t="shared" si="333"/>
        <v>-0.62692266559629461</v>
      </c>
      <c r="U429">
        <f t="shared" si="334"/>
        <v>0.66297141373631319</v>
      </c>
      <c r="V429">
        <f t="shared" si="335"/>
        <v>-0.84601544921961991</v>
      </c>
      <c r="X429">
        <f t="shared" si="352"/>
        <v>-20.741974913841862</v>
      </c>
      <c r="Y429">
        <f t="shared" si="336"/>
        <v>-123.99562583058861</v>
      </c>
      <c r="Z429">
        <f t="shared" si="353"/>
        <v>56.004374169411392</v>
      </c>
      <c r="AC429">
        <v>1</v>
      </c>
      <c r="AD429">
        <f t="shared" si="337"/>
        <v>138.24955447443</v>
      </c>
      <c r="AE429">
        <f t="shared" si="338"/>
        <v>-5.2292583617998345E-3</v>
      </c>
      <c r="AF429">
        <f t="shared" si="339"/>
        <v>4.6308332298060006E-3</v>
      </c>
      <c r="AG429">
        <f t="shared" si="367"/>
        <v>13014.644468333738</v>
      </c>
      <c r="AH429">
        <f t="shared" si="368"/>
        <v>-14912.421800769354</v>
      </c>
      <c r="AJ429">
        <f t="shared" si="340"/>
        <v>55000</v>
      </c>
      <c r="AK429">
        <f t="shared" si="341"/>
        <v>39842.65973500313</v>
      </c>
      <c r="AL429">
        <v>1</v>
      </c>
      <c r="AM429">
        <f t="shared" si="342"/>
        <v>56.448411624556876</v>
      </c>
      <c r="AN429">
        <f t="shared" si="369"/>
        <v>722.85816174543766</v>
      </c>
      <c r="AO429">
        <f t="shared" si="370"/>
        <v>-961.53532537383671</v>
      </c>
      <c r="AQ429">
        <f t="shared" si="343"/>
        <v>9.8519535037101136E-3</v>
      </c>
      <c r="AR429">
        <f t="shared" si="344"/>
        <v>-5.5813779586893721</v>
      </c>
      <c r="AT429">
        <f t="shared" si="365"/>
        <v>-83103.642677323602</v>
      </c>
      <c r="AU429">
        <f t="shared" si="366"/>
        <v>-72786.56626194538</v>
      </c>
      <c r="AV429">
        <f t="shared" si="354"/>
        <v>-2.4222798008986364</v>
      </c>
      <c r="AW429">
        <f t="shared" si="355"/>
        <v>7458.9584269050665</v>
      </c>
      <c r="AX429">
        <f t="shared" si="356"/>
        <v>-24259.055896667443</v>
      </c>
      <c r="AY429">
        <f t="shared" si="364"/>
        <v>-1.2724994905633553</v>
      </c>
      <c r="BA429">
        <f t="shared" si="345"/>
        <v>4.3527473689433496</v>
      </c>
      <c r="BB429">
        <f t="shared" si="357"/>
        <v>12.775269233532827</v>
      </c>
      <c r="BC429">
        <f t="shared" si="358"/>
        <v>-1.1497803103352811</v>
      </c>
      <c r="BD429">
        <f t="shared" si="346"/>
        <v>-245.87755922472971</v>
      </c>
      <c r="BF429">
        <f t="shared" si="347"/>
        <v>-32.292013225058582</v>
      </c>
      <c r="BG429">
        <f t="shared" si="348"/>
        <v>-194.0507123666259</v>
      </c>
      <c r="BH429">
        <f t="shared" si="359"/>
        <v>-14.050712366625902</v>
      </c>
      <c r="BI429">
        <f t="shared" si="360"/>
        <v>-14.050712366625902</v>
      </c>
      <c r="BJ429">
        <f t="shared" si="349"/>
        <v>0</v>
      </c>
      <c r="BK429">
        <f t="shared" si="361"/>
        <v>0</v>
      </c>
      <c r="BM429">
        <f t="shared" si="362"/>
        <v>-45.067282458591407</v>
      </c>
      <c r="BN429">
        <f t="shared" si="350"/>
        <v>-128.17315314189619</v>
      </c>
      <c r="BQ429" s="75">
        <f t="shared" si="363"/>
        <v>29.677230033817963</v>
      </c>
    </row>
    <row r="430" spans="1:69">
      <c r="A430">
        <f t="shared" si="371"/>
        <v>1080000</v>
      </c>
      <c r="B430">
        <f t="shared" si="351"/>
        <v>1080</v>
      </c>
      <c r="C430">
        <f t="shared" si="320"/>
        <v>1.6102992503311124</v>
      </c>
      <c r="D430">
        <f t="shared" si="321"/>
        <v>0.90077514861462937</v>
      </c>
      <c r="F430">
        <f t="shared" si="322"/>
        <v>3.8255211275147345E-4</v>
      </c>
      <c r="G430">
        <f t="shared" si="323"/>
        <v>6.0058963523418598E-3</v>
      </c>
      <c r="H430">
        <f t="shared" si="324"/>
        <v>-3.1355867536476585</v>
      </c>
      <c r="J430">
        <f t="shared" si="325"/>
        <v>9</v>
      </c>
      <c r="M430">
        <f t="shared" si="326"/>
        <v>3.9080748970096819E-3</v>
      </c>
      <c r="N430">
        <f t="shared" si="327"/>
        <v>-1.5707963250000001</v>
      </c>
      <c r="O430">
        <f t="shared" si="328"/>
        <v>138.89617551582245</v>
      </c>
      <c r="P430">
        <f t="shared" si="329"/>
        <v>1.5635966423141594</v>
      </c>
      <c r="Q430">
        <f t="shared" si="330"/>
        <v>56.719778328604228</v>
      </c>
      <c r="R430">
        <f t="shared" si="331"/>
        <v>1.5531648789530013</v>
      </c>
      <c r="S430">
        <f t="shared" si="332"/>
        <v>0.80854042047290497</v>
      </c>
      <c r="T430">
        <f t="shared" si="333"/>
        <v>-0.62912887485085978</v>
      </c>
      <c r="U430">
        <f t="shared" si="334"/>
        <v>0.66124589930939204</v>
      </c>
      <c r="V430">
        <f t="shared" si="335"/>
        <v>-0.84831795472266824</v>
      </c>
      <c r="X430">
        <f t="shared" si="352"/>
        <v>-20.794157528427483</v>
      </c>
      <c r="Y430">
        <f t="shared" si="336"/>
        <v>-124.11945988640231</v>
      </c>
      <c r="Z430">
        <f t="shared" si="353"/>
        <v>55.880540113597689</v>
      </c>
      <c r="AC430">
        <v>1</v>
      </c>
      <c r="AD430">
        <f t="shared" si="337"/>
        <v>138.89257565803203</v>
      </c>
      <c r="AE430">
        <f t="shared" si="338"/>
        <v>-5.2780157518254852E-3</v>
      </c>
      <c r="AF430">
        <f t="shared" si="339"/>
        <v>4.6523719890144005E-3</v>
      </c>
      <c r="AG430">
        <f t="shared" si="367"/>
        <v>12946.986249630831</v>
      </c>
      <c r="AH430">
        <f t="shared" si="368"/>
        <v>-14903.02098111202</v>
      </c>
      <c r="AJ430">
        <f t="shared" si="340"/>
        <v>55000</v>
      </c>
      <c r="AK430">
        <f t="shared" si="341"/>
        <v>40027.974431445007</v>
      </c>
      <c r="AL430">
        <v>1</v>
      </c>
      <c r="AM430">
        <f t="shared" si="342"/>
        <v>56.710962376299008</v>
      </c>
      <c r="AN430">
        <f t="shared" si="369"/>
        <v>722.70085466499347</v>
      </c>
      <c r="AO430">
        <f t="shared" si="370"/>
        <v>-957.0865467805728</v>
      </c>
      <c r="AQ430">
        <f t="shared" si="343"/>
        <v>9.7609431545094324E-3</v>
      </c>
      <c r="AR430">
        <f t="shared" si="344"/>
        <v>-5.5555384058205881</v>
      </c>
      <c r="AT430">
        <f t="shared" si="365"/>
        <v>-82667.930626513</v>
      </c>
      <c r="AU430">
        <f t="shared" si="366"/>
        <v>-72072.946890082239</v>
      </c>
      <c r="AV430">
        <f t="shared" si="354"/>
        <v>-2.4245569926146935</v>
      </c>
      <c r="AW430">
        <f t="shared" si="355"/>
        <v>7445.1830177488891</v>
      </c>
      <c r="AX430">
        <f t="shared" si="356"/>
        <v>-24200.961525651324</v>
      </c>
      <c r="AY430">
        <f t="shared" si="364"/>
        <v>-1.2723452093651284</v>
      </c>
      <c r="BA430">
        <f t="shared" si="345"/>
        <v>4.3314861240125335</v>
      </c>
      <c r="BB430">
        <f t="shared" si="357"/>
        <v>12.732738549353877</v>
      </c>
      <c r="BC430">
        <f t="shared" si="358"/>
        <v>-1.1522117832495651</v>
      </c>
      <c r="BD430">
        <f t="shared" si="346"/>
        <v>-246.01687236087776</v>
      </c>
      <c r="BF430">
        <f t="shared" si="347"/>
        <v>-32.39046735052856</v>
      </c>
      <c r="BG430">
        <f t="shared" si="348"/>
        <v>-194.06214548244085</v>
      </c>
      <c r="BH430">
        <f t="shared" si="359"/>
        <v>-14.062145482440854</v>
      </c>
      <c r="BI430">
        <f t="shared" si="360"/>
        <v>-14.062145482440854</v>
      </c>
      <c r="BJ430">
        <f t="shared" si="349"/>
        <v>0</v>
      </c>
      <c r="BK430">
        <f t="shared" si="361"/>
        <v>0</v>
      </c>
      <c r="BM430">
        <f t="shared" si="362"/>
        <v>-45.123205899882436</v>
      </c>
      <c r="BN430">
        <f t="shared" si="350"/>
        <v>-128.0452731215631</v>
      </c>
      <c r="BQ430" s="75">
        <f t="shared" si="363"/>
        <v>29.634699349639014</v>
      </c>
    </row>
    <row r="431" spans="1:69">
      <c r="A431">
        <f t="shared" si="371"/>
        <v>1085000</v>
      </c>
      <c r="B431">
        <f t="shared" si="351"/>
        <v>1085</v>
      </c>
      <c r="C431">
        <f t="shared" si="320"/>
        <v>1.6148834044875489</v>
      </c>
      <c r="D431">
        <f t="shared" si="321"/>
        <v>0.90302221249904602</v>
      </c>
      <c r="F431">
        <f t="shared" si="322"/>
        <v>3.7903313851113976E-4</v>
      </c>
      <c r="G431">
        <f t="shared" si="323"/>
        <v>5.978199012271773E-3</v>
      </c>
      <c r="H431">
        <f t="shared" si="324"/>
        <v>-3.1356144509877284</v>
      </c>
      <c r="J431">
        <f t="shared" si="325"/>
        <v>9</v>
      </c>
      <c r="M431">
        <f t="shared" si="326"/>
        <v>3.8900653352723102E-3</v>
      </c>
      <c r="N431">
        <f t="shared" si="327"/>
        <v>-1.5707963250000001</v>
      </c>
      <c r="O431">
        <f t="shared" si="328"/>
        <v>139.53918011064502</v>
      </c>
      <c r="P431">
        <f t="shared" si="329"/>
        <v>1.5636298194450402</v>
      </c>
      <c r="Q431">
        <f t="shared" si="330"/>
        <v>56.982288460109032</v>
      </c>
      <c r="R431">
        <f t="shared" si="331"/>
        <v>1.5532461131430753</v>
      </c>
      <c r="S431">
        <f t="shared" si="332"/>
        <v>0.80724439877812459</v>
      </c>
      <c r="T431">
        <f t="shared" si="333"/>
        <v>-0.63132802204841942</v>
      </c>
      <c r="U431">
        <f t="shared" si="334"/>
        <v>0.65952587424832088</v>
      </c>
      <c r="V431">
        <f t="shared" si="335"/>
        <v>-0.85060849381603676</v>
      </c>
      <c r="X431">
        <f t="shared" si="352"/>
        <v>-20.846186192374766</v>
      </c>
      <c r="Y431">
        <f t="shared" si="336"/>
        <v>-124.24298434034856</v>
      </c>
      <c r="Z431">
        <f t="shared" si="353"/>
        <v>55.757015659651444</v>
      </c>
      <c r="AC431">
        <v>1</v>
      </c>
      <c r="AD431">
        <f t="shared" si="337"/>
        <v>139.535596841634</v>
      </c>
      <c r="AE431">
        <f t="shared" si="338"/>
        <v>-5.3269993942410467E-3</v>
      </c>
      <c r="AF431">
        <f t="shared" si="339"/>
        <v>4.6739107482228004E-3</v>
      </c>
      <c r="AG431">
        <f t="shared" si="367"/>
        <v>12879.718754363879</v>
      </c>
      <c r="AH431">
        <f t="shared" si="368"/>
        <v>-14893.363984102587</v>
      </c>
      <c r="AJ431">
        <f t="shared" si="340"/>
        <v>55000</v>
      </c>
      <c r="AK431">
        <f t="shared" si="341"/>
        <v>40213.289127886877</v>
      </c>
      <c r="AL431">
        <v>1</v>
      </c>
      <c r="AM431">
        <f t="shared" si="342"/>
        <v>56.973513128041134</v>
      </c>
      <c r="AN431">
        <f t="shared" si="369"/>
        <v>722.54571642894325</v>
      </c>
      <c r="AO431">
        <f t="shared" si="370"/>
        <v>-952.678732687398</v>
      </c>
      <c r="AQ431">
        <f t="shared" si="343"/>
        <v>9.6711881064322647E-3</v>
      </c>
      <c r="AR431">
        <f t="shared" si="344"/>
        <v>-5.5299370033174373</v>
      </c>
      <c r="AT431">
        <f t="shared" si="365"/>
        <v>-82234.802416732709</v>
      </c>
      <c r="AU431">
        <f t="shared" si="366"/>
        <v>-71368.069856706206</v>
      </c>
      <c r="AV431">
        <f t="shared" si="354"/>
        <v>-2.4268224512121712</v>
      </c>
      <c r="AW431">
        <f t="shared" si="355"/>
        <v>7431.0961249288202</v>
      </c>
      <c r="AX431">
        <f t="shared" si="356"/>
        <v>-24143.098500881017</v>
      </c>
      <c r="AY431">
        <f t="shared" si="364"/>
        <v>-1.2722046797190483</v>
      </c>
      <c r="BA431">
        <f t="shared" si="345"/>
        <v>4.3104293237676812</v>
      </c>
      <c r="BB431">
        <f t="shared" si="357"/>
        <v>12.690410570998765</v>
      </c>
      <c r="BC431">
        <f t="shared" si="358"/>
        <v>-1.1546177714931229</v>
      </c>
      <c r="BD431">
        <f t="shared" si="346"/>
        <v>-246.15472533294923</v>
      </c>
      <c r="BF431">
        <f t="shared" si="347"/>
        <v>-32.488372178741969</v>
      </c>
      <c r="BG431">
        <f t="shared" si="348"/>
        <v>-194.07283811818343</v>
      </c>
      <c r="BH431">
        <f t="shared" si="359"/>
        <v>-14.072838118183427</v>
      </c>
      <c r="BI431">
        <f t="shared" si="360"/>
        <v>-14.072838118183427</v>
      </c>
      <c r="BJ431">
        <f t="shared" si="349"/>
        <v>0</v>
      </c>
      <c r="BK431">
        <f t="shared" si="361"/>
        <v>0</v>
      </c>
      <c r="BM431">
        <f t="shared" si="362"/>
        <v>-45.178782749740733</v>
      </c>
      <c r="BN431">
        <f t="shared" si="350"/>
        <v>-127.91811278523421</v>
      </c>
      <c r="BQ431" s="75">
        <f t="shared" si="363"/>
        <v>29.592371371283903</v>
      </c>
    </row>
    <row r="432" spans="1:69">
      <c r="A432">
        <f t="shared" si="371"/>
        <v>1090000</v>
      </c>
      <c r="B432">
        <f t="shared" si="351"/>
        <v>1090</v>
      </c>
      <c r="C432">
        <f t="shared" si="320"/>
        <v>1.6194756664822927</v>
      </c>
      <c r="D432">
        <f t="shared" si="321"/>
        <v>0.90525654385023613</v>
      </c>
      <c r="F432">
        <f t="shared" si="322"/>
        <v>3.7556250250703291E-4</v>
      </c>
      <c r="G432">
        <f t="shared" si="323"/>
        <v>5.9507560551525767E-3</v>
      </c>
      <c r="H432">
        <f t="shared" si="324"/>
        <v>-3.1356418939448476</v>
      </c>
      <c r="J432">
        <f t="shared" si="325"/>
        <v>9</v>
      </c>
      <c r="M432">
        <f t="shared" si="326"/>
        <v>3.8722209988719782E-3</v>
      </c>
      <c r="N432">
        <f t="shared" si="327"/>
        <v>-1.5707963250000001</v>
      </c>
      <c r="O432">
        <f t="shared" si="328"/>
        <v>140.1821848576524</v>
      </c>
      <c r="P432">
        <f t="shared" si="329"/>
        <v>1.5636626922141339</v>
      </c>
      <c r="Q432">
        <f t="shared" si="330"/>
        <v>57.244798964190878</v>
      </c>
      <c r="R432">
        <f t="shared" si="331"/>
        <v>1.5533266022938275</v>
      </c>
      <c r="S432">
        <f t="shared" si="332"/>
        <v>0.80594864619626794</v>
      </c>
      <c r="T432">
        <f t="shared" si="333"/>
        <v>-0.63352011987387957</v>
      </c>
      <c r="U432">
        <f t="shared" si="334"/>
        <v>0.65781134976287459</v>
      </c>
      <c r="V432">
        <f t="shared" si="335"/>
        <v>-0.85288713569588193</v>
      </c>
      <c r="X432">
        <f t="shared" si="352"/>
        <v>-20.898062239937943</v>
      </c>
      <c r="Y432">
        <f t="shared" si="336"/>
        <v>-124.36619830650359</v>
      </c>
      <c r="Z432">
        <f t="shared" si="353"/>
        <v>55.633801693496409</v>
      </c>
      <c r="AC432">
        <v>1</v>
      </c>
      <c r="AD432">
        <f t="shared" si="337"/>
        <v>140.17861802523601</v>
      </c>
      <c r="AE432">
        <f t="shared" si="338"/>
        <v>-5.3762092890465183E-3</v>
      </c>
      <c r="AF432">
        <f t="shared" si="339"/>
        <v>4.6954495074312003E-3</v>
      </c>
      <c r="AG432">
        <f t="shared" si="367"/>
        <v>12812.840741765496</v>
      </c>
      <c r="AH432">
        <f t="shared" si="368"/>
        <v>-14883.455418773307</v>
      </c>
      <c r="AJ432">
        <f t="shared" si="340"/>
        <v>55000</v>
      </c>
      <c r="AK432">
        <f t="shared" si="341"/>
        <v>40398.603824328755</v>
      </c>
      <c r="AL432">
        <v>1</v>
      </c>
      <c r="AM432">
        <f t="shared" si="342"/>
        <v>57.236063879783252</v>
      </c>
      <c r="AN432">
        <f t="shared" si="369"/>
        <v>722.39270735367904</v>
      </c>
      <c r="AO432">
        <f t="shared" si="370"/>
        <v>-948.31132005599159</v>
      </c>
      <c r="AQ432">
        <f t="shared" si="343"/>
        <v>9.5826653794567045E-3</v>
      </c>
      <c r="AR432">
        <f t="shared" si="344"/>
        <v>-5.5045704739213148</v>
      </c>
      <c r="AT432">
        <f t="shared" si="365"/>
        <v>-81804.248082715145</v>
      </c>
      <c r="AU432">
        <f t="shared" si="366"/>
        <v>-70671.808007146596</v>
      </c>
      <c r="AV432">
        <f t="shared" si="354"/>
        <v>-2.4290762426770836</v>
      </c>
      <c r="AW432">
        <f t="shared" si="355"/>
        <v>7416.7089121667823</v>
      </c>
      <c r="AX432">
        <f t="shared" si="356"/>
        <v>-24085.464403913214</v>
      </c>
      <c r="AY432">
        <f t="shared" si="364"/>
        <v>-1.2720775495090408</v>
      </c>
      <c r="BA432">
        <f t="shared" si="345"/>
        <v>4.2895741640029419</v>
      </c>
      <c r="BB432">
        <f t="shared" si="357"/>
        <v>12.648283618039295</v>
      </c>
      <c r="BC432">
        <f t="shared" si="358"/>
        <v>-1.1569986931680427</v>
      </c>
      <c r="BD432">
        <f t="shared" si="346"/>
        <v>-246.29114209642924</v>
      </c>
      <c r="BF432">
        <f t="shared" si="347"/>
        <v>-32.585733170438111</v>
      </c>
      <c r="BG432">
        <f t="shared" si="348"/>
        <v>-194.08280949068228</v>
      </c>
      <c r="BH432">
        <f t="shared" si="359"/>
        <v>-14.08280949068228</v>
      </c>
      <c r="BI432">
        <f t="shared" si="360"/>
        <v>-14.08280949068228</v>
      </c>
      <c r="BJ432">
        <f t="shared" si="349"/>
        <v>0</v>
      </c>
      <c r="BK432">
        <f t="shared" si="361"/>
        <v>0</v>
      </c>
      <c r="BM432">
        <f t="shared" si="362"/>
        <v>-45.234016788477412</v>
      </c>
      <c r="BN432">
        <f t="shared" si="350"/>
        <v>-127.79166739425307</v>
      </c>
      <c r="BQ432" s="75">
        <f t="shared" si="363"/>
        <v>29.550244418324432</v>
      </c>
    </row>
    <row r="433" spans="1:69">
      <c r="A433">
        <f t="shared" si="371"/>
        <v>1095000</v>
      </c>
      <c r="B433">
        <f t="shared" si="351"/>
        <v>1095</v>
      </c>
      <c r="C433">
        <f t="shared" si="320"/>
        <v>1.6240759675378031</v>
      </c>
      <c r="D433">
        <f t="shared" si="321"/>
        <v>0.90747822846191373</v>
      </c>
      <c r="F433">
        <f t="shared" si="322"/>
        <v>3.7213932334410617E-4</v>
      </c>
      <c r="G433">
        <f t="shared" si="323"/>
        <v>5.9235639912239048E-3</v>
      </c>
      <c r="H433">
        <f t="shared" si="324"/>
        <v>-3.1356690860087761</v>
      </c>
      <c r="J433">
        <f t="shared" si="325"/>
        <v>9</v>
      </c>
      <c r="M433">
        <f t="shared" si="326"/>
        <v>3.8545396244479063E-3</v>
      </c>
      <c r="N433">
        <f t="shared" si="327"/>
        <v>-1.5707963250000001</v>
      </c>
      <c r="O433">
        <f t="shared" si="328"/>
        <v>140.82518975475995</v>
      </c>
      <c r="P433">
        <f t="shared" si="329"/>
        <v>1.5636952647904983</v>
      </c>
      <c r="Q433">
        <f t="shared" si="330"/>
        <v>57.507309835747527</v>
      </c>
      <c r="R433">
        <f t="shared" si="331"/>
        <v>1.5534063566071328</v>
      </c>
      <c r="S433">
        <f t="shared" si="332"/>
        <v>0.80465319870235819</v>
      </c>
      <c r="T433">
        <f t="shared" si="333"/>
        <v>-0.63570518120194874</v>
      </c>
      <c r="U433">
        <f t="shared" si="334"/>
        <v>0.65610233627173298</v>
      </c>
      <c r="V433">
        <f t="shared" si="335"/>
        <v>-0.85515394933560496</v>
      </c>
      <c r="X433">
        <f t="shared" si="352"/>
        <v>-20.949786983225337</v>
      </c>
      <c r="Y433">
        <f t="shared" si="336"/>
        <v>-124.48910093535561</v>
      </c>
      <c r="Z433">
        <f t="shared" si="353"/>
        <v>55.510899064644391</v>
      </c>
      <c r="AC433">
        <v>1</v>
      </c>
      <c r="AD433">
        <f t="shared" si="337"/>
        <v>140.82163920883804</v>
      </c>
      <c r="AE433">
        <f t="shared" si="338"/>
        <v>-5.4256454362418991E-3</v>
      </c>
      <c r="AF433">
        <f t="shared" si="339"/>
        <v>4.7169882666396002E-3</v>
      </c>
      <c r="AG433">
        <f t="shared" si="367"/>
        <v>12746.350941145814</v>
      </c>
      <c r="AH433">
        <f t="shared" si="368"/>
        <v>-14873.299835987433</v>
      </c>
      <c r="AJ433">
        <f t="shared" si="340"/>
        <v>55000</v>
      </c>
      <c r="AK433">
        <f t="shared" si="341"/>
        <v>40583.918520770632</v>
      </c>
      <c r="AL433">
        <v>1</v>
      </c>
      <c r="AM433">
        <f t="shared" si="342"/>
        <v>57.498614631525385</v>
      </c>
      <c r="AN433">
        <f t="shared" si="369"/>
        <v>722.24178865898807</v>
      </c>
      <c r="AO433">
        <f t="shared" si="370"/>
        <v>-943.98375611612664</v>
      </c>
      <c r="AQ433">
        <f t="shared" si="343"/>
        <v>9.495352517015089E-3</v>
      </c>
      <c r="AR433">
        <f t="shared" si="344"/>
        <v>-5.4794356002313132</v>
      </c>
      <c r="AT433">
        <f t="shared" si="365"/>
        <v>-81376.257518732324</v>
      </c>
      <c r="AU433">
        <f t="shared" si="366"/>
        <v>-69984.036344990236</v>
      </c>
      <c r="AV433">
        <f t="shared" si="354"/>
        <v>-2.4313184328313153</v>
      </c>
      <c r="AW433">
        <f t="shared" si="355"/>
        <v>7402.0322352571948</v>
      </c>
      <c r="AX433">
        <f t="shared" si="356"/>
        <v>-24028.056889914144</v>
      </c>
      <c r="AY433">
        <f t="shared" si="364"/>
        <v>-1.2719634754596438</v>
      </c>
      <c r="BA433">
        <f t="shared" si="345"/>
        <v>4.2689178866633268</v>
      </c>
      <c r="BB433">
        <f t="shared" si="357"/>
        <v>12.606356023172015</v>
      </c>
      <c r="BC433">
        <f t="shared" si="358"/>
        <v>-1.1593549573716715</v>
      </c>
      <c r="BD433">
        <f t="shared" si="346"/>
        <v>-246.42614609086917</v>
      </c>
      <c r="BF433">
        <f t="shared" si="347"/>
        <v>-32.682555718088054</v>
      </c>
      <c r="BG433">
        <f t="shared" si="348"/>
        <v>-194.09207832381961</v>
      </c>
      <c r="BH433">
        <f t="shared" si="359"/>
        <v>-14.092078323819607</v>
      </c>
      <c r="BI433">
        <f t="shared" si="360"/>
        <v>-14.092078323819607</v>
      </c>
      <c r="BJ433">
        <f t="shared" si="349"/>
        <v>0</v>
      </c>
      <c r="BK433">
        <f t="shared" si="361"/>
        <v>0</v>
      </c>
      <c r="BM433">
        <f t="shared" si="362"/>
        <v>-45.288911741260065</v>
      </c>
      <c r="BN433">
        <f t="shared" si="350"/>
        <v>-127.66593223295045</v>
      </c>
      <c r="BQ433" s="75">
        <f t="shared" si="363"/>
        <v>29.508316823457154</v>
      </c>
    </row>
    <row r="434" spans="1:69">
      <c r="A434">
        <f>A433+5000</f>
        <v>1100000</v>
      </c>
      <c r="B434">
        <f t="shared" si="351"/>
        <v>1100</v>
      </c>
      <c r="C434">
        <f t="shared" si="320"/>
        <v>1.6286842395338799</v>
      </c>
      <c r="D434">
        <f t="shared" si="321"/>
        <v>0.9096873516587245</v>
      </c>
      <c r="F434">
        <f t="shared" si="322"/>
        <v>3.6876273962754689E-4</v>
      </c>
      <c r="G434">
        <f t="shared" si="323"/>
        <v>5.896619394289925E-3</v>
      </c>
      <c r="H434">
        <f t="shared" si="324"/>
        <v>-3.1356960306057102</v>
      </c>
      <c r="J434">
        <f t="shared" si="325"/>
        <v>9</v>
      </c>
      <c r="M434">
        <f t="shared" si="326"/>
        <v>3.8370189897913246E-3</v>
      </c>
      <c r="N434">
        <f t="shared" si="327"/>
        <v>-1.5707963250000001</v>
      </c>
      <c r="O434">
        <f t="shared" si="328"/>
        <v>141.46819479992098</v>
      </c>
      <c r="P434">
        <f t="shared" si="329"/>
        <v>1.5637275412673957</v>
      </c>
      <c r="Q434">
        <f t="shared" si="330"/>
        <v>57.769821069769463</v>
      </c>
      <c r="R434">
        <f t="shared" si="331"/>
        <v>1.5534853860994706</v>
      </c>
      <c r="S434">
        <f t="shared" si="332"/>
        <v>0.80335809184873719</v>
      </c>
      <c r="T434">
        <f t="shared" si="333"/>
        <v>-0.63788321909358037</v>
      </c>
      <c r="U434">
        <f t="shared" si="334"/>
        <v>0.65439884341882559</v>
      </c>
      <c r="V434">
        <f t="shared" si="335"/>
        <v>-0.85740900348064053</v>
      </c>
      <c r="X434">
        <f t="shared" si="352"/>
        <v>-21.001361712667258</v>
      </c>
      <c r="Y434">
        <f t="shared" si="336"/>
        <v>-124.6116914132013</v>
      </c>
      <c r="Z434">
        <f t="shared" si="353"/>
        <v>55.388308586798701</v>
      </c>
      <c r="AC434">
        <v>1</v>
      </c>
      <c r="AD434">
        <f t="shared" si="337"/>
        <v>141.46466039244001</v>
      </c>
      <c r="AE434">
        <f t="shared" si="338"/>
        <v>-5.4753078358271918E-3</v>
      </c>
      <c r="AF434">
        <f t="shared" si="339"/>
        <v>4.7385270258480001E-3</v>
      </c>
      <c r="AG434">
        <f t="shared" si="367"/>
        <v>12680.248052961491</v>
      </c>
      <c r="AH434">
        <f t="shared" si="368"/>
        <v>-14862.901728836043</v>
      </c>
      <c r="AJ434">
        <f t="shared" si="340"/>
        <v>55000</v>
      </c>
      <c r="AK434">
        <f t="shared" si="341"/>
        <v>40769.233217212502</v>
      </c>
      <c r="AL434">
        <v>1</v>
      </c>
      <c r="AM434">
        <f t="shared" si="342"/>
        <v>57.76116538326751</v>
      </c>
      <c r="AN434">
        <f t="shared" si="369"/>
        <v>722.09292244348728</v>
      </c>
      <c r="AO434">
        <f t="shared" si="370"/>
        <v>-939.6954981327292</v>
      </c>
      <c r="AQ434">
        <f t="shared" si="343"/>
        <v>9.4092275717506408E-3</v>
      </c>
      <c r="AR434">
        <f t="shared" si="344"/>
        <v>-5.4545292233438465</v>
      </c>
      <c r="AT434">
        <f t="shared" si="365"/>
        <v>-80950.820484027412</v>
      </c>
      <c r="AU434">
        <f t="shared" si="366"/>
        <v>-69304.631988870562</v>
      </c>
      <c r="AV434">
        <f t="shared" si="354"/>
        <v>-2.4335490873260808</v>
      </c>
      <c r="AW434">
        <f t="shared" si="355"/>
        <v>7387.0766506755381</v>
      </c>
      <c r="AX434">
        <f t="shared" si="356"/>
        <v>-23970.873684985392</v>
      </c>
      <c r="AY434">
        <f t="shared" si="364"/>
        <v>-1.2718621228943505</v>
      </c>
      <c r="BA434">
        <f t="shared" si="345"/>
        <v>4.2484577790969533</v>
      </c>
      <c r="BB434">
        <f t="shared" si="357"/>
        <v>12.564626132392132</v>
      </c>
      <c r="BC434">
        <f t="shared" si="358"/>
        <v>-1.1616869644317303</v>
      </c>
      <c r="BD434">
        <f t="shared" si="346"/>
        <v>-246.55976025335792</v>
      </c>
      <c r="BF434">
        <f t="shared" si="347"/>
        <v>-32.778845146708036</v>
      </c>
      <c r="BG434">
        <f t="shared" si="348"/>
        <v>-194.10066286224884</v>
      </c>
      <c r="BH434">
        <f t="shared" si="359"/>
        <v>-14.100662862248839</v>
      </c>
      <c r="BI434">
        <f t="shared" si="360"/>
        <v>-14.100662862248839</v>
      </c>
      <c r="BJ434">
        <f t="shared" si="349"/>
        <v>0</v>
      </c>
      <c r="BK434">
        <f t="shared" si="361"/>
        <v>0</v>
      </c>
      <c r="BM434">
        <f t="shared" si="362"/>
        <v>-45.343471279100172</v>
      </c>
      <c r="BN434">
        <f t="shared" si="350"/>
        <v>-127.54090260889089</v>
      </c>
      <c r="BQ434" s="75">
        <f t="shared" si="363"/>
        <v>29.46658693267727</v>
      </c>
    </row>
    <row r="435" spans="1:69">
      <c r="A435">
        <f t="shared" ref="A435:A472" si="372">A434+5000</f>
        <v>1105000</v>
      </c>
      <c r="B435">
        <f t="shared" si="351"/>
        <v>1105</v>
      </c>
      <c r="C435">
        <f t="shared" si="320"/>
        <v>1.6333004150017445</v>
      </c>
      <c r="D435">
        <f t="shared" si="321"/>
        <v>0.91188399829362876</v>
      </c>
      <c r="F435">
        <f t="shared" si="322"/>
        <v>3.6543190942057221E-4</v>
      </c>
      <c r="G435">
        <f t="shared" si="323"/>
        <v>5.869918900278148E-3</v>
      </c>
      <c r="H435">
        <f t="shared" si="324"/>
        <v>-3.135722731099722</v>
      </c>
      <c r="J435">
        <f t="shared" si="325"/>
        <v>9</v>
      </c>
      <c r="M435">
        <f t="shared" si="326"/>
        <v>3.8196569129144405E-3</v>
      </c>
      <c r="N435">
        <f t="shared" si="327"/>
        <v>-1.5707963250000001</v>
      </c>
      <c r="O435">
        <f t="shared" si="328"/>
        <v>142.1111999911258</v>
      </c>
      <c r="P435">
        <f t="shared" si="329"/>
        <v>1.5637595256640089</v>
      </c>
      <c r="Q435">
        <f t="shared" si="330"/>
        <v>58.032332661337826</v>
      </c>
      <c r="R435">
        <f t="shared" si="331"/>
        <v>1.5535637006061178</v>
      </c>
      <c r="S435">
        <f t="shared" si="332"/>
        <v>0.80206336076698204</v>
      </c>
      <c r="T435">
        <f t="shared" si="333"/>
        <v>-0.64005424679244549</v>
      </c>
      <c r="U435">
        <f t="shared" si="334"/>
        <v>0.65270088008944438</v>
      </c>
      <c r="V435">
        <f t="shared" si="335"/>
        <v>-0.85965236664343103</v>
      </c>
      <c r="X435">
        <f t="shared" si="352"/>
        <v>-21.052787697472695</v>
      </c>
      <c r="Y435">
        <f t="shared" si="336"/>
        <v>-124.73396896154944</v>
      </c>
      <c r="Z435">
        <f t="shared" si="353"/>
        <v>55.266031038450564</v>
      </c>
      <c r="AC435">
        <v>1</v>
      </c>
      <c r="AD435">
        <f t="shared" si="337"/>
        <v>142.10768157604204</v>
      </c>
      <c r="AE435">
        <f t="shared" si="338"/>
        <v>-5.5251964878023935E-3</v>
      </c>
      <c r="AF435">
        <f t="shared" si="339"/>
        <v>4.7600657850564001E-3</v>
      </c>
      <c r="AG435">
        <f t="shared" si="367"/>
        <v>12614.530749862142</v>
      </c>
      <c r="AH435">
        <f t="shared" si="368"/>
        <v>-14852.265533043665</v>
      </c>
      <c r="AJ435">
        <f t="shared" si="340"/>
        <v>55000</v>
      </c>
      <c r="AK435">
        <f t="shared" si="341"/>
        <v>40954.54791365438</v>
      </c>
      <c r="AL435">
        <v>1</v>
      </c>
      <c r="AM435">
        <f t="shared" si="342"/>
        <v>58.023716135009629</v>
      </c>
      <c r="AN435">
        <f t="shared" si="369"/>
        <v>721.94607166083529</v>
      </c>
      <c r="AO435">
        <f t="shared" si="370"/>
        <v>-935.4460131792481</v>
      </c>
      <c r="AQ435">
        <f t="shared" si="343"/>
        <v>9.3242690917241834E-3</v>
      </c>
      <c r="AR435">
        <f t="shared" si="344"/>
        <v>-5.4298482415292018</v>
      </c>
      <c r="AT435">
        <f t="shared" si="365"/>
        <v>-80527.926608144364</v>
      </c>
      <c r="AU435">
        <f t="shared" si="366"/>
        <v>-68633.474130306844</v>
      </c>
      <c r="AV435">
        <f t="shared" si="354"/>
        <v>-2.4357682716355975</v>
      </c>
      <c r="AW435">
        <f t="shared" si="355"/>
        <v>7371.8524239254857</v>
      </c>
      <c r="AX435">
        <f t="shared" si="356"/>
        <v>-23913.912583584952</v>
      </c>
      <c r="AY435">
        <f t="shared" si="364"/>
        <v>-1.2717731655012139</v>
      </c>
      <c r="BA435">
        <f t="shared" si="345"/>
        <v>4.2281911733119806</v>
      </c>
      <c r="BB435">
        <f t="shared" si="357"/>
        <v>12.523092305146257</v>
      </c>
      <c r="BC435">
        <f t="shared" si="358"/>
        <v>-1.1639951061343836</v>
      </c>
      <c r="BD435">
        <f t="shared" si="346"/>
        <v>-246.69200703158924</v>
      </c>
      <c r="BF435">
        <f t="shared" si="347"/>
        <v>-32.874606714673043</v>
      </c>
      <c r="BG435">
        <f t="shared" si="348"/>
        <v>-194.10858088469419</v>
      </c>
      <c r="BH435">
        <f t="shared" si="359"/>
        <v>-14.108580884694192</v>
      </c>
      <c r="BI435">
        <f t="shared" si="360"/>
        <v>-14.108580884694192</v>
      </c>
      <c r="BJ435">
        <f t="shared" si="349"/>
        <v>0</v>
      </c>
      <c r="BK435">
        <f t="shared" si="361"/>
        <v>0</v>
      </c>
      <c r="BM435">
        <f t="shared" si="362"/>
        <v>-45.397699019819299</v>
      </c>
      <c r="BN435">
        <f t="shared" si="350"/>
        <v>-127.41657385310498</v>
      </c>
      <c r="BQ435" s="75">
        <f t="shared" si="363"/>
        <v>29.425053105431395</v>
      </c>
    </row>
    <row r="436" spans="1:69">
      <c r="A436">
        <f t="shared" si="372"/>
        <v>1110000</v>
      </c>
      <c r="B436">
        <f t="shared" si="351"/>
        <v>1110</v>
      </c>
      <c r="C436">
        <f t="shared" si="320"/>
        <v>1.6379244271181452</v>
      </c>
      <c r="D436">
        <f t="shared" si="321"/>
        <v>0.91406825274547621</v>
      </c>
      <c r="F436">
        <f t="shared" si="322"/>
        <v>3.6214600971929702E-4</v>
      </c>
      <c r="G436">
        <f t="shared" si="323"/>
        <v>5.8434592058372783E-3</v>
      </c>
      <c r="H436">
        <f t="shared" si="324"/>
        <v>-3.1357491907941628</v>
      </c>
      <c r="J436">
        <f t="shared" si="325"/>
        <v>9</v>
      </c>
      <c r="M436">
        <f t="shared" si="326"/>
        <v>3.8024512511445558E-3</v>
      </c>
      <c r="N436">
        <f t="shared" si="327"/>
        <v>-1.5707963250000001</v>
      </c>
      <c r="O436">
        <f t="shared" si="328"/>
        <v>142.75420532640095</v>
      </c>
      <c r="P436">
        <f t="shared" si="329"/>
        <v>1.5637912219271086</v>
      </c>
      <c r="Q436">
        <f t="shared" si="330"/>
        <v>58.294844605622323</v>
      </c>
      <c r="R436">
        <f t="shared" si="331"/>
        <v>1.553641309785226</v>
      </c>
      <c r="S436">
        <f t="shared" si="332"/>
        <v>0.80076904016986716</v>
      </c>
      <c r="T436">
        <f t="shared" si="333"/>
        <v>-0.64221827772143414</v>
      </c>
      <c r="U436">
        <f t="shared" si="334"/>
        <v>0.65100845442612287</v>
      </c>
      <c r="V436">
        <f t="shared" si="335"/>
        <v>-0.86188410709858609</v>
      </c>
      <c r="X436">
        <f t="shared" si="352"/>
        <v>-21.104066186075343</v>
      </c>
      <c r="Y436">
        <f t="shared" si="336"/>
        <v>-124.85593283653338</v>
      </c>
      <c r="Z436">
        <f t="shared" si="353"/>
        <v>55.144067163466616</v>
      </c>
      <c r="AC436">
        <v>1</v>
      </c>
      <c r="AD436">
        <f t="shared" si="337"/>
        <v>142.75070275964401</v>
      </c>
      <c r="AE436">
        <f t="shared" si="338"/>
        <v>-5.5753113921675063E-3</v>
      </c>
      <c r="AF436">
        <f t="shared" si="339"/>
        <v>4.7816045442648E-3</v>
      </c>
      <c r="AG436">
        <f t="shared" si="367"/>
        <v>12549.197677714206</v>
      </c>
      <c r="AH436">
        <f t="shared" si="368"/>
        <v>-14841.39562738211</v>
      </c>
      <c r="AJ436">
        <f t="shared" si="340"/>
        <v>55000</v>
      </c>
      <c r="AK436">
        <f t="shared" si="341"/>
        <v>41139.862610096257</v>
      </c>
      <c r="AL436">
        <v>1</v>
      </c>
      <c r="AM436">
        <f t="shared" si="342"/>
        <v>58.286266886751754</v>
      </c>
      <c r="AN436">
        <f t="shared" si="369"/>
        <v>721.8012000966902</v>
      </c>
      <c r="AO436">
        <f t="shared" si="370"/>
        <v>-931.23477791713799</v>
      </c>
      <c r="AQ436">
        <f t="shared" si="343"/>
        <v>9.2404561070548331E-3</v>
      </c>
      <c r="AR436">
        <f t="shared" si="344"/>
        <v>-5.4053896089438647</v>
      </c>
      <c r="AT436">
        <f t="shared" si="365"/>
        <v>-80107.565396156497</v>
      </c>
      <c r="AU436">
        <f t="shared" si="366"/>
        <v>-67970.443992561108</v>
      </c>
      <c r="AV436">
        <f t="shared" si="354"/>
        <v>-2.4379760510509887</v>
      </c>
      <c r="AW436">
        <f t="shared" si="355"/>
        <v>7356.3695376331689</v>
      </c>
      <c r="AX436">
        <f t="shared" si="356"/>
        <v>-23857.171446040105</v>
      </c>
      <c r="AY436">
        <f t="shared" si="364"/>
        <v>-1.2716962851054932</v>
      </c>
      <c r="BA436">
        <f t="shared" si="345"/>
        <v>4.2081154452388851</v>
      </c>
      <c r="BB436">
        <f t="shared" si="357"/>
        <v>12.481752914465327</v>
      </c>
      <c r="BC436">
        <f t="shared" si="358"/>
        <v>-1.1662797659454955</v>
      </c>
      <c r="BD436">
        <f t="shared" si="346"/>
        <v>-246.82290839653868</v>
      </c>
      <c r="BF436">
        <f t="shared" si="347"/>
        <v>-32.969845614529532</v>
      </c>
      <c r="BG436">
        <f t="shared" si="348"/>
        <v>-194.11584971684752</v>
      </c>
      <c r="BH436">
        <f t="shared" si="359"/>
        <v>-14.115849716847521</v>
      </c>
      <c r="BI436">
        <f t="shared" si="360"/>
        <v>-14.115849716847521</v>
      </c>
      <c r="BJ436">
        <f t="shared" si="349"/>
        <v>0</v>
      </c>
      <c r="BK436">
        <f t="shared" si="361"/>
        <v>0</v>
      </c>
      <c r="BM436">
        <f t="shared" si="362"/>
        <v>-45.451598528994865</v>
      </c>
      <c r="BN436">
        <f t="shared" si="350"/>
        <v>-127.29294132030886</v>
      </c>
      <c r="BQ436" s="75">
        <f t="shared" si="363"/>
        <v>29.383713714750463</v>
      </c>
    </row>
    <row r="437" spans="1:69">
      <c r="A437">
        <f t="shared" si="372"/>
        <v>1115000</v>
      </c>
      <c r="B437">
        <f t="shared" si="351"/>
        <v>1115</v>
      </c>
      <c r="C437">
        <f t="shared" si="320"/>
        <v>1.6425562096994897</v>
      </c>
      <c r="D437">
        <f t="shared" si="321"/>
        <v>0.91624019891677</v>
      </c>
      <c r="F437">
        <f t="shared" si="322"/>
        <v>3.5890423594406475E-4</v>
      </c>
      <c r="G437">
        <f t="shared" si="323"/>
        <v>5.8172370669728772E-3</v>
      </c>
      <c r="H437">
        <f t="shared" si="324"/>
        <v>-3.1357754129330275</v>
      </c>
      <c r="J437">
        <f t="shared" si="325"/>
        <v>9</v>
      </c>
      <c r="M437">
        <f t="shared" si="326"/>
        <v>3.785399900242562E-3</v>
      </c>
      <c r="N437">
        <f t="shared" si="327"/>
        <v>-1.5707963250000001</v>
      </c>
      <c r="O437">
        <f t="shared" si="328"/>
        <v>143.39721080380835</v>
      </c>
      <c r="P437">
        <f t="shared" si="329"/>
        <v>1.5638226339326773</v>
      </c>
      <c r="Q437">
        <f t="shared" si="330"/>
        <v>58.557356897879295</v>
      </c>
      <c r="R437">
        <f t="shared" si="331"/>
        <v>1.5537182231217921</v>
      </c>
      <c r="S437">
        <f t="shared" si="332"/>
        <v>0.79947516435336474</v>
      </c>
      <c r="T437">
        <f t="shared" si="333"/>
        <v>-0.64437532547918697</v>
      </c>
      <c r="U437">
        <f t="shared" si="334"/>
        <v>0.64932157384428579</v>
      </c>
      <c r="V437">
        <f t="shared" si="335"/>
        <v>-0.86410429287822033</v>
      </c>
      <c r="X437">
        <f t="shared" si="352"/>
        <v>-21.155198406569021</v>
      </c>
      <c r="Y437">
        <f t="shared" si="336"/>
        <v>-124.9775823283312</v>
      </c>
      <c r="Z437">
        <f t="shared" si="353"/>
        <v>55.022417671668805</v>
      </c>
      <c r="AC437">
        <v>1</v>
      </c>
      <c r="AD437">
        <f t="shared" si="337"/>
        <v>143.39372394324602</v>
      </c>
      <c r="AE437">
        <f t="shared" si="338"/>
        <v>-5.625652548922529E-3</v>
      </c>
      <c r="AF437">
        <f t="shared" si="339"/>
        <v>4.8031433034731999E-3</v>
      </c>
      <c r="AG437">
        <f t="shared" si="367"/>
        <v>12484.247456602876</v>
      </c>
      <c r="AH437">
        <f t="shared" si="368"/>
        <v>-14830.296334092089</v>
      </c>
      <c r="AJ437">
        <f t="shared" si="340"/>
        <v>55000</v>
      </c>
      <c r="AK437">
        <f t="shared" si="341"/>
        <v>41325.177306538135</v>
      </c>
      <c r="AL437">
        <v>1</v>
      </c>
      <c r="AM437">
        <f t="shared" si="342"/>
        <v>58.548817638493887</v>
      </c>
      <c r="AN437">
        <f t="shared" si="369"/>
        <v>721.65827234639096</v>
      </c>
      <c r="AO437">
        <f t="shared" si="370"/>
        <v>-927.06127838126338</v>
      </c>
      <c r="AQ437">
        <f t="shared" si="343"/>
        <v>9.1577681169790707E-3</v>
      </c>
      <c r="AR437">
        <f t="shared" si="344"/>
        <v>-5.3811503343774865</v>
      </c>
      <c r="AT437">
        <f t="shared" si="365"/>
        <v>-79689.72623379431</v>
      </c>
      <c r="AU437">
        <f t="shared" si="366"/>
        <v>-67315.42479048355</v>
      </c>
      <c r="AV437">
        <f t="shared" si="354"/>
        <v>-2.4401724906743913</v>
      </c>
      <c r="AW437">
        <f t="shared" si="355"/>
        <v>7340.6376993975391</v>
      </c>
      <c r="AX437">
        <f t="shared" si="356"/>
        <v>-23800.648196148974</v>
      </c>
      <c r="AY437">
        <f t="shared" si="364"/>
        <v>-1.2716311714490935</v>
      </c>
      <c r="BA437">
        <f t="shared" si="345"/>
        <v>4.1882280139986801</v>
      </c>
      <c r="BB437">
        <f t="shared" si="357"/>
        <v>12.440606347078916</v>
      </c>
      <c r="BC437">
        <f t="shared" si="358"/>
        <v>-1.1685413192252978</v>
      </c>
      <c r="BD437">
        <f t="shared" si="346"/>
        <v>-246.95248585476338</v>
      </c>
      <c r="BF437">
        <f t="shared" si="347"/>
        <v>-33.064566973806869</v>
      </c>
      <c r="BG437">
        <f t="shared" si="348"/>
        <v>-194.12248624387377</v>
      </c>
      <c r="BH437">
        <f t="shared" si="359"/>
        <v>-14.122486243873766</v>
      </c>
      <c r="BI437">
        <f t="shared" si="360"/>
        <v>-14.122486243873766</v>
      </c>
      <c r="BJ437">
        <f t="shared" si="349"/>
        <v>0</v>
      </c>
      <c r="BK437">
        <f t="shared" si="361"/>
        <v>0</v>
      </c>
      <c r="BM437">
        <f t="shared" si="362"/>
        <v>-45.505173320885788</v>
      </c>
      <c r="BN437">
        <f t="shared" si="350"/>
        <v>-127.1700003891104</v>
      </c>
      <c r="BQ437" s="75">
        <f t="shared" si="363"/>
        <v>29.342567147364051</v>
      </c>
    </row>
    <row r="438" spans="1:69">
      <c r="A438">
        <f t="shared" si="372"/>
        <v>1120000</v>
      </c>
      <c r="B438">
        <f t="shared" si="351"/>
        <v>1120</v>
      </c>
      <c r="C438">
        <f t="shared" si="320"/>
        <v>1.6471956971960007</v>
      </c>
      <c r="D438">
        <f t="shared" si="321"/>
        <v>0.91839992023161221</v>
      </c>
      <c r="F438">
        <f t="shared" si="322"/>
        <v>3.557058014466528E-4</v>
      </c>
      <c r="G438">
        <f t="shared" si="323"/>
        <v>5.7912492977196736E-3</v>
      </c>
      <c r="H438">
        <f t="shared" si="324"/>
        <v>-3.1358014007022805</v>
      </c>
      <c r="J438">
        <f t="shared" si="325"/>
        <v>9</v>
      </c>
      <c r="M438">
        <f t="shared" si="326"/>
        <v>3.768500793545051E-3</v>
      </c>
      <c r="N438">
        <f t="shared" si="327"/>
        <v>-1.5707963250000001</v>
      </c>
      <c r="O438">
        <f t="shared" si="328"/>
        <v>144.04021642144451</v>
      </c>
      <c r="P438">
        <f t="shared" si="329"/>
        <v>1.5638537654874893</v>
      </c>
      <c r="Q438">
        <f t="shared" si="330"/>
        <v>58.819869533449754</v>
      </c>
      <c r="R438">
        <f t="shared" si="331"/>
        <v>1.5537944499315199</v>
      </c>
      <c r="S438">
        <f t="shared" si="332"/>
        <v>0.79818176719868916</v>
      </c>
      <c r="T438">
        <f t="shared" si="333"/>
        <v>-0.64652540383665702</v>
      </c>
      <c r="U438">
        <f t="shared" si="334"/>
        <v>0.64764024504766682</v>
      </c>
      <c r="V438">
        <f t="shared" si="335"/>
        <v>-0.8663129917674679</v>
      </c>
      <c r="X438">
        <f t="shared" si="352"/>
        <v>-21.20618556713293</v>
      </c>
      <c r="Y438">
        <f t="shared" si="336"/>
        <v>-125.09891676059308</v>
      </c>
      <c r="Z438">
        <f t="shared" si="353"/>
        <v>54.901083239406915</v>
      </c>
      <c r="AC438">
        <v>1</v>
      </c>
      <c r="AD438">
        <f t="shared" si="337"/>
        <v>144.03674512684802</v>
      </c>
      <c r="AE438">
        <f t="shared" si="338"/>
        <v>-5.6762199580674619E-3</v>
      </c>
      <c r="AF438">
        <f t="shared" si="339"/>
        <v>4.8246820626815998E-3</v>
      </c>
      <c r="AG438">
        <f t="shared" si="367"/>
        <v>12419.678681812115</v>
      </c>
      <c r="AH438">
        <f t="shared" si="368"/>
        <v>-14818.971919311998</v>
      </c>
      <c r="AJ438">
        <f t="shared" si="340"/>
        <v>55000</v>
      </c>
      <c r="AK438">
        <f t="shared" si="341"/>
        <v>41510.492002980005</v>
      </c>
      <c r="AL438">
        <v>1</v>
      </c>
      <c r="AM438">
        <f t="shared" si="342"/>
        <v>58.811368390236005</v>
      </c>
      <c r="AN438">
        <f t="shared" si="369"/>
        <v>721.51725379333175</v>
      </c>
      <c r="AO438">
        <f t="shared" si="370"/>
        <v>-922.92500977103782</v>
      </c>
      <c r="AQ438">
        <f t="shared" si="343"/>
        <v>9.0761850773133212E-3</v>
      </c>
      <c r="AR438">
        <f t="shared" si="344"/>
        <v>-5.3571274800334141</v>
      </c>
      <c r="AT438">
        <f t="shared" si="365"/>
        <v>-79274.398392472911</v>
      </c>
      <c r="AU438">
        <f t="shared" si="366"/>
        <v>-66668.301691316025</v>
      </c>
      <c r="AV438">
        <f t="shared" si="354"/>
        <v>-2.4423576554132778</v>
      </c>
      <c r="AW438">
        <f t="shared" si="355"/>
        <v>7324.6663494047471</v>
      </c>
      <c r="AX438">
        <f t="shared" si="356"/>
        <v>-23744.340818867386</v>
      </c>
      <c r="AY438">
        <f t="shared" si="364"/>
        <v>-1.2715775219765961</v>
      </c>
      <c r="BA438">
        <f t="shared" si="345"/>
        <v>4.1685263411775999</v>
      </c>
      <c r="BB438">
        <f t="shared" si="357"/>
        <v>12.399651003512131</v>
      </c>
      <c r="BC438">
        <f t="shared" si="358"/>
        <v>-1.1707801334366816</v>
      </c>
      <c r="BD438">
        <f t="shared" si="346"/>
        <v>-247.08076046033614</v>
      </c>
      <c r="BF438">
        <f t="shared" si="347"/>
        <v>-33.158775855826512</v>
      </c>
      <c r="BG438">
        <f t="shared" si="348"/>
        <v>-194.12850692253909</v>
      </c>
      <c r="BH438">
        <f t="shared" si="359"/>
        <v>-14.128506922539088</v>
      </c>
      <c r="BI438">
        <f t="shared" si="360"/>
        <v>-14.128506922539088</v>
      </c>
      <c r="BJ438">
        <f t="shared" si="349"/>
        <v>0</v>
      </c>
      <c r="BK438">
        <f t="shared" si="361"/>
        <v>0</v>
      </c>
      <c r="BM438">
        <f t="shared" si="362"/>
        <v>-45.558426859338645</v>
      </c>
      <c r="BN438">
        <f t="shared" si="350"/>
        <v>-127.04774646220294</v>
      </c>
      <c r="BQ438" s="75">
        <f t="shared" si="363"/>
        <v>29.301611803797268</v>
      </c>
    </row>
    <row r="439" spans="1:69">
      <c r="A439">
        <f t="shared" si="372"/>
        <v>1125000</v>
      </c>
      <c r="B439">
        <f t="shared" si="351"/>
        <v>1125</v>
      </c>
      <c r="C439">
        <f t="shared" si="320"/>
        <v>1.6518428246859023</v>
      </c>
      <c r="D439">
        <f t="shared" si="321"/>
        <v>0.92054749963382776</v>
      </c>
      <c r="F439">
        <f t="shared" si="322"/>
        <v>3.5254993703278873E-4</v>
      </c>
      <c r="G439">
        <f t="shared" si="323"/>
        <v>5.7654927688493484E-3</v>
      </c>
      <c r="H439">
        <f t="shared" si="324"/>
        <v>-3.1358271572311507</v>
      </c>
      <c r="J439">
        <f t="shared" si="325"/>
        <v>9</v>
      </c>
      <c r="M439">
        <f t="shared" si="326"/>
        <v>3.7517519011292951E-3</v>
      </c>
      <c r="N439">
        <f t="shared" si="327"/>
        <v>-1.5707963250000001</v>
      </c>
      <c r="O439">
        <f t="shared" si="328"/>
        <v>144.68322217743986</v>
      </c>
      <c r="P439">
        <f t="shared" si="329"/>
        <v>1.5638846203306482</v>
      </c>
      <c r="Q439">
        <f t="shared" si="330"/>
        <v>59.082382507757508</v>
      </c>
      <c r="R439">
        <f t="shared" si="331"/>
        <v>1.5538699993645806</v>
      </c>
      <c r="S439">
        <f t="shared" si="332"/>
        <v>0.79688888217437648</v>
      </c>
      <c r="T439">
        <f t="shared" si="333"/>
        <v>-0.64866852673370201</v>
      </c>
      <c r="U439">
        <f t="shared" si="334"/>
        <v>0.64596447404349888</v>
      </c>
      <c r="V439">
        <f t="shared" si="335"/>
        <v>-0.86851027130016889</v>
      </c>
      <c r="X439">
        <f t="shared" si="352"/>
        <v>-21.257028856446905</v>
      </c>
      <c r="Y439">
        <f t="shared" si="336"/>
        <v>-125.21993548987763</v>
      </c>
      <c r="Z439">
        <f t="shared" si="353"/>
        <v>54.780064510122372</v>
      </c>
      <c r="AC439">
        <v>1</v>
      </c>
      <c r="AD439">
        <f t="shared" si="337"/>
        <v>144.67976631045002</v>
      </c>
      <c r="AE439">
        <f t="shared" si="338"/>
        <v>-5.7270136196023048E-3</v>
      </c>
      <c r="AF439">
        <f t="shared" si="339"/>
        <v>4.8462208218899997E-3</v>
      </c>
      <c r="AG439">
        <f t="shared" si="367"/>
        <v>12355.489924783275</v>
      </c>
      <c r="AH439">
        <f t="shared" si="368"/>
        <v>-14807.426593513508</v>
      </c>
      <c r="AJ439">
        <f t="shared" si="340"/>
        <v>55000</v>
      </c>
      <c r="AK439">
        <f t="shared" si="341"/>
        <v>41695.806699421875</v>
      </c>
      <c r="AL439">
        <v>1</v>
      </c>
      <c r="AM439">
        <f t="shared" si="342"/>
        <v>59.073919141978124</v>
      </c>
      <c r="AN439">
        <f t="shared" si="369"/>
        <v>721.37811058800901</v>
      </c>
      <c r="AO439">
        <f t="shared" si="370"/>
        <v>-918.82547624712151</v>
      </c>
      <c r="AQ439">
        <f t="shared" si="343"/>
        <v>8.995687388305704E-3</v>
      </c>
      <c r="AR439">
        <f t="shared" si="344"/>
        <v>-5.3333181603417446</v>
      </c>
      <c r="AT439">
        <f t="shared" si="365"/>
        <v>-78861.571034220178</v>
      </c>
      <c r="AU439">
        <f t="shared" si="366"/>
        <v>-66028.961776426615</v>
      </c>
      <c r="AV439">
        <f t="shared" si="354"/>
        <v>-2.4445316099749799</v>
      </c>
      <c r="AW439">
        <f t="shared" si="355"/>
        <v>7308.4646678147028</v>
      </c>
      <c r="AX439">
        <f t="shared" si="356"/>
        <v>-23688.247358078232</v>
      </c>
      <c r="AY439">
        <f t="shared" si="364"/>
        <v>-1.2715350416276514</v>
      </c>
      <c r="BA439">
        <f t="shared" si="345"/>
        <v>4.1490079301087448</v>
      </c>
      <c r="BB439">
        <f t="shared" si="357"/>
        <v>12.358885298166239</v>
      </c>
      <c r="BC439">
        <f t="shared" si="358"/>
        <v>-1.1729965683473285</v>
      </c>
      <c r="BD439">
        <f t="shared" si="346"/>
        <v>-247.20775282642677</v>
      </c>
      <c r="BF439">
        <f t="shared" si="347"/>
        <v>-33.252477260508535</v>
      </c>
      <c r="BG439">
        <f t="shared" si="348"/>
        <v>-194.13392779297379</v>
      </c>
      <c r="BH439">
        <f t="shared" si="359"/>
        <v>-14.133927792973793</v>
      </c>
      <c r="BI439">
        <f t="shared" si="360"/>
        <v>-14.133927792973793</v>
      </c>
      <c r="BJ439">
        <f t="shared" si="349"/>
        <v>0</v>
      </c>
      <c r="BK439">
        <f t="shared" si="361"/>
        <v>0</v>
      </c>
      <c r="BM439">
        <f t="shared" si="362"/>
        <v>-45.611362558674777</v>
      </c>
      <c r="BN439">
        <f t="shared" si="350"/>
        <v>-126.92617496654702</v>
      </c>
      <c r="BQ439" s="75">
        <f t="shared" si="363"/>
        <v>29.260846098451378</v>
      </c>
    </row>
    <row r="440" spans="1:69">
      <c r="A440">
        <f t="shared" si="372"/>
        <v>1130000</v>
      </c>
      <c r="B440">
        <f t="shared" si="351"/>
        <v>1130</v>
      </c>
      <c r="C440">
        <f t="shared" si="320"/>
        <v>1.6564975278696306</v>
      </c>
      <c r="D440">
        <f t="shared" si="321"/>
        <v>0.92268301958525978</v>
      </c>
      <c r="F440">
        <f t="shared" si="322"/>
        <v>3.4943589049943698E-4</v>
      </c>
      <c r="G440">
        <f t="shared" si="323"/>
        <v>5.7399644066127315E-3</v>
      </c>
      <c r="H440">
        <f t="shared" si="324"/>
        <v>-3.1358526855933873</v>
      </c>
      <c r="J440">
        <f t="shared" si="325"/>
        <v>9</v>
      </c>
      <c r="M440">
        <f t="shared" si="326"/>
        <v>3.7351512290004045E-3</v>
      </c>
      <c r="N440">
        <f t="shared" si="327"/>
        <v>-1.5707963250000001</v>
      </c>
      <c r="O440">
        <f t="shared" si="328"/>
        <v>145.32622806995784</v>
      </c>
      <c r="P440">
        <f t="shared" si="329"/>
        <v>1.5639152021350844</v>
      </c>
      <c r="Q440">
        <f t="shared" si="330"/>
        <v>59.344895816307321</v>
      </c>
      <c r="R440">
        <f t="shared" si="331"/>
        <v>1.553944880409273</v>
      </c>
      <c r="S440">
        <f t="shared" si="332"/>
        <v>0.79559654233840404</v>
      </c>
      <c r="T440">
        <f t="shared" si="333"/>
        <v>-0.65080470827570591</v>
      </c>
      <c r="U440">
        <f t="shared" si="334"/>
        <v>0.64429426615747554</v>
      </c>
      <c r="V440">
        <f t="shared" si="335"/>
        <v>-0.87069619875472315</v>
      </c>
      <c r="X440">
        <f t="shared" si="352"/>
        <v>-21.307729444096992</v>
      </c>
      <c r="Y440">
        <f t="shared" si="336"/>
        <v>-125.34063790509434</v>
      </c>
      <c r="Z440">
        <f t="shared" si="353"/>
        <v>54.65936209490566</v>
      </c>
      <c r="AC440">
        <v>1</v>
      </c>
      <c r="AD440">
        <f t="shared" si="337"/>
        <v>145.32278749405202</v>
      </c>
      <c r="AE440">
        <f t="shared" si="338"/>
        <v>-5.7780335335270595E-3</v>
      </c>
      <c r="AF440">
        <f t="shared" si="339"/>
        <v>4.8677595810984004E-3</v>
      </c>
      <c r="AG440">
        <f t="shared" si="367"/>
        <v>12291.679734052448</v>
      </c>
      <c r="AH440">
        <f t="shared" si="368"/>
        <v>-14795.664511943389</v>
      </c>
      <c r="AJ440">
        <f t="shared" si="340"/>
        <v>55000</v>
      </c>
      <c r="AK440">
        <f t="shared" si="341"/>
        <v>41881.121395863753</v>
      </c>
      <c r="AL440">
        <v>1</v>
      </c>
      <c r="AM440">
        <f t="shared" si="342"/>
        <v>59.336469893720263</v>
      </c>
      <c r="AN440">
        <f t="shared" si="369"/>
        <v>721.24080962771347</v>
      </c>
      <c r="AO440">
        <f t="shared" si="370"/>
        <v>-914.76219073350615</v>
      </c>
      <c r="AQ440">
        <f t="shared" si="343"/>
        <v>8.9162558828632232E-3</v>
      </c>
      <c r="AR440">
        <f t="shared" si="344"/>
        <v>-5.3097195408038784</v>
      </c>
      <c r="AT440">
        <f t="shared" si="365"/>
        <v>-78451.233216505279</v>
      </c>
      <c r="AU440">
        <f t="shared" si="366"/>
        <v>-65397.294003946787</v>
      </c>
      <c r="AV440">
        <f t="shared" si="354"/>
        <v>-2.4466944188614104</v>
      </c>
      <c r="AW440">
        <f t="shared" si="355"/>
        <v>7292.0415819272412</v>
      </c>
      <c r="AX440">
        <f t="shared" si="356"/>
        <v>-23632.365914440161</v>
      </c>
      <c r="AY440">
        <f t="shared" si="364"/>
        <v>-1.27150344263554</v>
      </c>
      <c r="BA440">
        <f t="shared" si="345"/>
        <v>4.1296703251610749</v>
      </c>
      <c r="BB440">
        <f t="shared" si="357"/>
        <v>12.318307659383997</v>
      </c>
      <c r="BC440">
        <f t="shared" si="358"/>
        <v>-1.1751909762258703</v>
      </c>
      <c r="BD440">
        <f t="shared" si="346"/>
        <v>-247.33348313654116</v>
      </c>
      <c r="BF440">
        <f t="shared" si="347"/>
        <v>-33.345676125174805</v>
      </c>
      <c r="BG440">
        <f t="shared" si="348"/>
        <v>-194.13876449008103</v>
      </c>
      <c r="BH440">
        <f t="shared" si="359"/>
        <v>-14.13876449008103</v>
      </c>
      <c r="BI440">
        <f t="shared" si="360"/>
        <v>-14.13876449008103</v>
      </c>
      <c r="BJ440">
        <f t="shared" si="349"/>
        <v>0</v>
      </c>
      <c r="BK440">
        <f t="shared" si="361"/>
        <v>0</v>
      </c>
      <c r="BM440">
        <f t="shared" si="362"/>
        <v>-45.663983784558802</v>
      </c>
      <c r="BN440">
        <f t="shared" si="350"/>
        <v>-126.80528135353987</v>
      </c>
      <c r="BQ440" s="75">
        <f t="shared" si="363"/>
        <v>29.220268459669136</v>
      </c>
    </row>
    <row r="441" spans="1:69">
      <c r="A441">
        <f t="shared" si="372"/>
        <v>1135000</v>
      </c>
      <c r="B441">
        <f t="shared" si="351"/>
        <v>1135</v>
      </c>
      <c r="C441">
        <f t="shared" si="320"/>
        <v>1.6611597430640772</v>
      </c>
      <c r="D441">
        <f t="shared" si="321"/>
        <v>0.92480656206423173</v>
      </c>
      <c r="F441">
        <f t="shared" si="322"/>
        <v>3.4636292618633429E-4</v>
      </c>
      <c r="G441">
        <f t="shared" si="323"/>
        <v>5.7146611915152908E-3</v>
      </c>
      <c r="H441">
        <f t="shared" si="324"/>
        <v>-3.1358779888084851</v>
      </c>
      <c r="J441">
        <f t="shared" si="325"/>
        <v>9</v>
      </c>
      <c r="M441">
        <f t="shared" si="326"/>
        <v>3.7186968182999617E-3</v>
      </c>
      <c r="N441">
        <f t="shared" si="327"/>
        <v>-1.5707963250000001</v>
      </c>
      <c r="O441">
        <f t="shared" si="328"/>
        <v>145.96923409719426</v>
      </c>
      <c r="P441">
        <f t="shared" si="329"/>
        <v>1.5639455145090113</v>
      </c>
      <c r="Q441">
        <f t="shared" si="330"/>
        <v>59.607409454683157</v>
      </c>
      <c r="R441">
        <f t="shared" si="331"/>
        <v>1.5540191018955865</v>
      </c>
      <c r="S441">
        <f t="shared" si="332"/>
        <v>0.79430478034034513</v>
      </c>
      <c r="T441">
        <f t="shared" si="333"/>
        <v>-0.65293396273023274</v>
      </c>
      <c r="U441">
        <f t="shared" si="334"/>
        <v>0.64262962604848717</v>
      </c>
      <c r="V441">
        <f t="shared" si="335"/>
        <v>-0.87287084115010938</v>
      </c>
      <c r="X441">
        <f t="shared" si="352"/>
        <v>-21.358288480971567</v>
      </c>
      <c r="Y441">
        <f t="shared" si="336"/>
        <v>-125.46102342695499</v>
      </c>
      <c r="Z441">
        <f t="shared" si="353"/>
        <v>54.538976573045005</v>
      </c>
      <c r="AC441">
        <v>1</v>
      </c>
      <c r="AD441">
        <f t="shared" si="337"/>
        <v>145.96580867765402</v>
      </c>
      <c r="AE441">
        <f t="shared" si="338"/>
        <v>-5.8292796998417225E-3</v>
      </c>
      <c r="AF441">
        <f t="shared" si="339"/>
        <v>4.8892983403068004E-3</v>
      </c>
      <c r="AG441">
        <f t="shared" si="367"/>
        <v>12228.246636167039</v>
      </c>
      <c r="AH441">
        <f t="shared" si="368"/>
        <v>-14783.689775071223</v>
      </c>
      <c r="AJ441">
        <f t="shared" si="340"/>
        <v>55000</v>
      </c>
      <c r="AK441">
        <f t="shared" si="341"/>
        <v>42066.43609230563</v>
      </c>
      <c r="AL441">
        <v>1</v>
      </c>
      <c r="AM441">
        <f t="shared" si="342"/>
        <v>59.599020645462382</v>
      </c>
      <c r="AN441">
        <f t="shared" si="369"/>
        <v>721.10531853685006</v>
      </c>
      <c r="AO441">
        <f t="shared" si="370"/>
        <v>-910.7346747248223</v>
      </c>
      <c r="AQ441">
        <f t="shared" si="343"/>
        <v>8.8378718151411861E-3</v>
      </c>
      <c r="AR441">
        <f t="shared" si="344"/>
        <v>-5.2863288368676242</v>
      </c>
      <c r="AT441">
        <f t="shared" si="365"/>
        <v>-78043.373896969671</v>
      </c>
      <c r="AU441">
        <f t="shared" si="366"/>
        <v>-64773.189172286235</v>
      </c>
      <c r="AV441">
        <f t="shared" si="354"/>
        <v>-2.4488461463639801</v>
      </c>
      <c r="AW441">
        <f t="shared" si="355"/>
        <v>7275.4057731354214</v>
      </c>
      <c r="AX441">
        <f t="shared" si="356"/>
        <v>-23576.694643313087</v>
      </c>
      <c r="AY441">
        <f t="shared" si="364"/>
        <v>-1.2714824443316954</v>
      </c>
      <c r="BA441">
        <f t="shared" si="345"/>
        <v>4.1105111110361676</v>
      </c>
      <c r="BB441">
        <f t="shared" si="357"/>
        <v>12.277916529500752</v>
      </c>
      <c r="BC441">
        <f t="shared" si="358"/>
        <v>-1.1773637020322847</v>
      </c>
      <c r="BD441">
        <f t="shared" si="346"/>
        <v>-247.4579711554301</v>
      </c>
      <c r="BF441">
        <f t="shared" si="347"/>
        <v>-33.438377325348327</v>
      </c>
      <c r="BG441">
        <f t="shared" si="348"/>
        <v>-194.14303225460398</v>
      </c>
      <c r="BH441">
        <f t="shared" si="359"/>
        <v>-14.14303225460398</v>
      </c>
      <c r="BI441">
        <f t="shared" si="360"/>
        <v>-14.14303225460398</v>
      </c>
      <c r="BJ441">
        <f t="shared" si="349"/>
        <v>0</v>
      </c>
      <c r="BK441">
        <f t="shared" si="361"/>
        <v>0</v>
      </c>
      <c r="BM441">
        <f t="shared" si="362"/>
        <v>-45.716293854849084</v>
      </c>
      <c r="BN441">
        <f t="shared" si="350"/>
        <v>-126.68506109917388</v>
      </c>
      <c r="BQ441" s="75">
        <f t="shared" si="363"/>
        <v>29.179877329785889</v>
      </c>
    </row>
    <row r="442" spans="1:69">
      <c r="A442">
        <f t="shared" si="372"/>
        <v>1140000</v>
      </c>
      <c r="B442">
        <f t="shared" si="351"/>
        <v>1140</v>
      </c>
      <c r="C442">
        <f t="shared" si="320"/>
        <v>1.6658294071968593</v>
      </c>
      <c r="D442">
        <f t="shared" si="321"/>
        <v>0.92691820856417262</v>
      </c>
      <c r="F442">
        <f t="shared" si="322"/>
        <v>3.4333032454127654E-4</v>
      </c>
      <c r="G442">
        <f t="shared" si="323"/>
        <v>5.6895801571249542E-3</v>
      </c>
      <c r="H442">
        <f t="shared" si="324"/>
        <v>-3.1359030698428754</v>
      </c>
      <c r="J442">
        <f t="shared" si="325"/>
        <v>9</v>
      </c>
      <c r="M442">
        <f t="shared" si="326"/>
        <v>3.7023867445354882E-3</v>
      </c>
      <c r="N442">
        <f t="shared" si="327"/>
        <v>-1.5707963250000001</v>
      </c>
      <c r="O442">
        <f t="shared" si="328"/>
        <v>146.61224025737658</v>
      </c>
      <c r="P442">
        <f t="shared" si="329"/>
        <v>1.5639755609973462</v>
      </c>
      <c r="Q442">
        <f t="shared" si="330"/>
        <v>59.869923418546421</v>
      </c>
      <c r="R442">
        <f t="shared" si="331"/>
        <v>1.5540926724986712</v>
      </c>
      <c r="S442">
        <f t="shared" si="332"/>
        <v>0.79301362842355849</v>
      </c>
      <c r="T442">
        <f t="shared" si="333"/>
        <v>-0.65505630452370966</v>
      </c>
      <c r="U442">
        <f t="shared" si="334"/>
        <v>0.64097055772313216</v>
      </c>
      <c r="V442">
        <f t="shared" si="335"/>
        <v>-0.87503426524206396</v>
      </c>
      <c r="X442">
        <f t="shared" si="352"/>
        <v>-21.408707099648193</v>
      </c>
      <c r="Y442">
        <f t="shared" si="336"/>
        <v>-125.58109150743094</v>
      </c>
      <c r="Z442">
        <f t="shared" si="353"/>
        <v>54.418908492569059</v>
      </c>
      <c r="AC442">
        <v>1</v>
      </c>
      <c r="AD442">
        <f t="shared" si="337"/>
        <v>146.608829861256</v>
      </c>
      <c r="AE442">
        <f t="shared" si="338"/>
        <v>-5.8807521185462964E-3</v>
      </c>
      <c r="AF442">
        <f t="shared" si="339"/>
        <v>4.9108370995152003E-3</v>
      </c>
      <c r="AG442">
        <f t="shared" si="367"/>
        <v>12165.189136581648</v>
      </c>
      <c r="AH442">
        <f t="shared" si="368"/>
        <v>-14771.506429042442</v>
      </c>
      <c r="AJ442">
        <f t="shared" si="340"/>
        <v>55000</v>
      </c>
      <c r="AK442">
        <f t="shared" si="341"/>
        <v>42251.750788747508</v>
      </c>
      <c r="AL442">
        <v>1</v>
      </c>
      <c r="AM442">
        <f t="shared" si="342"/>
        <v>59.8615713972045</v>
      </c>
      <c r="AN442">
        <f t="shared" si="369"/>
        <v>720.97160564785452</v>
      </c>
      <c r="AO442">
        <f t="shared" si="370"/>
        <v>-906.74245809870183</v>
      </c>
      <c r="AQ442">
        <f t="shared" si="343"/>
        <v>8.7605168494821785E-3</v>
      </c>
      <c r="AR442">
        <f t="shared" si="344"/>
        <v>-5.2631433128319038</v>
      </c>
      <c r="AT442">
        <f t="shared" si="365"/>
        <v>-77637.981938060053</v>
      </c>
      <c r="AU442">
        <f t="shared" si="366"/>
        <v>-64156.539884498881</v>
      </c>
      <c r="AV442">
        <f t="shared" si="354"/>
        <v>-2.4509868565587056</v>
      </c>
      <c r="AW442">
        <f t="shared" si="355"/>
        <v>7258.5656836728131</v>
      </c>
      <c r="AX442">
        <f t="shared" si="356"/>
        <v>-23521.231752757394</v>
      </c>
      <c r="AY442">
        <f t="shared" si="364"/>
        <v>-1.2714717729560006</v>
      </c>
      <c r="BA442">
        <f t="shared" si="345"/>
        <v>4.0915279120730421</v>
      </c>
      <c r="BB442">
        <f t="shared" si="357"/>
        <v>12.23771036488219</v>
      </c>
      <c r="BC442">
        <f t="shared" si="358"/>
        <v>-1.1795150836027051</v>
      </c>
      <c r="BD442">
        <f t="shared" si="346"/>
        <v>-247.58123623967828</v>
      </c>
      <c r="BF442">
        <f t="shared" si="347"/>
        <v>-33.530585675548245</v>
      </c>
      <c r="BG442">
        <f t="shared" si="348"/>
        <v>-194.14674594386173</v>
      </c>
      <c r="BH442">
        <f t="shared" si="359"/>
        <v>-14.146745943861731</v>
      </c>
      <c r="BI442">
        <f t="shared" si="360"/>
        <v>-14.146745943861731</v>
      </c>
      <c r="BJ442">
        <f t="shared" si="349"/>
        <v>0</v>
      </c>
      <c r="BK442">
        <f t="shared" si="361"/>
        <v>0</v>
      </c>
      <c r="BM442">
        <f t="shared" si="362"/>
        <v>-45.768296040430428</v>
      </c>
      <c r="BN442">
        <f t="shared" si="350"/>
        <v>-126.56550970418347</v>
      </c>
      <c r="BQ442" s="75">
        <f t="shared" si="363"/>
        <v>29.139671165167329</v>
      </c>
    </row>
    <row r="443" spans="1:69">
      <c r="A443">
        <f t="shared" si="372"/>
        <v>1145000</v>
      </c>
      <c r="B443">
        <f t="shared" si="351"/>
        <v>1145</v>
      </c>
      <c r="C443">
        <f t="shared" si="320"/>
        <v>1.6705064578006232</v>
      </c>
      <c r="D443">
        <f t="shared" si="321"/>
        <v>0.92901804009239775</v>
      </c>
      <c r="F443">
        <f t="shared" si="322"/>
        <v>3.4033738169867572E-4</v>
      </c>
      <c r="G443">
        <f t="shared" si="323"/>
        <v>5.6647183889112166E-3</v>
      </c>
      <c r="H443">
        <f t="shared" si="324"/>
        <v>-3.1359279316110888</v>
      </c>
      <c r="J443">
        <f t="shared" si="325"/>
        <v>9</v>
      </c>
      <c r="M443">
        <f t="shared" si="326"/>
        <v>3.6862191168300935E-3</v>
      </c>
      <c r="N443">
        <f t="shared" si="327"/>
        <v>-1.5707963250000001</v>
      </c>
      <c r="O443">
        <f t="shared" si="328"/>
        <v>147.25524654876327</v>
      </c>
      <c r="P443">
        <f t="shared" si="329"/>
        <v>1.5640053450830906</v>
      </c>
      <c r="Q443">
        <f t="shared" si="330"/>
        <v>60.13243770363426</v>
      </c>
      <c r="R443">
        <f t="shared" si="331"/>
        <v>1.5541656007422164</v>
      </c>
      <c r="S443">
        <f t="shared" si="332"/>
        <v>0.79172311842741205</v>
      </c>
      <c r="T443">
        <f t="shared" si="333"/>
        <v>-0.65717174823814095</v>
      </c>
      <c r="U443">
        <f t="shared" si="334"/>
        <v>0.63931706455000481</v>
      </c>
      <c r="V443">
        <f t="shared" si="335"/>
        <v>-0.87718653751941833</v>
      </c>
      <c r="X443">
        <f t="shared" si="352"/>
        <v>-21.458986414771594</v>
      </c>
      <c r="Y443">
        <f t="shared" si="336"/>
        <v>-125.70084162921941</v>
      </c>
      <c r="Z443">
        <f t="shared" si="353"/>
        <v>54.299158370780589</v>
      </c>
      <c r="AC443">
        <v>1</v>
      </c>
      <c r="AD443">
        <f t="shared" si="337"/>
        <v>147.25185104485803</v>
      </c>
      <c r="AE443">
        <f t="shared" si="338"/>
        <v>-5.9324507896407804E-3</v>
      </c>
      <c r="AF443">
        <f t="shared" si="339"/>
        <v>4.9323758587236002E-3</v>
      </c>
      <c r="AG443">
        <f t="shared" si="367"/>
        <v>12102.505720533818</v>
      </c>
      <c r="AH443">
        <f t="shared" si="368"/>
        <v>-14759.118466136408</v>
      </c>
      <c r="AJ443">
        <f t="shared" si="340"/>
        <v>55000</v>
      </c>
      <c r="AK443">
        <f t="shared" si="341"/>
        <v>42437.065485189378</v>
      </c>
      <c r="AL443">
        <v>1</v>
      </c>
      <c r="AM443">
        <f t="shared" si="342"/>
        <v>60.124122148946633</v>
      </c>
      <c r="AN443">
        <f t="shared" si="369"/>
        <v>720.83963998269769</v>
      </c>
      <c r="AO443">
        <f t="shared" si="370"/>
        <v>-902.78507893305289</v>
      </c>
      <c r="AQ443">
        <f t="shared" si="343"/>
        <v>8.6841730496924063E-3</v>
      </c>
      <c r="AR443">
        <f t="shared" si="344"/>
        <v>-5.2401602807801435</v>
      </c>
      <c r="AT443">
        <f t="shared" si="365"/>
        <v>-77235.046111564749</v>
      </c>
      <c r="AU443">
        <f t="shared" si="366"/>
        <v>-63547.240513476623</v>
      </c>
      <c r="AV443">
        <f t="shared" si="354"/>
        <v>-2.4531166133015012</v>
      </c>
      <c r="AW443">
        <f t="shared" si="355"/>
        <v>7241.5295231618029</v>
      </c>
      <c r="AX443">
        <f t="shared" si="356"/>
        <v>-23465.975501604673</v>
      </c>
      <c r="AY443">
        <f t="shared" si="364"/>
        <v>-1.2714711614726684</v>
      </c>
      <c r="BA443">
        <f t="shared" si="345"/>
        <v>4.0727183915613283</v>
      </c>
      <c r="BB443">
        <f t="shared" si="357"/>
        <v>12.197687635949608</v>
      </c>
      <c r="BC443">
        <f t="shared" si="358"/>
        <v>-1.1816454518288328</v>
      </c>
      <c r="BD443">
        <f t="shared" si="346"/>
        <v>-247.70329734798366</v>
      </c>
      <c r="BF443">
        <f t="shared" si="347"/>
        <v>-33.622305930080067</v>
      </c>
      <c r="BG443">
        <f t="shared" si="348"/>
        <v>-194.14992004216532</v>
      </c>
      <c r="BH443">
        <f t="shared" si="359"/>
        <v>-14.14992004216532</v>
      </c>
      <c r="BI443">
        <f t="shared" si="360"/>
        <v>-14.14992004216532</v>
      </c>
      <c r="BJ443">
        <f t="shared" si="349"/>
        <v>0</v>
      </c>
      <c r="BK443">
        <f t="shared" si="361"/>
        <v>0</v>
      </c>
      <c r="BM443">
        <f t="shared" si="362"/>
        <v>-45.819993566029673</v>
      </c>
      <c r="BN443">
        <f t="shared" si="350"/>
        <v>-126.4466226941817</v>
      </c>
      <c r="BQ443" s="75">
        <f t="shared" si="363"/>
        <v>29.099648436234745</v>
      </c>
    </row>
    <row r="444" spans="1:69">
      <c r="A444">
        <f t="shared" si="372"/>
        <v>1150000</v>
      </c>
      <c r="B444">
        <f t="shared" si="351"/>
        <v>1150</v>
      </c>
      <c r="C444">
        <f t="shared" si="320"/>
        <v>1.6751908330073759</v>
      </c>
      <c r="D444">
        <f t="shared" si="321"/>
        <v>0.93110613716904356</v>
      </c>
      <c r="F444">
        <f t="shared" si="322"/>
        <v>3.3738340907092716E-4</v>
      </c>
      <c r="G444">
        <f t="shared" si="323"/>
        <v>5.6400730231146159E-3</v>
      </c>
      <c r="H444">
        <f t="shared" si="324"/>
        <v>-3.1359525769768855</v>
      </c>
      <c r="J444">
        <f t="shared" si="325"/>
        <v>9</v>
      </c>
      <c r="M444">
        <f t="shared" si="326"/>
        <v>3.6701920771917019E-3</v>
      </c>
      <c r="N444">
        <f t="shared" si="327"/>
        <v>-1.5707963250000001</v>
      </c>
      <c r="O444">
        <f t="shared" si="328"/>
        <v>147.89825296964301</v>
      </c>
      <c r="P444">
        <f t="shared" si="329"/>
        <v>1.5640348701886773</v>
      </c>
      <c r="Q444">
        <f t="shared" si="330"/>
        <v>60.394952305757954</v>
      </c>
      <c r="R444">
        <f t="shared" si="331"/>
        <v>1.5542378950017424</v>
      </c>
      <c r="S444">
        <f t="shared" si="332"/>
        <v>0.79043328178953765</v>
      </c>
      <c r="T444">
        <f t="shared" si="333"/>
        <v>-0.6592803086078538</v>
      </c>
      <c r="U444">
        <f t="shared" si="334"/>
        <v>0.63766914927376162</v>
      </c>
      <c r="V444">
        <f t="shared" si="335"/>
        <v>-0.87932772420058869</v>
      </c>
      <c r="X444">
        <f t="shared" si="352"/>
        <v>-21.509127523422791</v>
      </c>
      <c r="Y444">
        <f t="shared" si="336"/>
        <v>-125.82027330521534</v>
      </c>
      <c r="Z444">
        <f t="shared" si="353"/>
        <v>54.179726694784662</v>
      </c>
      <c r="AC444">
        <v>1</v>
      </c>
      <c r="AD444">
        <f t="shared" si="337"/>
        <v>147.89487222846</v>
      </c>
      <c r="AE444">
        <f t="shared" si="338"/>
        <v>-5.9843757131251753E-3</v>
      </c>
      <c r="AF444">
        <f t="shared" si="339"/>
        <v>4.9539146179320001E-3</v>
      </c>
      <c r="AG444">
        <f t="shared" si="367"/>
        <v>12040.194853899722</v>
      </c>
      <c r="AH444">
        <f t="shared" si="368"/>
        <v>-14746.529825229009</v>
      </c>
      <c r="AJ444">
        <f t="shared" si="340"/>
        <v>55000</v>
      </c>
      <c r="AK444">
        <f t="shared" si="341"/>
        <v>42622.380181631255</v>
      </c>
      <c r="AL444">
        <v>1</v>
      </c>
      <c r="AM444">
        <f t="shared" si="342"/>
        <v>60.386672900688758</v>
      </c>
      <c r="AN444">
        <f t="shared" si="369"/>
        <v>720.70939123494827</v>
      </c>
      <c r="AO444">
        <f t="shared" si="370"/>
        <v>-898.86208332809076</v>
      </c>
      <c r="AQ444">
        <f t="shared" si="343"/>
        <v>8.608822868643692E-3</v>
      </c>
      <c r="AR444">
        <f t="shared" si="344"/>
        <v>-5.2173770995415101</v>
      </c>
      <c r="AT444">
        <f t="shared" si="365"/>
        <v>-76834.555103054518</v>
      </c>
      <c r="AU444">
        <f t="shared" si="366"/>
        <v>-62945.187167946511</v>
      </c>
      <c r="AV444">
        <f t="shared" si="354"/>
        <v>-2.4552354802236502</v>
      </c>
      <c r="AW444">
        <f t="shared" si="355"/>
        <v>7224.3052749691587</v>
      </c>
      <c r="AX444">
        <f t="shared" si="356"/>
        <v>-23410.924197597134</v>
      </c>
      <c r="AY444">
        <f t="shared" si="364"/>
        <v>-1.2714803493915345</v>
      </c>
      <c r="BA444">
        <f t="shared" si="345"/>
        <v>4.0540802510630662</v>
      </c>
      <c r="BB444">
        <f t="shared" si="357"/>
        <v>12.157846827193563</v>
      </c>
      <c r="BC444">
        <f t="shared" si="358"/>
        <v>-1.1837551308321157</v>
      </c>
      <c r="BD444">
        <f t="shared" si="346"/>
        <v>-247.82417305113722</v>
      </c>
      <c r="BF444">
        <f t="shared" si="347"/>
        <v>-33.713542783820778</v>
      </c>
      <c r="BG444">
        <f t="shared" si="348"/>
        <v>-194.15256867092313</v>
      </c>
      <c r="BH444">
        <f t="shared" si="359"/>
        <v>-14.152568670923131</v>
      </c>
      <c r="BI444">
        <f t="shared" si="360"/>
        <v>-14.152568670923131</v>
      </c>
      <c r="BJ444">
        <f t="shared" si="349"/>
        <v>0</v>
      </c>
      <c r="BK444">
        <f t="shared" si="361"/>
        <v>0</v>
      </c>
      <c r="BM444">
        <f t="shared" si="362"/>
        <v>-45.871389611014344</v>
      </c>
      <c r="BN444">
        <f t="shared" si="350"/>
        <v>-126.32839561978589</v>
      </c>
      <c r="BQ444" s="75">
        <f t="shared" si="363"/>
        <v>29.059807627478701</v>
      </c>
    </row>
    <row r="445" spans="1:69">
      <c r="A445">
        <f t="shared" si="372"/>
        <v>1155000</v>
      </c>
      <c r="B445">
        <f t="shared" si="351"/>
        <v>1155</v>
      </c>
      <c r="C445">
        <f t="shared" si="320"/>
        <v>1.6798824715428529</v>
      </c>
      <c r="D445">
        <f t="shared" si="321"/>
        <v>0.93318257982614883</v>
      </c>
      <c r="F445">
        <f t="shared" si="322"/>
        <v>3.3446773295214225E-4</v>
      </c>
      <c r="G445">
        <f t="shared" si="323"/>
        <v>5.6156412456456325E-3</v>
      </c>
      <c r="H445">
        <f t="shared" si="324"/>
        <v>-3.1359770087543546</v>
      </c>
      <c r="J445">
        <f t="shared" si="325"/>
        <v>9</v>
      </c>
      <c r="M445">
        <f t="shared" si="326"/>
        <v>3.6543037998012615E-3</v>
      </c>
      <c r="N445">
        <f t="shared" si="327"/>
        <v>-1.5707963250000001</v>
      </c>
      <c r="O445">
        <f t="shared" si="328"/>
        <v>148.54125951833416</v>
      </c>
      <c r="P445">
        <f t="shared" si="329"/>
        <v>1.5640641396772803</v>
      </c>
      <c r="Q445">
        <f t="shared" si="330"/>
        <v>60.65746722080128</v>
      </c>
      <c r="R445">
        <f t="shared" si="331"/>
        <v>1.5543095635078041</v>
      </c>
      <c r="S445">
        <f t="shared" si="332"/>
        <v>0.78914414954811873</v>
      </c>
      <c r="T445">
        <f t="shared" si="333"/>
        <v>-0.66138200051627405</v>
      </c>
      <c r="U445">
        <f t="shared" si="334"/>
        <v>0.63602681402896821</v>
      </c>
      <c r="V445">
        <f t="shared" si="335"/>
        <v>-0.88145789123021601</v>
      </c>
      <c r="X445">
        <f t="shared" si="352"/>
        <v>-21.559131505479783</v>
      </c>
      <c r="Y445">
        <f t="shared" si="336"/>
        <v>-125.93938607799134</v>
      </c>
      <c r="Z445">
        <f t="shared" si="353"/>
        <v>54.060613922008656</v>
      </c>
      <c r="AC445">
        <v>1</v>
      </c>
      <c r="AD445">
        <f t="shared" si="337"/>
        <v>148.53789341206203</v>
      </c>
      <c r="AE445">
        <f t="shared" si="338"/>
        <v>-6.0365268889994795E-3</v>
      </c>
      <c r="AF445">
        <f t="shared" si="339"/>
        <v>4.9754533771404008E-3</v>
      </c>
      <c r="AG445">
        <f t="shared" si="367"/>
        <v>11978.254984030293</v>
      </c>
      <c r="AH445">
        <f t="shared" si="368"/>
        <v>-14733.744392259485</v>
      </c>
      <c r="AJ445">
        <f t="shared" si="340"/>
        <v>55000</v>
      </c>
      <c r="AK445">
        <f t="shared" si="341"/>
        <v>42807.694878073133</v>
      </c>
      <c r="AL445">
        <v>1</v>
      </c>
      <c r="AM445">
        <f t="shared" si="342"/>
        <v>60.649223652430877</v>
      </c>
      <c r="AN445">
        <f t="shared" si="369"/>
        <v>720.58082975237676</v>
      </c>
      <c r="AO445">
        <f t="shared" si="370"/>
        <v>-894.97302523297935</v>
      </c>
      <c r="AQ445">
        <f t="shared" si="343"/>
        <v>8.534449138189867E-3</v>
      </c>
      <c r="AR445">
        <f t="shared" si="344"/>
        <v>-5.194791173679099</v>
      </c>
      <c r="AT445">
        <f t="shared" si="365"/>
        <v>-76436.497516228017</v>
      </c>
      <c r="AU445">
        <f t="shared" si="366"/>
        <v>-62350.27765924907</v>
      </c>
      <c r="AV445">
        <f t="shared" si="354"/>
        <v>-2.4573435207274565</v>
      </c>
      <c r="AW445">
        <f t="shared" si="355"/>
        <v>7206.9007023755057</v>
      </c>
      <c r="AX445">
        <f t="shared" si="356"/>
        <v>-23356.076195593367</v>
      </c>
      <c r="AY445">
        <f t="shared" si="364"/>
        <v>-1.2714990825945773</v>
      </c>
      <c r="BA445">
        <f t="shared" si="345"/>
        <v>4.0356112297433171</v>
      </c>
      <c r="BB445">
        <f t="shared" si="357"/>
        <v>12.11818643717667</v>
      </c>
      <c r="BC445">
        <f t="shared" si="358"/>
        <v>-1.1858444381328792</v>
      </c>
      <c r="BD445">
        <f t="shared" si="346"/>
        <v>-247.94388154171364</v>
      </c>
      <c r="BF445">
        <f t="shared" si="347"/>
        <v>-33.80430087299834</v>
      </c>
      <c r="BG445">
        <f t="shared" si="348"/>
        <v>-194.15470559844709</v>
      </c>
      <c r="BH445">
        <f t="shared" si="359"/>
        <v>-14.154705598447094</v>
      </c>
      <c r="BI445">
        <f t="shared" si="360"/>
        <v>-14.154705598447094</v>
      </c>
      <c r="BJ445">
        <f t="shared" si="349"/>
        <v>0</v>
      </c>
      <c r="BK445">
        <f t="shared" si="361"/>
        <v>0</v>
      </c>
      <c r="BM445">
        <f t="shared" si="362"/>
        <v>-45.922487310175015</v>
      </c>
      <c r="BN445">
        <f t="shared" si="350"/>
        <v>-126.21082405673346</v>
      </c>
      <c r="BQ445" s="75">
        <f t="shared" si="363"/>
        <v>29.020147237461806</v>
      </c>
    </row>
    <row r="446" spans="1:69">
      <c r="A446">
        <f t="shared" si="372"/>
        <v>1160000</v>
      </c>
      <c r="B446">
        <f t="shared" si="351"/>
        <v>1160</v>
      </c>
      <c r="C446">
        <f t="shared" si="320"/>
        <v>1.6845813127209137</v>
      </c>
      <c r="D446">
        <f t="shared" si="321"/>
        <v>0.93524744760687928</v>
      </c>
      <c r="F446">
        <f t="shared" si="322"/>
        <v>3.3158969413382282E-4</v>
      </c>
      <c r="G446">
        <f t="shared" si="323"/>
        <v>5.5914202910121317E-3</v>
      </c>
      <c r="H446">
        <f t="shared" si="324"/>
        <v>-3.1360012297089881</v>
      </c>
      <c r="J446">
        <f t="shared" si="325"/>
        <v>9</v>
      </c>
      <c r="M446">
        <f t="shared" si="326"/>
        <v>3.6385524903193591E-3</v>
      </c>
      <c r="N446">
        <f t="shared" si="327"/>
        <v>-1.5707963250000001</v>
      </c>
      <c r="O446">
        <f t="shared" si="328"/>
        <v>149.18426619318407</v>
      </c>
      <c r="P446">
        <f t="shared" si="329"/>
        <v>1.5640931568540921</v>
      </c>
      <c r="Q446">
        <f t="shared" si="330"/>
        <v>60.919982444718954</v>
      </c>
      <c r="R446">
        <f t="shared" si="331"/>
        <v>1.5543806143491152</v>
      </c>
      <c r="S446">
        <f t="shared" si="332"/>
        <v>0.78785575234420546</v>
      </c>
      <c r="T446">
        <f t="shared" si="333"/>
        <v>-0.66347683899273391</v>
      </c>
      <c r="U446">
        <f t="shared" si="334"/>
        <v>0.63439006035372758</v>
      </c>
      <c r="V446">
        <f t="shared" si="335"/>
        <v>-0.88357710427595315</v>
      </c>
      <c r="X446">
        <f t="shared" si="352"/>
        <v>-21.608999423969895</v>
      </c>
      <c r="Y446">
        <f t="shared" si="336"/>
        <v>-126.05817951928488</v>
      </c>
      <c r="Z446">
        <f t="shared" si="353"/>
        <v>53.941820480715123</v>
      </c>
      <c r="AC446">
        <v>1</v>
      </c>
      <c r="AD446">
        <f t="shared" si="337"/>
        <v>149.18091459566404</v>
      </c>
      <c r="AE446">
        <f t="shared" si="338"/>
        <v>-6.0889043172636936E-3</v>
      </c>
      <c r="AF446">
        <f t="shared" si="339"/>
        <v>4.9969921363488008E-3</v>
      </c>
      <c r="AG446">
        <f t="shared" si="367"/>
        <v>11916.684540567925</v>
      </c>
      <c r="AH446">
        <f t="shared" si="368"/>
        <v>-14720.766000700974</v>
      </c>
      <c r="AJ446">
        <f t="shared" si="340"/>
        <v>55000</v>
      </c>
      <c r="AK446">
        <f t="shared" si="341"/>
        <v>42993.009574515003</v>
      </c>
      <c r="AL446">
        <v>1</v>
      </c>
      <c r="AM446">
        <f t="shared" si="342"/>
        <v>60.911774404173002</v>
      </c>
      <c r="AN446">
        <f t="shared" si="369"/>
        <v>720.45392652008343</v>
      </c>
      <c r="AO446">
        <f t="shared" si="370"/>
        <v>-891.11746627695152</v>
      </c>
      <c r="AQ446">
        <f t="shared" si="343"/>
        <v>8.4610350593867668E-3</v>
      </c>
      <c r="AR446">
        <f t="shared" si="344"/>
        <v>-5.1723999525043185</v>
      </c>
      <c r="AT446">
        <f t="shared" si="365"/>
        <v>-76040.861877163508</v>
      </c>
      <c r="AU446">
        <f t="shared" si="366"/>
        <v>-61762.411468875442</v>
      </c>
      <c r="AV446">
        <f t="shared" si="354"/>
        <v>-2.4594407979820634</v>
      </c>
      <c r="AW446">
        <f t="shared" si="355"/>
        <v>7189.3233545644071</v>
      </c>
      <c r="AX446">
        <f t="shared" si="356"/>
        <v>-23301.429895838155</v>
      </c>
      <c r="AY446">
        <f t="shared" si="364"/>
        <v>-1.2715271131675103</v>
      </c>
      <c r="BA446">
        <f t="shared" si="345"/>
        <v>4.017309103709783</v>
      </c>
      <c r="BB446">
        <f t="shared" si="357"/>
        <v>12.07870497852624</v>
      </c>
      <c r="BC446">
        <f t="shared" si="358"/>
        <v>-1.1879136848145531</v>
      </c>
      <c r="BD446">
        <f t="shared" si="346"/>
        <v>-248.06244064348047</v>
      </c>
      <c r="BF446">
        <f t="shared" si="347"/>
        <v>-33.894584775965342</v>
      </c>
      <c r="BG446">
        <f t="shared" si="348"/>
        <v>-194.15634424946822</v>
      </c>
      <c r="BH446">
        <f t="shared" si="359"/>
        <v>-14.156344249468219</v>
      </c>
      <c r="BI446">
        <f t="shared" si="360"/>
        <v>-14.156344249468219</v>
      </c>
      <c r="BJ446">
        <f t="shared" si="349"/>
        <v>0</v>
      </c>
      <c r="BK446">
        <f t="shared" si="361"/>
        <v>0</v>
      </c>
      <c r="BM446">
        <f t="shared" si="362"/>
        <v>-45.973289754491582</v>
      </c>
      <c r="BN446">
        <f t="shared" si="350"/>
        <v>-126.09390360598775</v>
      </c>
      <c r="BQ446" s="75">
        <f t="shared" si="363"/>
        <v>28.980665778811378</v>
      </c>
    </row>
    <row r="447" spans="1:69">
      <c r="A447">
        <f t="shared" si="372"/>
        <v>1165000</v>
      </c>
      <c r="B447">
        <f t="shared" si="351"/>
        <v>1165</v>
      </c>
      <c r="C447">
        <f t="shared" si="320"/>
        <v>1.6892872964379759</v>
      </c>
      <c r="D447">
        <f t="shared" si="321"/>
        <v>0.93730081956489208</v>
      </c>
      <c r="F447">
        <f t="shared" si="322"/>
        <v>3.2874864753206612E-4</v>
      </c>
      <c r="G447">
        <f t="shared" si="323"/>
        <v>5.5674074412744908E-3</v>
      </c>
      <c r="H447">
        <f t="shared" si="324"/>
        <v>-3.1360252425587256</v>
      </c>
      <c r="J447">
        <f t="shared" si="325"/>
        <v>9</v>
      </c>
      <c r="M447">
        <f t="shared" si="326"/>
        <v>3.6229363852106925E-3</v>
      </c>
      <c r="N447">
        <f t="shared" si="327"/>
        <v>-1.5707963250000001</v>
      </c>
      <c r="O447">
        <f t="shared" si="328"/>
        <v>149.82727299256845</v>
      </c>
      <c r="P447">
        <f t="shared" si="329"/>
        <v>1.5641219249675684</v>
      </c>
      <c r="Q447">
        <f t="shared" si="330"/>
        <v>61.182497973535128</v>
      </c>
      <c r="R447">
        <f t="shared" si="331"/>
        <v>1.5544510554755897</v>
      </c>
      <c r="S447">
        <f t="shared" si="332"/>
        <v>0.7865681204240611</v>
      </c>
      <c r="T447">
        <f t="shared" si="333"/>
        <v>-0.66556483920930942</v>
      </c>
      <c r="U447">
        <f t="shared" si="334"/>
        <v>0.63275888920309142</v>
      </c>
      <c r="V447">
        <f t="shared" si="335"/>
        <v>-0.88568542872539446</v>
      </c>
      <c r="X447">
        <f t="shared" si="352"/>
        <v>-21.658732325414004</v>
      </c>
      <c r="Y447">
        <f t="shared" si="336"/>
        <v>-126.17665322949119</v>
      </c>
      <c r="Z447">
        <f t="shared" si="353"/>
        <v>53.823346770508806</v>
      </c>
      <c r="AC447">
        <v>1</v>
      </c>
      <c r="AD447">
        <f t="shared" si="337"/>
        <v>149.82393577926601</v>
      </c>
      <c r="AE447">
        <f t="shared" si="338"/>
        <v>-6.1415079979178187E-3</v>
      </c>
      <c r="AF447">
        <f t="shared" si="339"/>
        <v>5.0185308955572007E-3</v>
      </c>
      <c r="AG447">
        <f t="shared" si="367"/>
        <v>11855.481936244239</v>
      </c>
      <c r="AH447">
        <f t="shared" si="368"/>
        <v>-14707.598432034591</v>
      </c>
      <c r="AJ447">
        <f t="shared" si="340"/>
        <v>55000</v>
      </c>
      <c r="AK447">
        <f t="shared" si="341"/>
        <v>43178.32427095688</v>
      </c>
      <c r="AL447">
        <v>1</v>
      </c>
      <c r="AM447">
        <f t="shared" si="342"/>
        <v>61.174325155915135</v>
      </c>
      <c r="AN447">
        <f t="shared" si="369"/>
        <v>720.3286531441338</v>
      </c>
      <c r="AO447">
        <f t="shared" si="370"/>
        <v>-887.29497560476807</v>
      </c>
      <c r="AQ447">
        <f t="shared" si="343"/>
        <v>8.3885641930054149E-3</v>
      </c>
      <c r="AR447">
        <f t="shared" si="344"/>
        <v>-5.1502009291166395</v>
      </c>
      <c r="AT447">
        <f t="shared" si="365"/>
        <v>-75647.636638477779</v>
      </c>
      <c r="AU447">
        <f t="shared" si="366"/>
        <v>-61181.48971674269</v>
      </c>
      <c r="AV447">
        <f t="shared" si="354"/>
        <v>-2.461527374919446</v>
      </c>
      <c r="AW447">
        <f t="shared" si="355"/>
        <v>7171.5805724372003</v>
      </c>
      <c r="AX447">
        <f t="shared" si="356"/>
        <v>-23246.983742294102</v>
      </c>
      <c r="AY447">
        <f t="shared" si="364"/>
        <v>-1.2715641992362772</v>
      </c>
      <c r="BA447">
        <f t="shared" si="345"/>
        <v>3.9991716853615888</v>
      </c>
      <c r="BB447">
        <f t="shared" si="357"/>
        <v>12.039400977917527</v>
      </c>
      <c r="BC447">
        <f t="shared" si="358"/>
        <v>-1.1899631756831688</v>
      </c>
      <c r="BD447">
        <f t="shared" si="346"/>
        <v>-248.17986782053694</v>
      </c>
      <c r="BF447">
        <f t="shared" si="347"/>
        <v>-33.984399013966481</v>
      </c>
      <c r="BG447">
        <f t="shared" si="348"/>
        <v>-194.15749771437117</v>
      </c>
      <c r="BH447">
        <f t="shared" si="359"/>
        <v>-14.157497714371175</v>
      </c>
      <c r="BI447">
        <f t="shared" si="360"/>
        <v>-14.157497714371175</v>
      </c>
      <c r="BJ447">
        <f t="shared" si="349"/>
        <v>0</v>
      </c>
      <c r="BK447">
        <f t="shared" si="361"/>
        <v>0</v>
      </c>
      <c r="BM447">
        <f t="shared" si="362"/>
        <v>-46.023799991884005</v>
      </c>
      <c r="BN447">
        <f t="shared" si="350"/>
        <v>-125.97762989383428</v>
      </c>
      <c r="BQ447" s="75">
        <f t="shared" si="363"/>
        <v>28.941361778202666</v>
      </c>
    </row>
    <row r="448" spans="1:69">
      <c r="A448">
        <f t="shared" si="372"/>
        <v>1170000</v>
      </c>
      <c r="B448">
        <f t="shared" si="351"/>
        <v>1170</v>
      </c>
      <c r="C448">
        <f t="shared" si="320"/>
        <v>1.6940003631674789</v>
      </c>
      <c r="D448">
        <f t="shared" si="321"/>
        <v>0.93934277426383284</v>
      </c>
      <c r="F448">
        <f t="shared" si="322"/>
        <v>3.2594396182590726E-4</v>
      </c>
      <c r="G448">
        <f t="shared" si="323"/>
        <v>5.5436000250275721E-3</v>
      </c>
      <c r="H448">
        <f t="shared" si="324"/>
        <v>-3.1360490499749725</v>
      </c>
      <c r="J448">
        <f t="shared" si="325"/>
        <v>9</v>
      </c>
      <c r="M448">
        <f t="shared" si="326"/>
        <v>3.6074537510858611E-3</v>
      </c>
      <c r="N448">
        <f t="shared" si="327"/>
        <v>-1.5707963250000001</v>
      </c>
      <c r="O448">
        <f t="shared" si="328"/>
        <v>150.47027991489077</v>
      </c>
      <c r="P448">
        <f t="shared" si="329"/>
        <v>1.5641504472106393</v>
      </c>
      <c r="Q448">
        <f t="shared" si="330"/>
        <v>61.445013803341901</v>
      </c>
      <c r="R448">
        <f t="shared" si="331"/>
        <v>1.5545208947013061</v>
      </c>
      <c r="S448">
        <f t="shared" si="332"/>
        <v>0.78528128364153338</v>
      </c>
      <c r="T448">
        <f t="shared" si="333"/>
        <v>-0.66764601647769117</v>
      </c>
      <c r="U448">
        <f t="shared" si="334"/>
        <v>0.63113330096225817</v>
      </c>
      <c r="V448">
        <f t="shared" si="335"/>
        <v>-0.88778292968314598</v>
      </c>
      <c r="X448">
        <f t="shared" si="352"/>
        <v>-21.708331240162963</v>
      </c>
      <c r="Y448">
        <f t="shared" si="336"/>
        <v>-126.29480683716447</v>
      </c>
      <c r="Z448">
        <f t="shared" si="353"/>
        <v>53.705193162835528</v>
      </c>
      <c r="AC448">
        <v>1</v>
      </c>
      <c r="AD448">
        <f t="shared" si="337"/>
        <v>150.46695696286804</v>
      </c>
      <c r="AE448">
        <f t="shared" si="338"/>
        <v>-6.1943379309618539E-3</v>
      </c>
      <c r="AF448">
        <f t="shared" si="339"/>
        <v>5.0400696547656006E-3</v>
      </c>
      <c r="AG448">
        <f t="shared" si="367"/>
        <v>11794.645567659056</v>
      </c>
      <c r="AH448">
        <f t="shared" si="368"/>
        <v>-14694.245416226478</v>
      </c>
      <c r="AJ448">
        <f t="shared" si="340"/>
        <v>55000</v>
      </c>
      <c r="AK448">
        <f t="shared" si="341"/>
        <v>43363.638967398758</v>
      </c>
      <c r="AL448">
        <v>1</v>
      </c>
      <c r="AM448">
        <f t="shared" si="342"/>
        <v>61.436875907657253</v>
      </c>
      <c r="AN448">
        <f t="shared" si="369"/>
        <v>720.20498183567872</v>
      </c>
      <c r="AO448">
        <f t="shared" si="370"/>
        <v>-883.50512971638739</v>
      </c>
      <c r="AQ448">
        <f t="shared" si="343"/>
        <v>8.3170204503283541E-3</v>
      </c>
      <c r="AR448">
        <f t="shared" si="344"/>
        <v>-5.1281916394679596</v>
      </c>
      <c r="AT448">
        <f t="shared" si="365"/>
        <v>-75256.810183392416</v>
      </c>
      <c r="AU448">
        <f t="shared" si="366"/>
        <v>-60607.415130185902</v>
      </c>
      <c r="AV448">
        <f t="shared" si="354"/>
        <v>-2.463603314230562</v>
      </c>
      <c r="AW448">
        <f t="shared" si="355"/>
        <v>7153.6794942590432</v>
      </c>
      <c r="AX448">
        <f t="shared" si="356"/>
        <v>-23192.736221032719</v>
      </c>
      <c r="AY448">
        <f t="shared" si="364"/>
        <v>-1.2716101048082946</v>
      </c>
      <c r="BA448">
        <f t="shared" si="345"/>
        <v>3.9811968227473402</v>
      </c>
      <c r="BB448">
        <f t="shared" si="357"/>
        <v>12.000272976048139</v>
      </c>
      <c r="BC448">
        <f t="shared" si="358"/>
        <v>-1.1919932094222674</v>
      </c>
      <c r="BD448">
        <f t="shared" si="346"/>
        <v>-248.29618018618936</v>
      </c>
      <c r="BF448">
        <f t="shared" si="347"/>
        <v>-34.07374805189955</v>
      </c>
      <c r="BG448">
        <f t="shared" si="348"/>
        <v>-194.15817875815733</v>
      </c>
      <c r="BH448">
        <f t="shared" si="359"/>
        <v>-14.158178758157334</v>
      </c>
      <c r="BI448">
        <f t="shared" si="360"/>
        <v>-14.158178758157334</v>
      </c>
      <c r="BJ448">
        <f t="shared" si="349"/>
        <v>0</v>
      </c>
      <c r="BK448">
        <f t="shared" si="361"/>
        <v>0</v>
      </c>
      <c r="BM448">
        <f t="shared" si="362"/>
        <v>-46.074021027947687</v>
      </c>
      <c r="BN448">
        <f t="shared" si="350"/>
        <v>-125.86199857196797</v>
      </c>
      <c r="BQ448" s="75">
        <f t="shared" si="363"/>
        <v>28.902233776333276</v>
      </c>
    </row>
    <row r="449" spans="1:69">
      <c r="A449">
        <f t="shared" si="372"/>
        <v>1175000</v>
      </c>
      <c r="B449">
        <f t="shared" si="351"/>
        <v>1175</v>
      </c>
      <c r="C449">
        <f t="shared" si="320"/>
        <v>1.698720453954385</v>
      </c>
      <c r="D449">
        <f t="shared" si="321"/>
        <v>0.94137338977696439</v>
      </c>
      <c r="F449">
        <f t="shared" si="322"/>
        <v>3.2317501910642085E-4</v>
      </c>
      <c r="G449">
        <f t="shared" si="323"/>
        <v>5.5199954164087614E-3</v>
      </c>
      <c r="H449">
        <f t="shared" si="324"/>
        <v>-3.1360726545835913</v>
      </c>
      <c r="J449">
        <f t="shared" si="325"/>
        <v>9</v>
      </c>
      <c r="M449">
        <f t="shared" si="326"/>
        <v>3.5921028840599635E-3</v>
      </c>
      <c r="N449">
        <f t="shared" si="327"/>
        <v>-1.5707963250000001</v>
      </c>
      <c r="O449">
        <f t="shared" si="328"/>
        <v>151.11328695858168</v>
      </c>
      <c r="P449">
        <f t="shared" si="329"/>
        <v>1.5641787267218921</v>
      </c>
      <c r="Q449">
        <f t="shared" si="330"/>
        <v>61.707529930297831</v>
      </c>
      <c r="R449">
        <f t="shared" si="331"/>
        <v>1.5545901397073958</v>
      </c>
      <c r="S449">
        <f t="shared" si="332"/>
        <v>0.78399527146045278</v>
      </c>
      <c r="T449">
        <f t="shared" si="333"/>
        <v>-0.66972038624608432</v>
      </c>
      <c r="U449">
        <f t="shared" si="334"/>
        <v>0.62951329545955792</v>
      </c>
      <c r="V449">
        <f t="shared" si="335"/>
        <v>-0.88986967196803091</v>
      </c>
      <c r="X449">
        <f t="shared" si="352"/>
        <v>-21.757797182726222</v>
      </c>
      <c r="Y449">
        <f t="shared" si="336"/>
        <v>-126.41263999852487</v>
      </c>
      <c r="Z449">
        <f t="shared" si="353"/>
        <v>53.587360001475133</v>
      </c>
      <c r="AC449">
        <v>1</v>
      </c>
      <c r="AD449">
        <f t="shared" si="337"/>
        <v>151.10997814647001</v>
      </c>
      <c r="AE449">
        <f t="shared" si="338"/>
        <v>-6.2473941163957982E-3</v>
      </c>
      <c r="AF449">
        <f t="shared" si="339"/>
        <v>5.0616084139740005E-3</v>
      </c>
      <c r="AG449">
        <f t="shared" si="367"/>
        <v>11734.173816040977</v>
      </c>
      <c r="AH449">
        <f t="shared" si="368"/>
        <v>-14680.710632207694</v>
      </c>
      <c r="AJ449">
        <f t="shared" si="340"/>
        <v>55000</v>
      </c>
      <c r="AK449">
        <f t="shared" si="341"/>
        <v>43548.953663840628</v>
      </c>
      <c r="AL449">
        <v>1</v>
      </c>
      <c r="AM449">
        <f t="shared" si="342"/>
        <v>61.699426659399379</v>
      </c>
      <c r="AN449">
        <f t="shared" si="369"/>
        <v>720.08288539554871</v>
      </c>
      <c r="AO449">
        <f t="shared" si="370"/>
        <v>-879.74751231072219</v>
      </c>
      <c r="AQ449">
        <f t="shared" si="343"/>
        <v>8.246388084219583E-3</v>
      </c>
      <c r="AR449">
        <f t="shared" si="344"/>
        <v>-5.1063696614508709</v>
      </c>
      <c r="AT449">
        <f t="shared" si="365"/>
        <v>-74868.370829709835</v>
      </c>
      <c r="AU449">
        <f t="shared" si="366"/>
        <v>-60040.092013648151</v>
      </c>
      <c r="AV449">
        <f t="shared" si="354"/>
        <v>-2.4656686783616664</v>
      </c>
      <c r="AW449">
        <f t="shared" si="355"/>
        <v>7135.627061141613</v>
      </c>
      <c r="AX449">
        <f t="shared" si="356"/>
        <v>-23138.685858683151</v>
      </c>
      <c r="AY449">
        <f t="shared" si="364"/>
        <v>-1.2716645996182954</v>
      </c>
      <c r="BA449">
        <f t="shared" si="345"/>
        <v>3.9633823989325649</v>
      </c>
      <c r="BB449">
        <f t="shared" si="357"/>
        <v>11.961319527604289</v>
      </c>
      <c r="BC449">
        <f t="shared" si="358"/>
        <v>-1.194004078743371</v>
      </c>
      <c r="BD449">
        <f t="shared" si="346"/>
        <v>-248.41139451157258</v>
      </c>
      <c r="BF449">
        <f t="shared" si="347"/>
        <v>-34.162636299069781</v>
      </c>
      <c r="BG449">
        <f t="shared" si="348"/>
        <v>-194.15839982914383</v>
      </c>
      <c r="BH449">
        <f t="shared" si="359"/>
        <v>-14.158399829143832</v>
      </c>
      <c r="BI449">
        <f t="shared" si="360"/>
        <v>-14.158399829143832</v>
      </c>
      <c r="BJ449">
        <f t="shared" si="349"/>
        <v>0</v>
      </c>
      <c r="BK449">
        <f t="shared" si="361"/>
        <v>0</v>
      </c>
      <c r="BM449">
        <f t="shared" si="362"/>
        <v>-46.12395582667407</v>
      </c>
      <c r="BN449">
        <f t="shared" si="350"/>
        <v>-125.74700531757126</v>
      </c>
      <c r="BQ449" s="75">
        <f t="shared" si="363"/>
        <v>28.863280327889424</v>
      </c>
    </row>
    <row r="450" spans="1:69">
      <c r="A450">
        <f t="shared" si="372"/>
        <v>1180000</v>
      </c>
      <c r="B450">
        <f t="shared" si="351"/>
        <v>1180</v>
      </c>
      <c r="C450">
        <f t="shared" si="320"/>
        <v>1.7034475104097127</v>
      </c>
      <c r="D450">
        <f t="shared" si="321"/>
        <v>0.94339274368692005</v>
      </c>
      <c r="F450">
        <f t="shared" si="322"/>
        <v>3.2044121453621608E-4</v>
      </c>
      <c r="G450">
        <f t="shared" si="323"/>
        <v>5.4965910341312476E-3</v>
      </c>
      <c r="H450">
        <f t="shared" si="324"/>
        <v>-3.1360960589658688</v>
      </c>
      <c r="J450">
        <f t="shared" si="325"/>
        <v>9</v>
      </c>
      <c r="M450">
        <f t="shared" si="326"/>
        <v>3.5768821091275061E-3</v>
      </c>
      <c r="N450">
        <f t="shared" si="327"/>
        <v>-1.5707963250000001</v>
      </c>
      <c r="O450">
        <f t="shared" si="328"/>
        <v>151.75629412209844</v>
      </c>
      <c r="P450">
        <f t="shared" si="329"/>
        <v>1.5642067665867203</v>
      </c>
      <c r="Q450">
        <f t="shared" si="330"/>
        <v>61.97004635062661</v>
      </c>
      <c r="R450">
        <f t="shared" si="331"/>
        <v>1.5546587980448587</v>
      </c>
      <c r="S450">
        <f t="shared" si="332"/>
        <v>0.78271011295705795</v>
      </c>
      <c r="T450">
        <f t="shared" si="333"/>
        <v>-0.67178796409614072</v>
      </c>
      <c r="U450">
        <f t="shared" si="334"/>
        <v>0.62789887197922545</v>
      </c>
      <c r="V450">
        <f t="shared" si="335"/>
        <v>-0.89194572011043005</v>
      </c>
      <c r="X450">
        <f t="shared" si="352"/>
        <v>-21.807131152093028</v>
      </c>
      <c r="Y450">
        <f t="shared" si="336"/>
        <v>-126.53015239697265</v>
      </c>
      <c r="Z450">
        <f t="shared" si="353"/>
        <v>53.469847603027347</v>
      </c>
      <c r="AC450">
        <v>1</v>
      </c>
      <c r="AD450">
        <f t="shared" si="337"/>
        <v>151.75299933007202</v>
      </c>
      <c r="AE450">
        <f t="shared" si="338"/>
        <v>-6.3006765542196535E-3</v>
      </c>
      <c r="AF450">
        <f t="shared" si="339"/>
        <v>5.0831471731824004E-3</v>
      </c>
      <c r="AG450">
        <f t="shared" si="367"/>
        <v>11674.065047989861</v>
      </c>
      <c r="AH450">
        <f t="shared" si="368"/>
        <v>-14666.997708356454</v>
      </c>
      <c r="AJ450">
        <f t="shared" si="340"/>
        <v>55000</v>
      </c>
      <c r="AK450">
        <f t="shared" si="341"/>
        <v>43734.268360282505</v>
      </c>
      <c r="AL450">
        <v>1</v>
      </c>
      <c r="AM450">
        <f t="shared" si="342"/>
        <v>61.961977411141511</v>
      </c>
      <c r="AN450">
        <f t="shared" si="369"/>
        <v>719.96233719930308</v>
      </c>
      <c r="AO450">
        <f t="shared" si="370"/>
        <v>-876.02171413335952</v>
      </c>
      <c r="AQ450">
        <f t="shared" si="343"/>
        <v>8.1766516804587814E-3</v>
      </c>
      <c r="AR450">
        <f t="shared" si="344"/>
        <v>-5.0847326140100977</v>
      </c>
      <c r="AT450">
        <f t="shared" si="365"/>
        <v>-74482.306833698996</v>
      </c>
      <c r="AU450">
        <f t="shared" si="366"/>
        <v>-59479.426219048721</v>
      </c>
      <c r="AV450">
        <f t="shared" si="354"/>
        <v>-2.4677235295107809</v>
      </c>
      <c r="AW450">
        <f t="shared" si="355"/>
        <v>7117.4300223677665</v>
      </c>
      <c r="AX450">
        <f t="shared" si="356"/>
        <v>-23084.83122093627</v>
      </c>
      <c r="AY450">
        <f t="shared" si="364"/>
        <v>-1.2717274589786218</v>
      </c>
      <c r="BA450">
        <f t="shared" si="345"/>
        <v>3.9457263313766329</v>
      </c>
      <c r="BB450">
        <f t="shared" si="357"/>
        <v>11.922539201219482</v>
      </c>
      <c r="BC450">
        <f t="shared" si="358"/>
        <v>-1.1959960705321591</v>
      </c>
      <c r="BD450">
        <f t="shared" si="346"/>
        <v>-248.52552723402528</v>
      </c>
      <c r="BF450">
        <f t="shared" si="347"/>
        <v>-34.251068109937187</v>
      </c>
      <c r="BG450">
        <f t="shared" si="348"/>
        <v>-194.15817306740874</v>
      </c>
      <c r="BH450">
        <f t="shared" si="359"/>
        <v>-14.15817306740874</v>
      </c>
      <c r="BI450">
        <f t="shared" si="360"/>
        <v>-14.15817306740874</v>
      </c>
      <c r="BJ450">
        <f t="shared" si="349"/>
        <v>0</v>
      </c>
      <c r="BK450">
        <f t="shared" si="361"/>
        <v>0</v>
      </c>
      <c r="BM450">
        <f t="shared" si="362"/>
        <v>-46.173607311156665</v>
      </c>
      <c r="BN450">
        <f t="shared" si="350"/>
        <v>-125.63264583338351</v>
      </c>
      <c r="BQ450" s="75">
        <f t="shared" si="363"/>
        <v>28.824500001504617</v>
      </c>
    </row>
    <row r="451" spans="1:69">
      <c r="A451">
        <f t="shared" si="372"/>
        <v>1185000</v>
      </c>
      <c r="B451">
        <f t="shared" si="351"/>
        <v>1185</v>
      </c>
      <c r="C451">
        <f t="shared" si="320"/>
        <v>1.7081814747051089</v>
      </c>
      <c r="D451">
        <f t="shared" si="321"/>
        <v>0.94540091308558005</v>
      </c>
      <c r="F451">
        <f t="shared" si="322"/>
        <v>3.1774195601897662E-4</v>
      </c>
      <c r="G451">
        <f t="shared" si="323"/>
        <v>5.4733843405418746E-3</v>
      </c>
      <c r="H451">
        <f t="shared" si="324"/>
        <v>-3.1361192656594583</v>
      </c>
      <c r="J451">
        <f t="shared" si="325"/>
        <v>9</v>
      </c>
      <c r="M451">
        <f t="shared" si="326"/>
        <v>3.5617897795531283E-3</v>
      </c>
      <c r="N451">
        <f t="shared" si="327"/>
        <v>-1.5707963250000001</v>
      </c>
      <c r="O451">
        <f t="shared" si="328"/>
        <v>152.39930140392428</v>
      </c>
      <c r="P451">
        <f t="shared" si="329"/>
        <v>1.5642345698384481</v>
      </c>
      <c r="Q451">
        <f t="shared" si="330"/>
        <v>62.232563060615604</v>
      </c>
      <c r="R451">
        <f t="shared" si="331"/>
        <v>1.5547268771373071</v>
      </c>
      <c r="S451">
        <f t="shared" si="332"/>
        <v>0.7814258368224416</v>
      </c>
      <c r="T451">
        <f t="shared" si="333"/>
        <v>-0.67384876573992258</v>
      </c>
      <c r="U451">
        <f t="shared" si="334"/>
        <v>0.62629002927396538</v>
      </c>
      <c r="V451">
        <f t="shared" si="335"/>
        <v>-0.89401113834975143</v>
      </c>
      <c r="X451">
        <f t="shared" si="352"/>
        <v>-21.856334132046292</v>
      </c>
      <c r="Y451">
        <f t="shared" si="336"/>
        <v>-126.6473437426088</v>
      </c>
      <c r="Z451">
        <f t="shared" si="353"/>
        <v>53.352656257391203</v>
      </c>
      <c r="AC451">
        <v>1</v>
      </c>
      <c r="AD451">
        <f t="shared" si="337"/>
        <v>152.39602051367402</v>
      </c>
      <c r="AE451">
        <f t="shared" si="338"/>
        <v>-6.3541852444334189E-3</v>
      </c>
      <c r="AF451">
        <f t="shared" si="339"/>
        <v>5.1046859323908003E-3</v>
      </c>
      <c r="AG451">
        <f t="shared" si="367"/>
        <v>11614.317616201466</v>
      </c>
      <c r="AH451">
        <f t="shared" si="368"/>
        <v>-14653.110222982477</v>
      </c>
      <c r="AJ451">
        <f t="shared" si="340"/>
        <v>55000</v>
      </c>
      <c r="AK451">
        <f t="shared" si="341"/>
        <v>43919.583056724376</v>
      </c>
      <c r="AL451">
        <v>1</v>
      </c>
      <c r="AM451">
        <f t="shared" si="342"/>
        <v>62.22452816288363</v>
      </c>
      <c r="AN451">
        <f t="shared" si="369"/>
        <v>719.84331118271916</v>
      </c>
      <c r="AO451">
        <f t="shared" si="370"/>
        <v>-872.3273328281324</v>
      </c>
      <c r="AQ451">
        <f t="shared" si="343"/>
        <v>8.1077961493309508E-3</v>
      </c>
      <c r="AR451">
        <f t="shared" si="344"/>
        <v>-5.0632781562764322</v>
      </c>
      <c r="AT451">
        <f t="shared" si="365"/>
        <v>-74098.606393892318</v>
      </c>
      <c r="AU451">
        <f t="shared" si="366"/>
        <v>-58925.325116811066</v>
      </c>
      <c r="AV451">
        <f t="shared" si="354"/>
        <v>-2.4697679296243154</v>
      </c>
      <c r="AW451">
        <f t="shared" si="355"/>
        <v>7099.094940563039</v>
      </c>
      <c r="AX451">
        <f t="shared" si="356"/>
        <v>-23031.170911102341</v>
      </c>
      <c r="AY451">
        <f t="shared" si="364"/>
        <v>-1.2717984636338333</v>
      </c>
      <c r="BA451">
        <f t="shared" si="345"/>
        <v>3.9282265713191644</v>
      </c>
      <c r="BB451">
        <f t="shared" si="357"/>
        <v>11.883930579426085</v>
      </c>
      <c r="BC451">
        <f t="shared" si="358"/>
        <v>-1.197969465990482</v>
      </c>
      <c r="BD451">
        <f t="shared" si="346"/>
        <v>-248.63859446522667</v>
      </c>
      <c r="BF451">
        <f t="shared" si="347"/>
        <v>-34.339047784856817</v>
      </c>
      <c r="BG451">
        <f t="shared" si="348"/>
        <v>-194.15751031298879</v>
      </c>
      <c r="BH451">
        <f t="shared" si="359"/>
        <v>-14.157510312988791</v>
      </c>
      <c r="BI451">
        <f t="shared" si="360"/>
        <v>-14.157510312988791</v>
      </c>
      <c r="BJ451">
        <f t="shared" si="349"/>
        <v>0</v>
      </c>
      <c r="BK451">
        <f t="shared" si="361"/>
        <v>0</v>
      </c>
      <c r="BM451">
        <f t="shared" si="362"/>
        <v>-46.222978364282895</v>
      </c>
      <c r="BN451">
        <f t="shared" si="350"/>
        <v>-125.51891584776213</v>
      </c>
      <c r="BQ451" s="75">
        <f t="shared" si="363"/>
        <v>28.78589137971122</v>
      </c>
    </row>
    <row r="452" spans="1:69">
      <c r="A452">
        <f t="shared" si="372"/>
        <v>1190000</v>
      </c>
      <c r="B452">
        <f t="shared" si="351"/>
        <v>1190</v>
      </c>
      <c r="C452">
        <f t="shared" si="320"/>
        <v>1.7129222895674543</v>
      </c>
      <c r="D452">
        <f t="shared" si="321"/>
        <v>0.94739797457406527</v>
      </c>
      <c r="F452">
        <f t="shared" si="322"/>
        <v>3.1507666387870745E-4</v>
      </c>
      <c r="G452">
        <f t="shared" si="323"/>
        <v>5.4503728407027507E-3</v>
      </c>
      <c r="H452">
        <f t="shared" si="324"/>
        <v>-3.1361422771592973</v>
      </c>
      <c r="J452">
        <f t="shared" si="325"/>
        <v>9</v>
      </c>
      <c r="M452">
        <f t="shared" si="326"/>
        <v>3.5468242762776948E-3</v>
      </c>
      <c r="N452">
        <f t="shared" si="327"/>
        <v>-1.5707963250000001</v>
      </c>
      <c r="O452">
        <f t="shared" si="328"/>
        <v>153.04230880256804</v>
      </c>
      <c r="P452">
        <f t="shared" si="329"/>
        <v>1.5642621394594225</v>
      </c>
      <c r="Q452">
        <f t="shared" si="330"/>
        <v>62.49508005661459</v>
      </c>
      <c r="R452">
        <f t="shared" si="331"/>
        <v>1.55479438428364</v>
      </c>
      <c r="S452">
        <f t="shared" si="332"/>
        <v>0.78014247136502146</v>
      </c>
      <c r="T452">
        <f t="shared" si="333"/>
        <v>-0.67590280701689709</v>
      </c>
      <c r="U452">
        <f t="shared" si="334"/>
        <v>0.62468676557731107</v>
      </c>
      <c r="V452">
        <f t="shared" si="335"/>
        <v>-0.8960659906320263</v>
      </c>
      <c r="X452">
        <f t="shared" si="352"/>
        <v>-21.905407091469328</v>
      </c>
      <c r="Y452">
        <f t="shared" si="336"/>
        <v>-126.76421377176214</v>
      </c>
      <c r="Z452">
        <f t="shared" si="353"/>
        <v>53.235786228237856</v>
      </c>
      <c r="AC452">
        <v>1</v>
      </c>
      <c r="AD452">
        <f t="shared" si="337"/>
        <v>153.03904169727602</v>
      </c>
      <c r="AE452">
        <f t="shared" si="338"/>
        <v>-6.4079201870370951E-3</v>
      </c>
      <c r="AF452">
        <f t="shared" si="339"/>
        <v>5.1262246915992002E-3</v>
      </c>
      <c r="AG452">
        <f t="shared" si="367"/>
        <v>11554.929860174609</v>
      </c>
      <c r="AH452">
        <f t="shared" si="368"/>
        <v>-14639.051704813162</v>
      </c>
      <c r="AJ452">
        <f t="shared" si="340"/>
        <v>55000</v>
      </c>
      <c r="AK452">
        <f t="shared" si="341"/>
        <v>44104.89775316626</v>
      </c>
      <c r="AL452">
        <v>1</v>
      </c>
      <c r="AM452">
        <f t="shared" si="342"/>
        <v>62.487078914625755</v>
      </c>
      <c r="AN452">
        <f t="shared" si="369"/>
        <v>719.72578182770746</v>
      </c>
      <c r="AO452">
        <f t="shared" si="370"/>
        <v>-868.6639727924204</v>
      </c>
      <c r="AQ452">
        <f t="shared" si="343"/>
        <v>8.0398067174628895E-3</v>
      </c>
      <c r="AR452">
        <f t="shared" si="344"/>
        <v>-5.0420039867225022</v>
      </c>
      <c r="AT452">
        <f t="shared" si="365"/>
        <v>-73717.257654795161</v>
      </c>
      <c r="AU452">
        <f t="shared" si="366"/>
        <v>-58377.697567532901</v>
      </c>
      <c r="AV452">
        <f t="shared" si="354"/>
        <v>-2.4718019403938376</v>
      </c>
      <c r="AW452">
        <f t="shared" si="355"/>
        <v>7080.6281967190816</v>
      </c>
      <c r="AX452">
        <f t="shared" si="356"/>
        <v>-22977.703568720332</v>
      </c>
      <c r="AY452">
        <f t="shared" si="364"/>
        <v>-1.2718773996194852</v>
      </c>
      <c r="BA452">
        <f t="shared" si="345"/>
        <v>3.9108811031760191</v>
      </c>
      <c r="BB452">
        <f t="shared" si="357"/>
        <v>11.845492258600407</v>
      </c>
      <c r="BC452">
        <f t="shared" si="358"/>
        <v>-1.1999245407743524</v>
      </c>
      <c r="BD452">
        <f t="shared" si="346"/>
        <v>-248.75061199910289</v>
      </c>
      <c r="BF452">
        <f t="shared" si="347"/>
        <v>-34.426579570811697</v>
      </c>
      <c r="BG452">
        <f t="shared" si="348"/>
        <v>-194.15642311383851</v>
      </c>
      <c r="BH452">
        <f t="shared" si="359"/>
        <v>-14.156423113838514</v>
      </c>
      <c r="BI452">
        <f t="shared" si="360"/>
        <v>-14.156423113838514</v>
      </c>
      <c r="BJ452">
        <f t="shared" si="349"/>
        <v>0</v>
      </c>
      <c r="BK452">
        <f t="shared" si="361"/>
        <v>0</v>
      </c>
      <c r="BM452">
        <f t="shared" si="362"/>
        <v>-46.272071829412099</v>
      </c>
      <c r="BN452">
        <f t="shared" si="350"/>
        <v>-125.40581111473564</v>
      </c>
      <c r="BQ452" s="75">
        <f t="shared" si="363"/>
        <v>28.747453058885544</v>
      </c>
    </row>
    <row r="453" spans="1:69">
      <c r="A453">
        <f t="shared" si="372"/>
        <v>1195000</v>
      </c>
      <c r="B453">
        <f t="shared" si="351"/>
        <v>1195</v>
      </c>
      <c r="C453">
        <f t="shared" si="320"/>
        <v>1.7176698982735055</v>
      </c>
      <c r="D453">
        <f t="shared" si="321"/>
        <v>0.94938400426284519</v>
      </c>
      <c r="F453">
        <f t="shared" si="322"/>
        <v>3.1244477054836263E-4</v>
      </c>
      <c r="G453">
        <f t="shared" si="323"/>
        <v>5.4275540814960046E-3</v>
      </c>
      <c r="H453">
        <f t="shared" si="324"/>
        <v>-3.1361650959185043</v>
      </c>
      <c r="J453">
        <f t="shared" si="325"/>
        <v>9</v>
      </c>
      <c r="M453">
        <f t="shared" si="326"/>
        <v>3.5319840073392943E-3</v>
      </c>
      <c r="N453">
        <f t="shared" si="327"/>
        <v>-1.5707963250000001</v>
      </c>
      <c r="O453">
        <f t="shared" si="328"/>
        <v>153.68531631656339</v>
      </c>
      <c r="P453">
        <f t="shared" si="329"/>
        <v>1.5642894783820804</v>
      </c>
      <c r="Q453">
        <f t="shared" si="330"/>
        <v>62.757597335034397</v>
      </c>
      <c r="R453">
        <f t="shared" si="331"/>
        <v>1.5548613266606519</v>
      </c>
      <c r="S453">
        <f t="shared" si="332"/>
        <v>0.77886004451303303</v>
      </c>
      <c r="T453">
        <f t="shared" si="333"/>
        <v>-0.67795010389096255</v>
      </c>
      <c r="U453">
        <f t="shared" si="334"/>
        <v>0.62308907861577678</v>
      </c>
      <c r="V453">
        <f t="shared" si="335"/>
        <v>-0.89811034060763051</v>
      </c>
      <c r="X453">
        <f t="shared" si="352"/>
        <v>-21.954350984645622</v>
      </c>
      <c r="Y453">
        <f t="shared" si="336"/>
        <v>-126.88076224652281</v>
      </c>
      <c r="Z453">
        <f t="shared" si="353"/>
        <v>53.119237753477194</v>
      </c>
      <c r="AC453">
        <v>1</v>
      </c>
      <c r="AD453">
        <f t="shared" si="337"/>
        <v>153.68206288087802</v>
      </c>
      <c r="AE453">
        <f t="shared" si="338"/>
        <v>-6.4618813820306823E-3</v>
      </c>
      <c r="AF453">
        <f t="shared" si="339"/>
        <v>5.1477634508076001E-3</v>
      </c>
      <c r="AG453">
        <f t="shared" si="367"/>
        <v>11495.900106901099</v>
      </c>
      <c r="AH453">
        <f t="shared" si="368"/>
        <v>-14624.825633481221</v>
      </c>
      <c r="AJ453">
        <f t="shared" si="340"/>
        <v>55000</v>
      </c>
      <c r="AK453">
        <f t="shared" si="341"/>
        <v>44290.212449608131</v>
      </c>
      <c r="AL453">
        <v>1</v>
      </c>
      <c r="AM453">
        <f t="shared" si="342"/>
        <v>62.749629666367888</v>
      </c>
      <c r="AN453">
        <f t="shared" si="369"/>
        <v>719.60972414863841</v>
      </c>
      <c r="AO453">
        <f t="shared" si="370"/>
        <v>-865.03124503608331</v>
      </c>
      <c r="AQ453">
        <f t="shared" si="343"/>
        <v>7.9726689198982639E-3</v>
      </c>
      <c r="AR453">
        <f t="shared" si="344"/>
        <v>-5.0209078423397298</v>
      </c>
      <c r="AT453">
        <f t="shared" si="365"/>
        <v>-73338.248710508415</v>
      </c>
      <c r="AU453">
        <f t="shared" si="366"/>
        <v>-57836.45389428085</v>
      </c>
      <c r="AV453">
        <f t="shared" si="354"/>
        <v>-2.4738256232529867</v>
      </c>
      <c r="AW453">
        <f t="shared" si="355"/>
        <v>7062.0359950734437</v>
      </c>
      <c r="AX453">
        <f t="shared" si="356"/>
        <v>-22924.427868217048</v>
      </c>
      <c r="AY453">
        <f t="shared" si="364"/>
        <v>-1.2719640581249558</v>
      </c>
      <c r="BA453">
        <f t="shared" si="345"/>
        <v>3.89368794394484</v>
      </c>
      <c r="BB453">
        <f t="shared" si="357"/>
        <v>11.807222848901686</v>
      </c>
      <c r="BC453">
        <f t="shared" si="358"/>
        <v>-1.2018615651280309</v>
      </c>
      <c r="BD453">
        <f t="shared" si="346"/>
        <v>-248.86159531950955</v>
      </c>
      <c r="BF453">
        <f t="shared" si="347"/>
        <v>-34.513667662138332</v>
      </c>
      <c r="BG453">
        <f t="shared" si="348"/>
        <v>-194.1549227335581</v>
      </c>
      <c r="BH453">
        <f t="shared" si="359"/>
        <v>-14.154922733558095</v>
      </c>
      <c r="BI453">
        <f t="shared" si="360"/>
        <v>-14.154922733558095</v>
      </c>
      <c r="BJ453">
        <f t="shared" si="349"/>
        <v>0</v>
      </c>
      <c r="BK453">
        <f t="shared" si="361"/>
        <v>0</v>
      </c>
      <c r="BM453">
        <f t="shared" si="362"/>
        <v>-46.32089051104002</v>
      </c>
      <c r="BN453">
        <f t="shared" si="350"/>
        <v>-125.29332741404859</v>
      </c>
      <c r="BQ453" s="75">
        <f t="shared" si="363"/>
        <v>28.709183649186826</v>
      </c>
    </row>
    <row r="454" spans="1:69">
      <c r="A454">
        <f t="shared" si="372"/>
        <v>1200000</v>
      </c>
      <c r="B454">
        <f t="shared" si="351"/>
        <v>1200</v>
      </c>
      <c r="C454">
        <f t="shared" si="320"/>
        <v>1.722424244644575</v>
      </c>
      <c r="D454">
        <f t="shared" si="321"/>
        <v>0.95135907777195583</v>
      </c>
      <c r="F454">
        <f t="shared" si="322"/>
        <v>3.0984572026754499E-4</v>
      </c>
      <c r="G454">
        <f t="shared" si="323"/>
        <v>5.4049256507509372E-3</v>
      </c>
      <c r="H454">
        <f t="shared" si="324"/>
        <v>-3.1361877243492491</v>
      </c>
      <c r="J454">
        <f t="shared" si="325"/>
        <v>9</v>
      </c>
      <c r="M454">
        <f t="shared" si="326"/>
        <v>3.5172674073087142E-3</v>
      </c>
      <c r="N454">
        <f t="shared" si="327"/>
        <v>-1.5707963250000001</v>
      </c>
      <c r="O454">
        <f t="shared" si="328"/>
        <v>154.32832394446856</v>
      </c>
      <c r="P454">
        <f t="shared" si="329"/>
        <v>1.5643165894899889</v>
      </c>
      <c r="Q454">
        <f t="shared" si="330"/>
        <v>63.020114892345653</v>
      </c>
      <c r="R454">
        <f t="shared" si="331"/>
        <v>1.5549277113255742</v>
      </c>
      <c r="S454">
        <f t="shared" si="332"/>
        <v>0.77757858381704181</v>
      </c>
      <c r="T454">
        <f t="shared" si="333"/>
        <v>-0.67999067244750577</v>
      </c>
      <c r="U454">
        <f t="shared" si="334"/>
        <v>0.62149696562080903</v>
      </c>
      <c r="V454">
        <f t="shared" si="335"/>
        <v>-0.90014425162912559</v>
      </c>
      <c r="X454">
        <f t="shared" si="352"/>
        <v>-22.003166751551863</v>
      </c>
      <c r="Y454">
        <f t="shared" si="336"/>
        <v>-126.99698895428247</v>
      </c>
      <c r="Z454">
        <f t="shared" si="353"/>
        <v>53.003011045717528</v>
      </c>
      <c r="AC454">
        <v>1</v>
      </c>
      <c r="AD454">
        <f t="shared" si="337"/>
        <v>154.32508406448002</v>
      </c>
      <c r="AE454">
        <f t="shared" si="338"/>
        <v>-6.5160688294141787E-3</v>
      </c>
      <c r="AF454">
        <f t="shared" si="339"/>
        <v>5.169302210016E-3</v>
      </c>
      <c r="AG454">
        <f t="shared" si="367"/>
        <v>11437.226671538772</v>
      </c>
      <c r="AH454">
        <f t="shared" si="368"/>
        <v>-14610.435440013578</v>
      </c>
      <c r="AJ454">
        <f t="shared" si="340"/>
        <v>55000</v>
      </c>
      <c r="AK454">
        <f t="shared" si="341"/>
        <v>44475.527146050001</v>
      </c>
      <c r="AL454">
        <v>1</v>
      </c>
      <c r="AM454">
        <f t="shared" si="342"/>
        <v>63.012180418110006</v>
      </c>
      <c r="AN454">
        <f t="shared" si="369"/>
        <v>719.49511367906655</v>
      </c>
      <c r="AO454">
        <f t="shared" si="370"/>
        <v>-861.4287670439104</v>
      </c>
      <c r="AQ454">
        <f t="shared" si="343"/>
        <v>7.9063685924033456E-3</v>
      </c>
      <c r="AR454">
        <f t="shared" si="344"/>
        <v>-4.9999874978358765</v>
      </c>
      <c r="AT454">
        <f t="shared" si="365"/>
        <v>-72961.56760826605</v>
      </c>
      <c r="AU454">
        <f t="shared" si="366"/>
        <v>-57301.505855493153</v>
      </c>
      <c r="AV454">
        <f t="shared" si="354"/>
        <v>-2.4758390393745318</v>
      </c>
      <c r="AW454">
        <f t="shared" si="355"/>
        <v>7043.3243678504105</v>
      </c>
      <c r="AX454">
        <f t="shared" si="356"/>
        <v>-22871.342517614372</v>
      </c>
      <c r="AY454">
        <f t="shared" si="364"/>
        <v>-1.2720582353601895</v>
      </c>
      <c r="BA454">
        <f t="shared" si="345"/>
        <v>3.8766451426201844</v>
      </c>
      <c r="BB454">
        <f t="shared" si="357"/>
        <v>11.769120974205475</v>
      </c>
      <c r="BC454">
        <f t="shared" si="358"/>
        <v>-1.2037808040143423</v>
      </c>
      <c r="BD454">
        <f t="shared" si="346"/>
        <v>-248.97155960769823</v>
      </c>
      <c r="BF454">
        <f t="shared" si="347"/>
        <v>-34.600316201244539</v>
      </c>
      <c r="BG454">
        <f t="shared" si="348"/>
        <v>-194.15302015889753</v>
      </c>
      <c r="BH454">
        <f t="shared" si="359"/>
        <v>-14.153020158897533</v>
      </c>
      <c r="BI454">
        <f t="shared" si="360"/>
        <v>-14.153020158897533</v>
      </c>
      <c r="BJ454">
        <f t="shared" si="349"/>
        <v>0</v>
      </c>
      <c r="BK454">
        <f t="shared" si="361"/>
        <v>0</v>
      </c>
      <c r="BM454">
        <f t="shared" si="362"/>
        <v>-46.369437175450017</v>
      </c>
      <c r="BN454">
        <f t="shared" si="350"/>
        <v>-125.18146055119935</v>
      </c>
      <c r="BQ454" s="75">
        <f t="shared" si="363"/>
        <v>28.671081774490613</v>
      </c>
    </row>
    <row r="455" spans="1:69">
      <c r="A455">
        <f t="shared" si="372"/>
        <v>1205000</v>
      </c>
      <c r="B455">
        <f t="shared" si="351"/>
        <v>1205</v>
      </c>
      <c r="C455">
        <f t="shared" si="320"/>
        <v>1.7271852730412485</v>
      </c>
      <c r="D455">
        <f t="shared" si="321"/>
        <v>0.95332327023132502</v>
      </c>
      <c r="F455">
        <f t="shared" si="322"/>
        <v>3.0727896878897306E-4</v>
      </c>
      <c r="G455">
        <f t="shared" si="323"/>
        <v>5.3824851763929734E-3</v>
      </c>
      <c r="H455">
        <f t="shared" si="324"/>
        <v>-3.1362101648236074</v>
      </c>
      <c r="J455">
        <f t="shared" si="325"/>
        <v>9</v>
      </c>
      <c r="M455">
        <f t="shared" si="326"/>
        <v>3.5026729367389686E-3</v>
      </c>
      <c r="N455">
        <f t="shared" si="327"/>
        <v>-1.5707963250000001</v>
      </c>
      <c r="O455">
        <f t="shared" si="328"/>
        <v>154.97133168486559</v>
      </c>
      <c r="P455">
        <f t="shared" si="329"/>
        <v>1.564343475618857</v>
      </c>
      <c r="Q455">
        <f t="shared" si="330"/>
        <v>63.282632725077555</v>
      </c>
      <c r="R455">
        <f t="shared" si="331"/>
        <v>1.5549935452185548</v>
      </c>
      <c r="S455">
        <f t="shared" si="332"/>
        <v>0.77629811645247615</v>
      </c>
      <c r="T455">
        <f t="shared" si="333"/>
        <v>-0.68202452889049059</v>
      </c>
      <c r="U455">
        <f t="shared" si="334"/>
        <v>0.61991042334053614</v>
      </c>
      <c r="V455">
        <f t="shared" si="335"/>
        <v>-0.90216778674921816</v>
      </c>
      <c r="X455">
        <f t="shared" si="352"/>
        <v>-22.051855318144344</v>
      </c>
      <c r="Y455">
        <f t="shared" si="336"/>
        <v>-127.11289370728069</v>
      </c>
      <c r="Z455">
        <f t="shared" si="353"/>
        <v>52.887106292719309</v>
      </c>
      <c r="AC455">
        <v>1</v>
      </c>
      <c r="AD455">
        <f t="shared" si="337"/>
        <v>154.96810524808203</v>
      </c>
      <c r="AE455">
        <f t="shared" si="338"/>
        <v>-6.5704825291875851E-3</v>
      </c>
      <c r="AF455">
        <f t="shared" si="339"/>
        <v>5.1908409692243999E-3</v>
      </c>
      <c r="AG455">
        <f t="shared" si="367"/>
        <v>11378.907858067911</v>
      </c>
      <c r="AH455">
        <f t="shared" si="368"/>
        <v>-14595.884507321192</v>
      </c>
      <c r="AJ455">
        <f t="shared" si="340"/>
        <v>55000</v>
      </c>
      <c r="AK455">
        <f t="shared" si="341"/>
        <v>44660.841842491878</v>
      </c>
      <c r="AL455">
        <v>1</v>
      </c>
      <c r="AM455">
        <f t="shared" si="342"/>
        <v>63.274731169852132</v>
      </c>
      <c r="AN455">
        <f t="shared" si="369"/>
        <v>719.38192645883885</v>
      </c>
      <c r="AO455">
        <f t="shared" si="370"/>
        <v>-857.85616264148905</v>
      </c>
      <c r="AQ455">
        <f t="shared" si="343"/>
        <v>7.8408918639957578E-3</v>
      </c>
      <c r="AR455">
        <f t="shared" si="344"/>
        <v>-4.9792407648525456</v>
      </c>
      <c r="AT455">
        <f t="shared" si="365"/>
        <v>-72587.202351887914</v>
      </c>
      <c r="AU455">
        <f t="shared" si="366"/>
        <v>-56772.766618473979</v>
      </c>
      <c r="AV455">
        <f t="shared" si="354"/>
        <v>-2.4778422496675603</v>
      </c>
      <c r="AW455">
        <f t="shared" si="355"/>
        <v>7024.4991798672272</v>
      </c>
      <c r="AX455">
        <f t="shared" si="356"/>
        <v>-22818.446257282849</v>
      </c>
      <c r="AY455">
        <f t="shared" si="364"/>
        <v>-1.2721597324262306</v>
      </c>
      <c r="BA455">
        <f t="shared" si="345"/>
        <v>3.8597507796182189</v>
      </c>
      <c r="BB455">
        <f t="shared" si="357"/>
        <v>11.731185272031855</v>
      </c>
      <c r="BC455">
        <f t="shared" si="358"/>
        <v>-1.2056825172413297</v>
      </c>
      <c r="BD455">
        <f t="shared" si="346"/>
        <v>-249.08051974957328</v>
      </c>
      <c r="BF455">
        <f t="shared" si="347"/>
        <v>-34.686529279319643</v>
      </c>
      <c r="BG455">
        <f t="shared" si="348"/>
        <v>-194.15072610704323</v>
      </c>
      <c r="BH455">
        <f t="shared" si="359"/>
        <v>-14.150726107043226</v>
      </c>
      <c r="BI455">
        <f t="shared" si="360"/>
        <v>-14.150726107043226</v>
      </c>
      <c r="BJ455">
        <f t="shared" si="349"/>
        <v>0</v>
      </c>
      <c r="BK455">
        <f t="shared" si="361"/>
        <v>0</v>
      </c>
      <c r="BM455">
        <f t="shared" si="362"/>
        <v>-46.417714551351501</v>
      </c>
      <c r="BN455">
        <f t="shared" si="350"/>
        <v>-125.07020635746993</v>
      </c>
      <c r="BQ455" s="75">
        <f t="shared" si="363"/>
        <v>28.63314607231699</v>
      </c>
    </row>
    <row r="456" spans="1:69">
      <c r="A456">
        <f t="shared" si="372"/>
        <v>1210000</v>
      </c>
      <c r="B456">
        <f t="shared" si="351"/>
        <v>1210</v>
      </c>
      <c r="C456">
        <f t="shared" si="320"/>
        <v>1.7319529283581365</v>
      </c>
      <c r="D456">
        <f t="shared" si="321"/>
        <v>0.95527665628119973</v>
      </c>
      <c r="F456">
        <f t="shared" si="322"/>
        <v>3.0474398309342894E-4</v>
      </c>
      <c r="G456">
        <f t="shared" si="323"/>
        <v>5.360230325613737E-3</v>
      </c>
      <c r="H456">
        <f t="shared" si="324"/>
        <v>-3.1362324196743865</v>
      </c>
      <c r="J456">
        <f t="shared" si="325"/>
        <v>9</v>
      </c>
      <c r="M456">
        <f t="shared" si="326"/>
        <v>3.4881990816284765E-3</v>
      </c>
      <c r="N456">
        <f t="shared" si="327"/>
        <v>-1.5707963250000001</v>
      </c>
      <c r="O456">
        <f t="shared" si="328"/>
        <v>155.61433953636006</v>
      </c>
      <c r="P456">
        <f t="shared" si="329"/>
        <v>1.5643701395575271</v>
      </c>
      <c r="Q456">
        <f t="shared" si="330"/>
        <v>63.545150829816656</v>
      </c>
      <c r="R456">
        <f t="shared" si="331"/>
        <v>1.5550588351650767</v>
      </c>
      <c r="S456">
        <f t="shared" si="332"/>
        <v>0.77501866922217799</v>
      </c>
      <c r="T456">
        <f t="shared" si="333"/>
        <v>-0.68405168953957862</v>
      </c>
      <c r="U456">
        <f t="shared" si="334"/>
        <v>0.61832944805131884</v>
      </c>
      <c r="V456">
        <f t="shared" si="335"/>
        <v>-0.90418100871883444</v>
      </c>
      <c r="X456">
        <f t="shared" si="352"/>
        <v>-22.100417596638909</v>
      </c>
      <c r="Y456">
        <f t="shared" si="336"/>
        <v>-127.22847634215698</v>
      </c>
      <c r="Z456">
        <f t="shared" si="353"/>
        <v>52.771523657843019</v>
      </c>
      <c r="AC456">
        <v>1</v>
      </c>
      <c r="AD456">
        <f t="shared" si="337"/>
        <v>155.61112643168403</v>
      </c>
      <c r="AE456">
        <f t="shared" si="338"/>
        <v>-6.6251224813509016E-3</v>
      </c>
      <c r="AF456">
        <f t="shared" si="339"/>
        <v>5.2123797284327998E-3</v>
      </c>
      <c r="AG456">
        <f t="shared" si="367"/>
        <v>11320.941959931335</v>
      </c>
      <c r="AH456">
        <f t="shared" si="368"/>
        <v>-14581.176170689592</v>
      </c>
      <c r="AJ456">
        <f t="shared" si="340"/>
        <v>55000</v>
      </c>
      <c r="AK456">
        <f t="shared" si="341"/>
        <v>44846.156538933756</v>
      </c>
      <c r="AL456">
        <v>1</v>
      </c>
      <c r="AM456">
        <f t="shared" si="342"/>
        <v>63.53728192159425</v>
      </c>
      <c r="AN456">
        <f t="shared" si="369"/>
        <v>719.27013902157569</v>
      </c>
      <c r="AO456">
        <f t="shared" si="370"/>
        <v>-854.31306186439451</v>
      </c>
      <c r="AQ456">
        <f t="shared" si="343"/>
        <v>7.7762251496888857E-3</v>
      </c>
      <c r="AR456">
        <f t="shared" si="344"/>
        <v>-4.9586654912021118</v>
      </c>
      <c r="AT456">
        <f t="shared" si="365"/>
        <v>-72215.140905150052</v>
      </c>
      <c r="AU456">
        <f t="shared" si="366"/>
        <v>-56250.150733464077</v>
      </c>
      <c r="AV456">
        <f t="shared" si="354"/>
        <v>-2.4798353147748102</v>
      </c>
      <c r="AW456">
        <f t="shared" si="355"/>
        <v>7005.5661330097919</v>
      </c>
      <c r="AX456">
        <f t="shared" si="356"/>
        <v>-22765.737858740205</v>
      </c>
      <c r="AY456">
        <f t="shared" si="364"/>
        <v>-1.27226835518944</v>
      </c>
      <c r="BA456">
        <f t="shared" si="345"/>
        <v>3.8430029662109426</v>
      </c>
      <c r="BB456">
        <f t="shared" si="357"/>
        <v>11.693414393468851</v>
      </c>
      <c r="BC456">
        <f t="shared" si="358"/>
        <v>-1.2075669595853702</v>
      </c>
      <c r="BD456">
        <f t="shared" si="346"/>
        <v>-249.18849034274592</v>
      </c>
      <c r="BF456">
        <f t="shared" si="347"/>
        <v>-34.772310937036806</v>
      </c>
      <c r="BG456">
        <f t="shared" si="348"/>
        <v>-194.14805103269521</v>
      </c>
      <c r="BH456">
        <f t="shared" si="359"/>
        <v>-14.148051032695207</v>
      </c>
      <c r="BI456">
        <f t="shared" si="360"/>
        <v>-14.148051032695207</v>
      </c>
      <c r="BJ456">
        <f t="shared" si="349"/>
        <v>0</v>
      </c>
      <c r="BK456">
        <f t="shared" si="361"/>
        <v>0</v>
      </c>
      <c r="BM456">
        <f t="shared" si="362"/>
        <v>-46.465725330505663</v>
      </c>
      <c r="BN456">
        <f t="shared" si="350"/>
        <v>-124.95956068994929</v>
      </c>
      <c r="BQ456" s="75">
        <f t="shared" si="363"/>
        <v>28.595375193753988</v>
      </c>
    </row>
    <row r="457" spans="1:69">
      <c r="A457">
        <f t="shared" si="372"/>
        <v>1215000</v>
      </c>
      <c r="B457">
        <f t="shared" si="351"/>
        <v>1215</v>
      </c>
      <c r="C457">
        <f t="shared" ref="C457:C520" si="373">SQRT((A457/Fesr)^2+1)</f>
        <v>1.7367271560186686</v>
      </c>
      <c r="D457">
        <f t="shared" ref="D457:D520" si="374">ATAN(A457/Fesr)</f>
        <v>0.9572193100726738</v>
      </c>
      <c r="F457">
        <f t="shared" ref="F457:F520" si="375">(Ro/(Ro+Rdcr))/SQRT((A457/(Q*Fo))^2+(1-(A457^2/Fo^2))^2)</f>
        <v>3.0224024111290629E-4</v>
      </c>
      <c r="G457">
        <f t="shared" ref="G457:G520" si="376">-ATAN(A457*Fo/(Q*(Fo^2-A457^2)))</f>
        <v>5.3381588040616792E-3</v>
      </c>
      <c r="H457">
        <f t="shared" ref="H457:H520" si="377">IF(G457&gt;0,G457-Pi,G457)</f>
        <v>-3.1362544911959387</v>
      </c>
      <c r="J457">
        <f t="shared" ref="J457:J520" si="378">Vin/Vramp</f>
        <v>9</v>
      </c>
      <c r="M457">
        <f t="shared" ref="M457:M520" si="379">1/(2*Pi*_Rfb1*(Cc1ea_u+Cc2ea_u)*A457)</f>
        <v>3.4738443528974953E-3</v>
      </c>
      <c r="N457">
        <f t="shared" ref="N457:N520" si="380">-Pi/2</f>
        <v>-1.5707963250000001</v>
      </c>
      <c r="O457">
        <f t="shared" ref="O457:O520" si="381">SQRT(1+(A457/Fz1_u)^2)</f>
        <v>156.25734749758041</v>
      </c>
      <c r="P457">
        <f t="shared" ref="P457:P520" si="382">ATAN2(Fz1_u,A457)</f>
        <v>1.5643965840489373</v>
      </c>
      <c r="Q457">
        <f t="shared" ref="Q457:Q520" si="383">SQRT(1+(A457/Fz2_u)^2)</f>
        <v>63.807669203205663</v>
      </c>
      <c r="R457">
        <f t="shared" ref="R457:R520" si="384">ATAN2(Fz2_u,A457)</f>
        <v>1.5551235878783152</v>
      </c>
      <c r="S457">
        <f t="shared" ref="S457:S520" si="385">1/SQRT(1+(A457/Fp1_u)^2)</f>
        <v>0.77374026855897204</v>
      </c>
      <c r="T457">
        <f t="shared" ref="T457:T520" si="386">-ATAN2(Fp1_u,A457)</f>
        <v>-0.68607217082727978</v>
      </c>
      <c r="U457">
        <f t="shared" ref="U457:U520" si="387">1/SQRT(1+(A457/Fp2_u)^2)</f>
        <v>0.61675403556910613</v>
      </c>
      <c r="V457">
        <f t="shared" ref="V457:V520" si="388">-ATAN2(Fp2_u,A457)</f>
        <v>-0.90618397998530631</v>
      </c>
      <c r="X457">
        <f t="shared" si="352"/>
        <v>-22.148854485784582</v>
      </c>
      <c r="Y457">
        <f t="shared" ref="Y457:Y520" si="389">(180/Pi)*(D457+H457+N457+P457+R457+T457+V457)</f>
        <v>-127.34373671950995</v>
      </c>
      <c r="Z457">
        <f t="shared" si="353"/>
        <v>52.656263280490052</v>
      </c>
      <c r="AC457">
        <v>1</v>
      </c>
      <c r="AD457">
        <f t="shared" ref="AD457:AD520" si="390">Rcea1_u*Cc1ea_u*A457*2*Pi</f>
        <v>156.254147615286</v>
      </c>
      <c r="AE457">
        <f t="shared" ref="AE457:AE520" si="391">-Rcea1_u*Cc1ea_u*Cc2ea_u*(A457*2*Pi)^2</f>
        <v>-6.6799886859041291E-3</v>
      </c>
      <c r="AF457">
        <f t="shared" ref="AF457:AF520" si="392">(Cc2ea_u+Cc1ea_u)*A457*2*Pi</f>
        <v>5.2339184876412006E-3</v>
      </c>
      <c r="AG457">
        <f t="shared" si="367"/>
        <v>11263.327260658463</v>
      </c>
      <c r="AH457">
        <f t="shared" si="368"/>
        <v>-14566.313718269826</v>
      </c>
      <c r="AJ457">
        <f t="shared" ref="AJ457:AJ520" si="393">_Rfb1</f>
        <v>55000</v>
      </c>
      <c r="AK457">
        <f t="shared" ref="AK457:AK520" si="394">_Rfb1*Rcea2_u*Cc3ea_u*A457*2*Pi</f>
        <v>45031.471235375633</v>
      </c>
      <c r="AL457">
        <v>1</v>
      </c>
      <c r="AM457">
        <f t="shared" ref="AM457:AM520" si="395">(_Rfb1+Rcea2_u)*Cc3ea_u*A457*2*Pi</f>
        <v>63.799832673336383</v>
      </c>
      <c r="AN457">
        <f t="shared" si="369"/>
        <v>719.15972838251082</v>
      </c>
      <c r="AO457">
        <f t="shared" si="370"/>
        <v>-850.79910083060236</v>
      </c>
      <c r="AQ457">
        <f t="shared" ref="AQ457:AQ520" si="396">Eadcg/(1+(Eadcg*A457/GBP)^2)</f>
        <v>7.7123551434448712E-3</v>
      </c>
      <c r="AR457">
        <f t="shared" ref="AR457:AR520" si="397">-(A457*Eadcg*Eadcg/GBP)/(1+(Eadcg*A457/GBP)^2)</f>
        <v>-4.938259560123468</v>
      </c>
      <c r="AT457">
        <f t="shared" si="365"/>
        <v>-71845.371195072556</v>
      </c>
      <c r="AU457">
        <f t="shared" si="366"/>
        <v>-55733.574108272056</v>
      </c>
      <c r="AV457">
        <f t="shared" si="354"/>
        <v>-2.4818182950701231</v>
      </c>
      <c r="AW457">
        <f t="shared" si="355"/>
        <v>6986.5307705820369</v>
      </c>
      <c r="AX457">
        <f t="shared" si="356"/>
        <v>-22713.21612349281</v>
      </c>
      <c r="AY457">
        <f t="shared" si="364"/>
        <v>-1.272383914159267</v>
      </c>
      <c r="BA457">
        <f t="shared" ref="BA457:BA520" si="398">SQRT(AT457^2+AU457^2)/SQRT(AW457^2+AX457^2)</f>
        <v>3.8263998439699383</v>
      </c>
      <c r="BB457">
        <f t="shared" si="357"/>
        <v>11.655807003091471</v>
      </c>
      <c r="BC457">
        <f t="shared" si="358"/>
        <v>-1.2094343809108561</v>
      </c>
      <c r="BD457">
        <f t="shared" ref="BD457:BD520" si="399">BC457*180/Pi-180</f>
        <v>-249.29548570339125</v>
      </c>
      <c r="BF457">
        <f t="shared" ref="BF457:BF520" si="400">20*LOG(BA457*J457*F457*C457)</f>
        <v>-34.857665165247433</v>
      </c>
      <c r="BG457">
        <f t="shared" ref="BG457:BG520" si="401">(180/Pi)*(D457+H457+BC457)</f>
        <v>-194.14500513494062</v>
      </c>
      <c r="BH457">
        <f t="shared" si="359"/>
        <v>-14.145005134940618</v>
      </c>
      <c r="BI457">
        <f t="shared" si="360"/>
        <v>-14.145005134940618</v>
      </c>
      <c r="BJ457">
        <f t="shared" ref="BJ457:BJ520" si="402">SUM((BF458&lt;0)*(BF457&gt;0))*A457</f>
        <v>0</v>
      </c>
      <c r="BK457">
        <f t="shared" si="361"/>
        <v>0</v>
      </c>
      <c r="BM457">
        <f t="shared" si="362"/>
        <v>-46.513472168338907</v>
      </c>
      <c r="BN457">
        <f t="shared" ref="BN457:BN520" si="403">(H457+D457)*180/Pi</f>
        <v>-124.84951943154935</v>
      </c>
      <c r="BQ457" s="75">
        <f t="shared" si="363"/>
        <v>28.557767803376606</v>
      </c>
    </row>
    <row r="458" spans="1:69">
      <c r="A458">
        <f t="shared" si="372"/>
        <v>1220000</v>
      </c>
      <c r="B458">
        <f t="shared" ref="B458:B521" si="404">A458/1000</f>
        <v>1220</v>
      </c>
      <c r="C458">
        <f t="shared" si="373"/>
        <v>1.7415079019699213</v>
      </c>
      <c r="D458">
        <f t="shared" si="374"/>
        <v>0.95915130526831138</v>
      </c>
      <c r="F458">
        <f t="shared" si="375"/>
        <v>2.997672314616909E-4</v>
      </c>
      <c r="G458">
        <f t="shared" si="376"/>
        <v>5.3162683550526391E-3</v>
      </c>
      <c r="H458">
        <f t="shared" si="377"/>
        <v>-3.1362763816449477</v>
      </c>
      <c r="J458">
        <f t="shared" si="378"/>
        <v>9</v>
      </c>
      <c r="M458">
        <f t="shared" si="379"/>
        <v>3.4596072858774233E-3</v>
      </c>
      <c r="N458">
        <f t="shared" si="380"/>
        <v>-1.5707963250000001</v>
      </c>
      <c r="O458">
        <f t="shared" si="381"/>
        <v>156.90035556717763</v>
      </c>
      <c r="P458">
        <f t="shared" si="382"/>
        <v>1.5644228117910624</v>
      </c>
      <c r="Q458">
        <f t="shared" si="383"/>
        <v>64.070187841942328</v>
      </c>
      <c r="R458">
        <f t="shared" si="384"/>
        <v>1.5551878099614389</v>
      </c>
      <c r="S458">
        <f t="shared" si="385"/>
        <v>0.77246294052824971</v>
      </c>
      <c r="T458">
        <f t="shared" si="386"/>
        <v>-0.68808598929613596</v>
      </c>
      <c r="U458">
        <f t="shared" si="387"/>
        <v>0.61518418126059393</v>
      </c>
      <c r="V458">
        <f t="shared" si="388"/>
        <v>-0.90817676269066783</v>
      </c>
      <c r="X458">
        <f t="shared" ref="X458:X521" si="405">20*LOG(C458*J458*O458*Q458*F458*M458*S458*U458)</f>
        <v>-22.197166871131174</v>
      </c>
      <c r="Y458">
        <f t="shared" si="389"/>
        <v>-127.458674723462</v>
      </c>
      <c r="Z458">
        <f t="shared" ref="Z458:Z521" si="406">Y458+180</f>
        <v>52.541325276538004</v>
      </c>
      <c r="AC458">
        <v>1</v>
      </c>
      <c r="AD458">
        <f t="shared" si="390"/>
        <v>156.89716879888803</v>
      </c>
      <c r="AE458">
        <f t="shared" si="391"/>
        <v>-6.7350811428472665E-3</v>
      </c>
      <c r="AF458">
        <f t="shared" si="392"/>
        <v>5.2554572468496005E-3</v>
      </c>
      <c r="AG458">
        <f t="shared" si="367"/>
        <v>11206.062034473687</v>
      </c>
      <c r="AH458">
        <f t="shared" si="368"/>
        <v>-14551.300391569697</v>
      </c>
      <c r="AJ458">
        <f t="shared" si="393"/>
        <v>55000</v>
      </c>
      <c r="AK458">
        <f t="shared" si="394"/>
        <v>45216.785931817503</v>
      </c>
      <c r="AL458">
        <v>1</v>
      </c>
      <c r="AM458">
        <f t="shared" si="395"/>
        <v>64.062383425078508</v>
      </c>
      <c r="AN458">
        <f t="shared" si="369"/>
        <v>719.05067202667976</v>
      </c>
      <c r="AO458">
        <f t="shared" si="370"/>
        <v>-847.31392161603458</v>
      </c>
      <c r="AQ458">
        <f t="shared" si="396"/>
        <v>7.649268811329336E-3</v>
      </c>
      <c r="AR458">
        <f t="shared" si="397"/>
        <v>-4.9180208895560833</v>
      </c>
      <c r="AT458">
        <f t="shared" si="365"/>
        <v>-71477.881115127268</v>
      </c>
      <c r="AU458">
        <f t="shared" si="366"/>
        <v>-55222.953983452448</v>
      </c>
      <c r="AV458">
        <f t="shared" ref="AV458:AV521" si="407">ATAN2(AT458,AU458)</f>
        <v>-2.483791250656032</v>
      </c>
      <c r="AW458">
        <f t="shared" ref="AW458:AW521" si="408">AG458-AH458*AO458/_Rfb2+AG458*AN458/_Rfb2+AN458-AO458*AR458+AQ458*AN458</f>
        <v>6967.3984815328286</v>
      </c>
      <c r="AX458">
        <f t="shared" ref="AX458:AX521" si="409">AH458+AH458*AN458/_Rfb2+AG458*AO458/_Rfb2+AO458+AO458*AQ458+AN458*AR458</f>
        <v>-22660.87988191918</v>
      </c>
      <c r="AY458">
        <f t="shared" si="364"/>
        <v>-1.2725062243694742</v>
      </c>
      <c r="BA458">
        <f t="shared" si="398"/>
        <v>3.8099395842195514</v>
      </c>
      <c r="BB458">
        <f t="shared" ref="BB458:BB521" si="410">20*LOG(BA458)</f>
        <v>11.618361778876675</v>
      </c>
      <c r="BC458">
        <f t="shared" ref="BC458:BC521" si="411">AV458-AY458</f>
        <v>-1.2112850262865578</v>
      </c>
      <c r="BD458">
        <f t="shared" si="399"/>
        <v>-249.40151987291554</v>
      </c>
      <c r="BF458">
        <f t="shared" si="400"/>
        <v>-34.942595905667616</v>
      </c>
      <c r="BG458">
        <f t="shared" si="401"/>
        <v>-194.14159836393009</v>
      </c>
      <c r="BH458">
        <f t="shared" ref="BH458:BH521" si="412">IF(BG458&gt;180,BG458-180,BG458+180)</f>
        <v>-14.141598363930086</v>
      </c>
      <c r="BI458">
        <f t="shared" ref="BI458:BI521" si="413">IF(BH458&gt;180,BH458-360,BH458)</f>
        <v>-14.141598363930086</v>
      </c>
      <c r="BJ458">
        <f t="shared" si="402"/>
        <v>0</v>
      </c>
      <c r="BK458">
        <f t="shared" ref="BK458:BK521" si="414">IF(BJ458&gt;0,BI458,0)</f>
        <v>0</v>
      </c>
      <c r="BM458">
        <f t="shared" ref="BM458:BM521" si="415">20*LOG(J458*F458*C458)</f>
        <v>-46.560957684544292</v>
      </c>
      <c r="BN458">
        <f t="shared" si="403"/>
        <v>-124.74007849101459</v>
      </c>
      <c r="BQ458" s="75">
        <f t="shared" ref="BQ458:BQ521" si="416">20*LOG(BA458*7)</f>
        <v>28.520322579161814</v>
      </c>
    </row>
    <row r="459" spans="1:69">
      <c r="A459">
        <f t="shared" si="372"/>
        <v>1225000</v>
      </c>
      <c r="B459">
        <f t="shared" si="404"/>
        <v>1225</v>
      </c>
      <c r="C459">
        <f t="shared" si="373"/>
        <v>1.746295112677487</v>
      </c>
      <c r="D459">
        <f t="shared" si="374"/>
        <v>0.9610727150428634</v>
      </c>
      <c r="F459">
        <f t="shared" si="375"/>
        <v>2.9732445317511464E-4</v>
      </c>
      <c r="G459">
        <f t="shared" si="376"/>
        <v>5.2945567587997832E-3</v>
      </c>
      <c r="H459">
        <f t="shared" si="377"/>
        <v>-3.1362980932412006</v>
      </c>
      <c r="J459">
        <f t="shared" si="378"/>
        <v>9</v>
      </c>
      <c r="M459">
        <f t="shared" si="379"/>
        <v>3.445486439812618E-3</v>
      </c>
      <c r="N459">
        <f t="shared" si="380"/>
        <v>-1.5707963250000001</v>
      </c>
      <c r="O459">
        <f t="shared" si="381"/>
        <v>157.54336374382467</v>
      </c>
      <c r="P459">
        <f t="shared" si="382"/>
        <v>1.5644488254378319</v>
      </c>
      <c r="Q459">
        <f t="shared" si="383"/>
        <v>64.332706742778257</v>
      </c>
      <c r="R459">
        <f t="shared" si="384"/>
        <v>1.5552515079098532</v>
      </c>
      <c r="S459">
        <f t="shared" si="385"/>
        <v>0.77118671083057122</v>
      </c>
      <c r="T459">
        <f t="shared" si="386"/>
        <v>-0.69009316159593392</v>
      </c>
      <c r="U459">
        <f t="shared" si="387"/>
        <v>0.61361988005419543</v>
      </c>
      <c r="V459">
        <f t="shared" si="388"/>
        <v>-0.91015941867005667</v>
      </c>
      <c r="X459">
        <f t="shared" si="405"/>
        <v>-22.245355625290767</v>
      </c>
      <c r="Y459">
        <f t="shared" si="389"/>
        <v>-127.57329026122966</v>
      </c>
      <c r="Z459">
        <f t="shared" si="406"/>
        <v>52.426709738770342</v>
      </c>
      <c r="AC459">
        <v>1</v>
      </c>
      <c r="AD459">
        <f t="shared" si="390"/>
        <v>157.54018998249003</v>
      </c>
      <c r="AE459">
        <f t="shared" si="391"/>
        <v>-6.7903998521803141E-3</v>
      </c>
      <c r="AF459">
        <f t="shared" si="392"/>
        <v>5.2769960060580004E-3</v>
      </c>
      <c r="AG459">
        <f t="shared" si="367"/>
        <v>11149.144546889203</v>
      </c>
      <c r="AH459">
        <f t="shared" si="368"/>
        <v>-14536.139385944854</v>
      </c>
      <c r="AJ459">
        <f t="shared" si="393"/>
        <v>55000</v>
      </c>
      <c r="AK459">
        <f t="shared" si="394"/>
        <v>45402.100628259381</v>
      </c>
      <c r="AL459">
        <v>1</v>
      </c>
      <c r="AM459">
        <f t="shared" si="395"/>
        <v>64.324934176820634</v>
      </c>
      <c r="AN459">
        <f t="shared" si="369"/>
        <v>718.94294789744492</v>
      </c>
      <c r="AO459">
        <f t="shared" si="370"/>
        <v>-843.85717213314513</v>
      </c>
      <c r="AQ459">
        <f t="shared" si="396"/>
        <v>7.5869533848613203E-3</v>
      </c>
      <c r="AR459">
        <f t="shared" si="397"/>
        <v>-4.897947431431847</v>
      </c>
      <c r="AT459">
        <f t="shared" si="365"/>
        <v>-71112.658528365573</v>
      </c>
      <c r="AU459">
        <f t="shared" si="366"/>
        <v>-54718.208908015367</v>
      </c>
      <c r="AV459">
        <f t="shared" si="407"/>
        <v>-2.4857542413614691</v>
      </c>
      <c r="AW459">
        <f t="shared" si="408"/>
        <v>6948.1745045641237</v>
      </c>
      <c r="AX459">
        <f t="shared" si="409"/>
        <v>-22608.727992193417</v>
      </c>
      <c r="AY459">
        <f t="shared" ref="AY459:AY522" si="417">ATAN2(AW459,AX459)</f>
        <v>-1.2726351052627074</v>
      </c>
      <c r="BA459">
        <f t="shared" si="398"/>
        <v>3.79362038749949</v>
      </c>
      <c r="BB459">
        <f t="shared" si="410"/>
        <v>11.581077412114652</v>
      </c>
      <c r="BC459">
        <f t="shared" si="411"/>
        <v>-1.2131191360987617</v>
      </c>
      <c r="BD459">
        <f t="shared" si="399"/>
        <v>-249.50660662443843</v>
      </c>
      <c r="BF459">
        <f t="shared" si="400"/>
        <v>-35.027107051556555</v>
      </c>
      <c r="BG459">
        <f t="shared" si="401"/>
        <v>-194.13784042736341</v>
      </c>
      <c r="BH459">
        <f t="shared" si="412"/>
        <v>-14.137840427363415</v>
      </c>
      <c r="BI459">
        <f t="shared" si="413"/>
        <v>-14.137840427363415</v>
      </c>
      <c r="BJ459">
        <f t="shared" si="402"/>
        <v>0</v>
      </c>
      <c r="BK459">
        <f t="shared" si="414"/>
        <v>0</v>
      </c>
      <c r="BM459">
        <f t="shared" si="415"/>
        <v>-46.608184463671208</v>
      </c>
      <c r="BN459">
        <f t="shared" si="403"/>
        <v>-124.631233802925</v>
      </c>
      <c r="BQ459" s="75">
        <f t="shared" si="416"/>
        <v>28.483038212399787</v>
      </c>
    </row>
    <row r="460" spans="1:69">
      <c r="A460">
        <f t="shared" si="372"/>
        <v>1230000</v>
      </c>
      <c r="B460">
        <f t="shared" si="404"/>
        <v>1230</v>
      </c>
      <c r="C460">
        <f t="shared" si="373"/>
        <v>1.7510887351203805</v>
      </c>
      <c r="D460">
        <f t="shared" si="374"/>
        <v>0.96298361208407257</v>
      </c>
      <c r="F460">
        <f t="shared" si="375"/>
        <v>2.9491141545573375E-4</v>
      </c>
      <c r="G460">
        <f t="shared" si="376"/>
        <v>5.2730218316623589E-3</v>
      </c>
      <c r="H460">
        <f t="shared" si="377"/>
        <v>-3.1363196281683376</v>
      </c>
      <c r="J460">
        <f t="shared" si="378"/>
        <v>9</v>
      </c>
      <c r="M460">
        <f t="shared" si="379"/>
        <v>3.4314803973743554E-3</v>
      </c>
      <c r="N460">
        <f t="shared" si="380"/>
        <v>-1.5707963250000001</v>
      </c>
      <c r="O460">
        <f t="shared" si="381"/>
        <v>158.18637202621616</v>
      </c>
      <c r="P460">
        <f t="shared" si="382"/>
        <v>1.5644746276000248</v>
      </c>
      <c r="Q460">
        <f t="shared" si="383"/>
        <v>64.59522590251791</v>
      </c>
      <c r="R460">
        <f t="shared" si="384"/>
        <v>1.5553146881133897</v>
      </c>
      <c r="S460">
        <f t="shared" si="385"/>
        <v>0.76991160480428</v>
      </c>
      <c r="T460">
        <f t="shared" si="386"/>
        <v>-0.69209370448095087</v>
      </c>
      <c r="U460">
        <f t="shared" si="387"/>
        <v>0.61206112645081689</v>
      </c>
      <c r="V460">
        <f t="shared" si="388"/>
        <v>-0.91213200945022088</v>
      </c>
      <c r="X460">
        <f t="shared" si="405"/>
        <v>-22.293421608193434</v>
      </c>
      <c r="Y460">
        <f t="shared" si="389"/>
        <v>-127.68758326270084</v>
      </c>
      <c r="Z460">
        <f t="shared" si="406"/>
        <v>52.312416737299159</v>
      </c>
      <c r="AC460">
        <v>1</v>
      </c>
      <c r="AD460">
        <f t="shared" si="390"/>
        <v>158.18321116609201</v>
      </c>
      <c r="AE460">
        <f t="shared" si="391"/>
        <v>-6.8459448139032717E-3</v>
      </c>
      <c r="AF460">
        <f t="shared" si="392"/>
        <v>5.2985347652664003E-3</v>
      </c>
      <c r="AG460">
        <f t="shared" si="367"/>
        <v>11092.573055282766</v>
      </c>
      <c r="AH460">
        <f t="shared" si="368"/>
        <v>-14520.833851089748</v>
      </c>
      <c r="AJ460">
        <f t="shared" si="393"/>
        <v>55000</v>
      </c>
      <c r="AK460">
        <f t="shared" si="394"/>
        <v>45587.415324701258</v>
      </c>
      <c r="AL460">
        <v>1</v>
      </c>
      <c r="AM460">
        <f t="shared" si="395"/>
        <v>64.587484928562759</v>
      </c>
      <c r="AN460">
        <f t="shared" si="369"/>
        <v>718.83653438534452</v>
      </c>
      <c r="AO460">
        <f t="shared" si="370"/>
        <v>-840.42850601246596</v>
      </c>
      <c r="AQ460">
        <f t="shared" si="396"/>
        <v>7.525396354552019E-3</v>
      </c>
      <c r="AR460">
        <f t="shared" si="397"/>
        <v>-4.8780371709841646</v>
      </c>
      <c r="AT460">
        <f t="shared" si="365"/>
        <v>-70749.691270468102</v>
      </c>
      <c r="AU460">
        <f t="shared" si="366"/>
        <v>-54219.25871565476</v>
      </c>
      <c r="AV460">
        <f t="shared" si="407"/>
        <v>-2.4877073267395944</v>
      </c>
      <c r="AW460">
        <f t="shared" si="408"/>
        <v>6928.863932124149</v>
      </c>
      <c r="AX460">
        <f t="shared" si="409"/>
        <v>-22556.759339247659</v>
      </c>
      <c r="AY460">
        <f t="shared" si="417"/>
        <v>-1.2727703805783024</v>
      </c>
      <c r="BA460">
        <f t="shared" si="398"/>
        <v>3.7774404830367443</v>
      </c>
      <c r="BB460">
        <f t="shared" si="410"/>
        <v>11.543952607316699</v>
      </c>
      <c r="BC460">
        <f t="shared" si="411"/>
        <v>-1.214936946161292</v>
      </c>
      <c r="BD460">
        <f t="shared" si="399"/>
        <v>-249.61075946909685</v>
      </c>
      <c r="BF460">
        <f t="shared" si="400"/>
        <v>-35.111202448386834</v>
      </c>
      <c r="BG460">
        <f t="shared" si="401"/>
        <v>-194.13374079678985</v>
      </c>
      <c r="BH460">
        <f t="shared" si="412"/>
        <v>-14.133740796789851</v>
      </c>
      <c r="BI460">
        <f t="shared" si="413"/>
        <v>-14.133740796789851</v>
      </c>
      <c r="BJ460">
        <f t="shared" si="402"/>
        <v>0</v>
      </c>
      <c r="BK460">
        <f t="shared" si="414"/>
        <v>0</v>
      </c>
      <c r="BM460">
        <f t="shared" si="415"/>
        <v>-46.655155055703538</v>
      </c>
      <c r="BN460">
        <f t="shared" si="403"/>
        <v>-124.52298132769303</v>
      </c>
      <c r="BQ460" s="75">
        <f t="shared" si="416"/>
        <v>28.445913407601836</v>
      </c>
    </row>
    <row r="461" spans="1:69">
      <c r="A461">
        <f t="shared" si="372"/>
        <v>1235000</v>
      </c>
      <c r="B461">
        <f t="shared" si="404"/>
        <v>1235</v>
      </c>
      <c r="C461">
        <f t="shared" si="373"/>
        <v>1.7558887167859831</v>
      </c>
      <c r="D461">
        <f t="shared" si="374"/>
        <v>0.96488406859356612</v>
      </c>
      <c r="F461">
        <f t="shared" si="375"/>
        <v>2.9252763742669129E-4</v>
      </c>
      <c r="G461">
        <f t="shared" si="376"/>
        <v>5.2516614254127392E-3</v>
      </c>
      <c r="H461">
        <f t="shared" si="377"/>
        <v>-3.1363409885745877</v>
      </c>
      <c r="J461">
        <f t="shared" si="378"/>
        <v>9</v>
      </c>
      <c r="M461">
        <f t="shared" si="379"/>
        <v>3.4175877641866048E-3</v>
      </c>
      <c r="N461">
        <f t="shared" si="380"/>
        <v>-1.5707963250000001</v>
      </c>
      <c r="O461">
        <f t="shared" si="381"/>
        <v>158.82938041306778</v>
      </c>
      <c r="P461">
        <f t="shared" si="382"/>
        <v>1.5645002208461429</v>
      </c>
      <c r="Q461">
        <f t="shared" si="383"/>
        <v>64.857745318017464</v>
      </c>
      <c r="R461">
        <f t="shared" si="384"/>
        <v>1.5553773568584421</v>
      </c>
      <c r="S461">
        <f t="shared" si="385"/>
        <v>0.76863764742813201</v>
      </c>
      <c r="T461">
        <f t="shared" si="386"/>
        <v>-0.6940876348072309</v>
      </c>
      <c r="U461">
        <f t="shared" si="387"/>
        <v>0.61050791453445008</v>
      </c>
      <c r="V461">
        <f t="shared" si="388"/>
        <v>-0.91409459624812572</v>
      </c>
      <c r="X461">
        <f t="shared" si="405"/>
        <v>-22.341365667337278</v>
      </c>
      <c r="Y461">
        <f t="shared" si="389"/>
        <v>-127.80155368001729</v>
      </c>
      <c r="Z461">
        <f t="shared" si="406"/>
        <v>52.198446319982708</v>
      </c>
      <c r="AC461">
        <v>1</v>
      </c>
      <c r="AD461">
        <f t="shared" si="390"/>
        <v>158.82623234969404</v>
      </c>
      <c r="AE461">
        <f t="shared" si="391"/>
        <v>-6.9017160280161393E-3</v>
      </c>
      <c r="AF461">
        <f t="shared" si="392"/>
        <v>5.3200735244748002E-3</v>
      </c>
      <c r="AG461">
        <f t="shared" si="367"/>
        <v>11036.345809460525</v>
      </c>
      <c r="AH461">
        <f t="shared" si="368"/>
        <v>-14505.386891528098</v>
      </c>
      <c r="AJ461">
        <f t="shared" si="393"/>
        <v>55000</v>
      </c>
      <c r="AK461">
        <f t="shared" si="394"/>
        <v>45772.730021143128</v>
      </c>
      <c r="AL461">
        <v>1</v>
      </c>
      <c r="AM461">
        <f t="shared" si="395"/>
        <v>64.850035680304885</v>
      </c>
      <c r="AN461">
        <f t="shared" si="369"/>
        <v>718.73141031725982</v>
      </c>
      <c r="AO461">
        <f t="shared" si="370"/>
        <v>-837.02758248702241</v>
      </c>
      <c r="AQ461">
        <f t="shared" si="396"/>
        <v>7.4645854636262885E-3</v>
      </c>
      <c r="AR461">
        <f t="shared" si="397"/>
        <v>-4.8582881260738517</v>
      </c>
      <c r="AT461">
        <f t="shared" si="365"/>
        <v>-70388.967152717407</v>
      </c>
      <c r="AU461">
        <f t="shared" si="366"/>
        <v>-53726.024501481756</v>
      </c>
      <c r="AV461">
        <f t="shared" si="407"/>
        <v>-2.4896505660657433</v>
      </c>
      <c r="AW461">
        <f t="shared" si="408"/>
        <v>6909.4717142890386</v>
      </c>
      <c r="AX461">
        <f t="shared" si="409"/>
        <v>-22504.972833771979</v>
      </c>
      <c r="AY461">
        <f t="shared" si="417"/>
        <v>-1.2729118782432345</v>
      </c>
      <c r="BA461">
        <f t="shared" si="398"/>
        <v>3.7613981282267637</v>
      </c>
      <c r="BB461">
        <f t="shared" si="410"/>
        <v>11.506986082119992</v>
      </c>
      <c r="BC461">
        <f t="shared" si="411"/>
        <v>-1.2167386878225088</v>
      </c>
      <c r="BD461">
        <f t="shared" si="399"/>
        <v>-249.71399166217543</v>
      </c>
      <c r="BF461">
        <f t="shared" si="400"/>
        <v>-35.194885894506626</v>
      </c>
      <c r="BG461">
        <f t="shared" si="401"/>
        <v>-194.1293087137301</v>
      </c>
      <c r="BH461">
        <f t="shared" si="412"/>
        <v>-14.129308713730097</v>
      </c>
      <c r="BI461">
        <f t="shared" si="413"/>
        <v>-14.129308713730097</v>
      </c>
      <c r="BJ461">
        <f t="shared" si="402"/>
        <v>0</v>
      </c>
      <c r="BK461">
        <f t="shared" si="414"/>
        <v>0</v>
      </c>
      <c r="BM461">
        <f t="shared" si="415"/>
        <v>-46.70187197662662</v>
      </c>
      <c r="BN461">
        <f t="shared" si="403"/>
        <v>-124.41531705155468</v>
      </c>
      <c r="BQ461" s="75">
        <f t="shared" si="416"/>
        <v>28.408946882405132</v>
      </c>
    </row>
    <row r="462" spans="1:69">
      <c r="A462">
        <f t="shared" si="372"/>
        <v>1240000</v>
      </c>
      <c r="B462">
        <f t="shared" si="404"/>
        <v>1240</v>
      </c>
      <c r="C462">
        <f t="shared" si="373"/>
        <v>1.7606950056650286</v>
      </c>
      <c r="D462">
        <f t="shared" si="374"/>
        <v>0.96677415628783081</v>
      </c>
      <c r="F462">
        <f t="shared" si="375"/>
        <v>2.9017264789203196E-4</v>
      </c>
      <c r="G462">
        <f t="shared" si="376"/>
        <v>5.2304734265212292E-3</v>
      </c>
      <c r="H462">
        <f t="shared" si="377"/>
        <v>-3.136362176573479</v>
      </c>
      <c r="J462">
        <f t="shared" si="378"/>
        <v>9</v>
      </c>
      <c r="M462">
        <f t="shared" si="379"/>
        <v>3.4038071683632717E-3</v>
      </c>
      <c r="N462">
        <f t="shared" si="380"/>
        <v>-1.5707963250000001</v>
      </c>
      <c r="O462">
        <f t="shared" si="381"/>
        <v>159.47238890311593</v>
      </c>
      <c r="P462">
        <f t="shared" si="382"/>
        <v>1.5645256077032639</v>
      </c>
      <c r="Q462">
        <f t="shared" si="383"/>
        <v>65.12026498618377</v>
      </c>
      <c r="R462">
        <f t="shared" si="384"/>
        <v>1.5554395203300515</v>
      </c>
      <c r="S462">
        <f t="shared" si="385"/>
        <v>0.76736486332393716</v>
      </c>
      <c r="T462">
        <f t="shared" si="386"/>
        <v>-0.69607496952989167</v>
      </c>
      <c r="U462">
        <f t="shared" si="387"/>
        <v>0.60896023798257581</v>
      </c>
      <c r="V462">
        <f t="shared" si="388"/>
        <v>-0.91604723996965987</v>
      </c>
      <c r="X462">
        <f t="shared" si="405"/>
        <v>-22.38918863803287</v>
      </c>
      <c r="Y462">
        <f t="shared" si="389"/>
        <v>-127.91520148716263</v>
      </c>
      <c r="Z462">
        <f t="shared" si="406"/>
        <v>52.084798512837367</v>
      </c>
      <c r="AC462">
        <v>1</v>
      </c>
      <c r="AD462">
        <f t="shared" si="390"/>
        <v>159.46925353329601</v>
      </c>
      <c r="AE462">
        <f t="shared" si="391"/>
        <v>-6.9577134945189179E-3</v>
      </c>
      <c r="AF462">
        <f t="shared" si="392"/>
        <v>5.3416122836832001E-3</v>
      </c>
      <c r="AG462">
        <f t="shared" si="367"/>
        <v>10980.461052205228</v>
      </c>
      <c r="AH462">
        <f t="shared" si="368"/>
        <v>-14489.80156710267</v>
      </c>
      <c r="AJ462">
        <f t="shared" si="393"/>
        <v>55000</v>
      </c>
      <c r="AK462">
        <f t="shared" si="394"/>
        <v>45958.044717585006</v>
      </c>
      <c r="AL462">
        <v>1</v>
      </c>
      <c r="AM462">
        <f t="shared" si="395"/>
        <v>65.11258643204701</v>
      </c>
      <c r="AN462">
        <f t="shared" si="369"/>
        <v>718.62755494588498</v>
      </c>
      <c r="AO462">
        <f t="shared" si="370"/>
        <v>-833.65406627954189</v>
      </c>
      <c r="AQ462">
        <f t="shared" si="396"/>
        <v>7.4045087019210028E-3</v>
      </c>
      <c r="AR462">
        <f t="shared" si="397"/>
        <v>-4.8386983465313369</v>
      </c>
      <c r="AT462">
        <f t="shared" si="365"/>
        <v>-70030.4739648947</v>
      </c>
      <c r="AU462">
        <f t="shared" si="366"/>
        <v>-53238.428599249899</v>
      </c>
      <c r="AV462">
        <f t="shared" si="407"/>
        <v>-2.4915840183354891</v>
      </c>
      <c r="AW462">
        <f t="shared" si="408"/>
        <v>6890.0026625363116</v>
      </c>
      <c r="AX462">
        <f t="shared" si="409"/>
        <v>-22453.367411250409</v>
      </c>
      <c r="AY462">
        <f t="shared" si="417"/>
        <v>-1.2730594302661125</v>
      </c>
      <c r="BA462">
        <f t="shared" si="398"/>
        <v>3.7454916081238134</v>
      </c>
      <c r="BB462">
        <f t="shared" si="410"/>
        <v>11.470176567189554</v>
      </c>
      <c r="BC462">
        <f t="shared" si="411"/>
        <v>-1.2185245880693767</v>
      </c>
      <c r="BD462">
        <f t="shared" si="399"/>
        <v>-249.81631620906924</v>
      </c>
      <c r="BF462">
        <f t="shared" si="400"/>
        <v>-35.278161141793703</v>
      </c>
      <c r="BG462">
        <f t="shared" si="401"/>
        <v>-194.12455319562338</v>
      </c>
      <c r="BH462">
        <f t="shared" si="412"/>
        <v>-14.124553195623378</v>
      </c>
      <c r="BI462">
        <f t="shared" si="413"/>
        <v>-14.124553195623378</v>
      </c>
      <c r="BJ462">
        <f t="shared" si="402"/>
        <v>0</v>
      </c>
      <c r="BK462">
        <f t="shared" si="414"/>
        <v>0</v>
      </c>
      <c r="BM462">
        <f t="shared" si="415"/>
        <v>-46.748337708983257</v>
      </c>
      <c r="BN462">
        <f t="shared" si="403"/>
        <v>-124.30823698655416</v>
      </c>
      <c r="BQ462" s="75">
        <f t="shared" si="416"/>
        <v>28.372137367474689</v>
      </c>
    </row>
    <row r="463" spans="1:69">
      <c r="A463">
        <f t="shared" si="372"/>
        <v>1245000</v>
      </c>
      <c r="B463">
        <f t="shared" si="404"/>
        <v>1245</v>
      </c>
      <c r="C463">
        <f t="shared" si="373"/>
        <v>1.7655075502466249</v>
      </c>
      <c r="D463">
        <f t="shared" si="374"/>
        <v>0.96865394639926872</v>
      </c>
      <c r="F463">
        <f t="shared" si="375"/>
        <v>2.8784598510374712E-4</v>
      </c>
      <c r="G463">
        <f t="shared" si="376"/>
        <v>5.2094557554581457E-3</v>
      </c>
      <c r="H463">
        <f t="shared" si="377"/>
        <v>-3.1363831942445421</v>
      </c>
      <c r="J463">
        <f t="shared" si="378"/>
        <v>9</v>
      </c>
      <c r="M463">
        <f t="shared" si="379"/>
        <v>3.3901372600565918E-3</v>
      </c>
      <c r="N463">
        <f t="shared" si="380"/>
        <v>-1.5707963250000001</v>
      </c>
      <c r="O463">
        <f t="shared" si="381"/>
        <v>160.11539749511735</v>
      </c>
      <c r="P463">
        <f t="shared" si="382"/>
        <v>1.5645507906578717</v>
      </c>
      <c r="Q463">
        <f t="shared" si="383"/>
        <v>65.382784903973374</v>
      </c>
      <c r="R463">
        <f t="shared" si="384"/>
        <v>1.5555011846139388</v>
      </c>
      <c r="S463">
        <f t="shared" si="385"/>
        <v>0.76609327675921346</v>
      </c>
      <c r="T463">
        <f t="shared" si="386"/>
        <v>-0.69805572570046281</v>
      </c>
      <c r="U463">
        <f t="shared" si="387"/>
        <v>0.60741809007638603</v>
      </c>
      <c r="V463">
        <f t="shared" si="388"/>
        <v>-0.91799000120843677</v>
      </c>
      <c r="X463">
        <f t="shared" si="405"/>
        <v>-22.43689134364228</v>
      </c>
      <c r="Y463">
        <f t="shared" si="389"/>
        <v>-128.02852667955702</v>
      </c>
      <c r="Z463">
        <f t="shared" si="406"/>
        <v>51.971473320442982</v>
      </c>
      <c r="AC463">
        <v>1</v>
      </c>
      <c r="AD463">
        <f t="shared" si="390"/>
        <v>160.11227471689801</v>
      </c>
      <c r="AE463">
        <f t="shared" si="391"/>
        <v>-7.0139372134116066E-3</v>
      </c>
      <c r="AF463">
        <f t="shared" si="392"/>
        <v>5.3631510428916009E-3</v>
      </c>
      <c r="AG463">
        <f t="shared" si="367"/>
        <v>10924.917019810158</v>
      </c>
      <c r="AH463">
        <f t="shared" si="368"/>
        <v>-14474.080893464268</v>
      </c>
      <c r="AJ463">
        <f t="shared" si="393"/>
        <v>55000</v>
      </c>
      <c r="AK463">
        <f t="shared" si="394"/>
        <v>46143.359414026883</v>
      </c>
      <c r="AL463">
        <v>1</v>
      </c>
      <c r="AM463">
        <f t="shared" si="395"/>
        <v>65.375137183789136</v>
      </c>
      <c r="AN463">
        <f t="shared" si="369"/>
        <v>718.52494793949234</v>
      </c>
      <c r="AO463">
        <f t="shared" si="370"/>
        <v>-830.3076274923751</v>
      </c>
      <c r="AQ463">
        <f t="shared" si="396"/>
        <v>7.3451542999545868E-3</v>
      </c>
      <c r="AR463">
        <f t="shared" si="397"/>
        <v>-4.8192659135147036</v>
      </c>
      <c r="AT463">
        <f t="shared" si="365"/>
        <v>-69674.199478102091</v>
      </c>
      <c r="AU463">
        <f t="shared" si="366"/>
        <v>-52756.39455906026</v>
      </c>
      <c r="AV463">
        <f t="shared" si="407"/>
        <v>-2.4935077422628154</v>
      </c>
      <c r="AW463">
        <f t="shared" si="408"/>
        <v>6870.4614534135953</v>
      </c>
      <c r="AX463">
        <f t="shared" si="409"/>
        <v>-22401.942031031911</v>
      </c>
      <c r="AY463">
        <f t="shared" si="417"/>
        <v>-1.2732128726341199</v>
      </c>
      <c r="BA463">
        <f t="shared" si="398"/>
        <v>3.7297192349404154</v>
      </c>
      <c r="BB463">
        <f t="shared" si="410"/>
        <v>11.433522806117653</v>
      </c>
      <c r="BC463">
        <f t="shared" si="411"/>
        <v>-1.2202948696286955</v>
      </c>
      <c r="BD463">
        <f t="shared" si="399"/>
        <v>-249.91774587108392</v>
      </c>
      <c r="BF463">
        <f t="shared" si="400"/>
        <v>-35.361031896301313</v>
      </c>
      <c r="BG463">
        <f t="shared" si="401"/>
        <v>-194.11948304160768</v>
      </c>
      <c r="BH463">
        <f t="shared" si="412"/>
        <v>-14.11948304160768</v>
      </c>
      <c r="BI463">
        <f t="shared" si="413"/>
        <v>-14.11948304160768</v>
      </c>
      <c r="BJ463">
        <f t="shared" si="402"/>
        <v>0</v>
      </c>
      <c r="BK463">
        <f t="shared" si="414"/>
        <v>0</v>
      </c>
      <c r="BM463">
        <f t="shared" si="415"/>
        <v>-46.794554702418971</v>
      </c>
      <c r="BN463">
        <f t="shared" si="403"/>
        <v>-124.20173717052376</v>
      </c>
      <c r="BQ463" s="75">
        <f t="shared" si="416"/>
        <v>28.335483606402789</v>
      </c>
    </row>
    <row r="464" spans="1:69">
      <c r="A464">
        <f t="shared" si="372"/>
        <v>1250000</v>
      </c>
      <c r="B464">
        <f t="shared" si="404"/>
        <v>1250</v>
      </c>
      <c r="C464">
        <f t="shared" si="373"/>
        <v>1.7703262995133182</v>
      </c>
      <c r="D464">
        <f t="shared" si="374"/>
        <v>0.97052350967732981</v>
      </c>
      <c r="F464">
        <f t="shared" si="375"/>
        <v>2.8554719653533318E-4</v>
      </c>
      <c r="G464">
        <f t="shared" si="376"/>
        <v>5.1886063660126804E-3</v>
      </c>
      <c r="H464">
        <f t="shared" si="377"/>
        <v>-3.1364040436339877</v>
      </c>
      <c r="J464">
        <f t="shared" si="378"/>
        <v>9</v>
      </c>
      <c r="M464">
        <f t="shared" si="379"/>
        <v>3.3765767110163656E-3</v>
      </c>
      <c r="N464">
        <f t="shared" si="380"/>
        <v>-1.5707963250000001</v>
      </c>
      <c r="O464">
        <f t="shared" si="381"/>
        <v>160.75840618784864</v>
      </c>
      <c r="P464">
        <f t="shared" si="382"/>
        <v>1.5645757721566698</v>
      </c>
      <c r="Q464">
        <f t="shared" si="383"/>
        <v>65.645305068391494</v>
      </c>
      <c r="R464">
        <f t="shared" si="384"/>
        <v>1.5555623556984925</v>
      </c>
      <c r="S464">
        <f t="shared" si="385"/>
        <v>0.76482291164985106</v>
      </c>
      <c r="T464">
        <f t="shared" si="386"/>
        <v>-0.70002992046425561</v>
      </c>
      <c r="U464">
        <f t="shared" si="387"/>
        <v>0.60588146371082396</v>
      </c>
      <c r="V464">
        <f t="shared" si="388"/>
        <v>-0.9199229402446899</v>
      </c>
      <c r="X464">
        <f t="shared" si="405"/>
        <v>-22.48447459581282</v>
      </c>
      <c r="Y464">
        <f t="shared" si="389"/>
        <v>-128.14152927365657</v>
      </c>
      <c r="Z464">
        <f t="shared" si="406"/>
        <v>51.858470726343427</v>
      </c>
      <c r="AC464">
        <v>1</v>
      </c>
      <c r="AD464">
        <f t="shared" si="390"/>
        <v>160.75529590050002</v>
      </c>
      <c r="AE464">
        <f t="shared" si="391"/>
        <v>-7.0703871846942053E-3</v>
      </c>
      <c r="AF464">
        <f t="shared" si="392"/>
        <v>5.3846898021000008E-3</v>
      </c>
      <c r="AG464">
        <f t="shared" si="367"/>
        <v>10869.711942598968</v>
      </c>
      <c r="AH464">
        <f t="shared" si="368"/>
        <v>-14458.227842559661</v>
      </c>
      <c r="AJ464">
        <f t="shared" si="393"/>
        <v>55000</v>
      </c>
      <c r="AK464">
        <f t="shared" si="394"/>
        <v>46328.674110468753</v>
      </c>
      <c r="AL464">
        <v>1</v>
      </c>
      <c r="AM464">
        <f t="shared" si="395"/>
        <v>65.637687935531261</v>
      </c>
      <c r="AN464">
        <f t="shared" si="369"/>
        <v>718.42356937198463</v>
      </c>
      <c r="AO464">
        <f t="shared" si="370"/>
        <v>-826.9879415000554</v>
      </c>
      <c r="AQ464">
        <f t="shared" si="396"/>
        <v>7.2865107231622813E-3</v>
      </c>
      <c r="AR464">
        <f t="shared" si="397"/>
        <v>-4.7999889388831525</v>
      </c>
      <c r="AT464">
        <f t="shared" si="365"/>
        <v>-69320.131447511376</v>
      </c>
      <c r="AU464">
        <f t="shared" si="366"/>
        <v>-52279.847125533888</v>
      </c>
      <c r="AV464">
        <f t="shared" si="407"/>
        <v>-2.4954217962783964</v>
      </c>
      <c r="AW464">
        <f t="shared" si="408"/>
        <v>6850.8526321056279</v>
      </c>
      <c r="AX464">
        <f t="shared" si="409"/>
        <v>-22350.695675435036</v>
      </c>
      <c r="AY464">
        <f t="shared" si="417"/>
        <v>-1.2733720452128194</v>
      </c>
      <c r="BA464">
        <f t="shared" si="398"/>
        <v>3.714079347555781</v>
      </c>
      <c r="BB464">
        <f t="shared" si="410"/>
        <v>11.397023555320906</v>
      </c>
      <c r="BC464">
        <f t="shared" si="411"/>
        <v>-1.222049751065577</v>
      </c>
      <c r="BD464">
        <f t="shared" si="399"/>
        <v>-250.018293171078</v>
      </c>
      <c r="BF464">
        <f t="shared" si="400"/>
        <v>-35.443501818895854</v>
      </c>
      <c r="BG464">
        <f t="shared" si="401"/>
        <v>-194.11410683813583</v>
      </c>
      <c r="BH464">
        <f t="shared" si="412"/>
        <v>-14.114106838135825</v>
      </c>
      <c r="BI464">
        <f t="shared" si="413"/>
        <v>-14.114106838135825</v>
      </c>
      <c r="BJ464">
        <f t="shared" si="402"/>
        <v>0</v>
      </c>
      <c r="BK464">
        <f t="shared" si="414"/>
        <v>0</v>
      </c>
      <c r="BM464">
        <f t="shared" si="415"/>
        <v>-46.840525374216753</v>
      </c>
      <c r="BN464">
        <f t="shared" si="403"/>
        <v>-124.09581366705783</v>
      </c>
      <c r="BQ464" s="75">
        <f t="shared" si="416"/>
        <v>28.298984355606045</v>
      </c>
    </row>
    <row r="465" spans="1:69">
      <c r="A465">
        <f t="shared" si="372"/>
        <v>1255000</v>
      </c>
      <c r="B465">
        <f t="shared" si="404"/>
        <v>1255</v>
      </c>
      <c r="C465">
        <f t="shared" si="373"/>
        <v>1.7751512029361936</v>
      </c>
      <c r="D465">
        <f t="shared" si="374"/>
        <v>0.97238291638971908</v>
      </c>
      <c r="F465">
        <f t="shared" si="375"/>
        <v>2.8327583866165828E-4</v>
      </c>
      <c r="G465">
        <f t="shared" si="376"/>
        <v>5.1679232446280665E-3</v>
      </c>
      <c r="H465">
        <f t="shared" si="377"/>
        <v>-3.1364247267553722</v>
      </c>
      <c r="J465">
        <f t="shared" si="378"/>
        <v>9</v>
      </c>
      <c r="M465">
        <f t="shared" si="379"/>
        <v>3.3631242141597267E-3</v>
      </c>
      <c r="N465">
        <f t="shared" si="380"/>
        <v>-1.5707963250000001</v>
      </c>
      <c r="O465">
        <f t="shared" si="381"/>
        <v>161.40141498010587</v>
      </c>
      <c r="P465">
        <f t="shared" si="382"/>
        <v>1.5646005546073722</v>
      </c>
      <c r="Q465">
        <f t="shared" si="383"/>
        <v>65.907825476491055</v>
      </c>
      <c r="R465">
        <f t="shared" si="384"/>
        <v>1.555623039476705</v>
      </c>
      <c r="S465">
        <f t="shared" si="385"/>
        <v>0.7635537915627868</v>
      </c>
      <c r="T465">
        <f t="shared" si="386"/>
        <v>-0.70199757105776195</v>
      </c>
      <c r="U465">
        <f t="shared" si="387"/>
        <v>0.6043503514044456</v>
      </c>
      <c r="V465">
        <f t="shared" si="388"/>
        <v>-0.92184611704425967</v>
      </c>
      <c r="X465">
        <f t="shared" si="405"/>
        <v>-22.531939194705636</v>
      </c>
      <c r="Y465">
        <f t="shared" si="389"/>
        <v>-128.25420930655906</v>
      </c>
      <c r="Z465">
        <f t="shared" si="406"/>
        <v>51.745790693440938</v>
      </c>
      <c r="AC465">
        <v>1</v>
      </c>
      <c r="AD465">
        <f t="shared" si="390"/>
        <v>161.39831708410202</v>
      </c>
      <c r="AE465">
        <f t="shared" si="391"/>
        <v>-7.1270634083667123E-3</v>
      </c>
      <c r="AF465">
        <f t="shared" si="392"/>
        <v>5.4062285613084007E-3</v>
      </c>
      <c r="AG465">
        <f t="shared" si="367"/>
        <v>10814.84404543175</v>
      </c>
      <c r="AH465">
        <f t="shared" si="368"/>
        <v>-14442.245343118271</v>
      </c>
      <c r="AJ465">
        <f t="shared" si="393"/>
        <v>55000</v>
      </c>
      <c r="AK465">
        <f t="shared" si="394"/>
        <v>46513.988806910631</v>
      </c>
      <c r="AL465">
        <v>1</v>
      </c>
      <c r="AM465">
        <f t="shared" si="395"/>
        <v>65.900238687273387</v>
      </c>
      <c r="AN465">
        <f t="shared" si="369"/>
        <v>718.32339971322256</v>
      </c>
      <c r="AO465">
        <f t="shared" si="370"/>
        <v>-823.69468884442165</v>
      </c>
      <c r="AQ465">
        <f t="shared" si="396"/>
        <v>7.2285666662918399E-3</v>
      </c>
      <c r="AR465">
        <f t="shared" si="397"/>
        <v>-4.7808655645854294</v>
      </c>
      <c r="AT465">
        <f t="shared" si="365"/>
        <v>-68968.257615040464</v>
      </c>
      <c r="AU465">
        <f t="shared" si="366"/>
        <v>-51808.712216440101</v>
      </c>
      <c r="AV465">
        <f t="shared" si="407"/>
        <v>-2.4973262385279851</v>
      </c>
      <c r="AW465">
        <f t="shared" si="408"/>
        <v>6831.1806159027219</v>
      </c>
      <c r="AX465">
        <f t="shared" si="409"/>
        <v>-22299.627348885031</v>
      </c>
      <c r="AY465">
        <f t="shared" si="417"/>
        <v>-1.2735367916487275</v>
      </c>
      <c r="BA465">
        <f t="shared" si="398"/>
        <v>3.6985703110331358</v>
      </c>
      <c r="BB465">
        <f t="shared" si="410"/>
        <v>11.360677583935278</v>
      </c>
      <c r="BC465">
        <f t="shared" si="411"/>
        <v>-1.2237894468792576</v>
      </c>
      <c r="BD465">
        <f t="shared" si="399"/>
        <v>-250.11797039895237</v>
      </c>
      <c r="BF465">
        <f t="shared" si="400"/>
        <v>-35.525574525886398</v>
      </c>
      <c r="BG465">
        <f t="shared" si="401"/>
        <v>-194.10843296443409</v>
      </c>
      <c r="BH465">
        <f t="shared" si="412"/>
        <v>-14.108432964434087</v>
      </c>
      <c r="BI465">
        <f t="shared" si="413"/>
        <v>-14.108432964434087</v>
      </c>
      <c r="BJ465">
        <f t="shared" si="402"/>
        <v>0</v>
      </c>
      <c r="BK465">
        <f t="shared" si="414"/>
        <v>0</v>
      </c>
      <c r="BM465">
        <f t="shared" si="415"/>
        <v>-46.886252109821676</v>
      </c>
      <c r="BN465">
        <f t="shared" si="403"/>
        <v>-123.99046256548172</v>
      </c>
      <c r="BQ465" s="75">
        <f t="shared" si="416"/>
        <v>28.262638384220416</v>
      </c>
    </row>
    <row r="466" spans="1:69">
      <c r="A466">
        <f t="shared" si="372"/>
        <v>1260000</v>
      </c>
      <c r="B466">
        <f t="shared" si="404"/>
        <v>1260</v>
      </c>
      <c r="C466">
        <f t="shared" si="373"/>
        <v>1.7799822104700169</v>
      </c>
      <c r="D466">
        <f t="shared" si="374"/>
        <v>0.97423223632367606</v>
      </c>
      <c r="F466">
        <f t="shared" si="375"/>
        <v>2.8103147674493493E-4</v>
      </c>
      <c r="G466">
        <f t="shared" si="376"/>
        <v>5.1474044097526237E-3</v>
      </c>
      <c r="H466">
        <f t="shared" si="377"/>
        <v>-3.1364452455902474</v>
      </c>
      <c r="J466">
        <f t="shared" si="378"/>
        <v>9</v>
      </c>
      <c r="M466">
        <f t="shared" si="379"/>
        <v>3.3497784831511561E-3</v>
      </c>
      <c r="N466">
        <f t="shared" si="380"/>
        <v>-1.5707963250000001</v>
      </c>
      <c r="O466">
        <f t="shared" si="381"/>
        <v>162.04442387070432</v>
      </c>
      <c r="P466">
        <f t="shared" si="382"/>
        <v>1.5646251403794784</v>
      </c>
      <c r="Q466">
        <f t="shared" si="383"/>
        <v>66.170346125371765</v>
      </c>
      <c r="R466">
        <f t="shared" si="384"/>
        <v>1.555683241748065</v>
      </c>
      <c r="S466">
        <f t="shared" si="385"/>
        <v>0.76228593971868819</v>
      </c>
      <c r="T466">
        <f t="shared" si="386"/>
        <v>-0.70395869480608575</v>
      </c>
      <c r="U466">
        <f t="shared" si="387"/>
        <v>0.60282474530910402</v>
      </c>
      <c r="V466">
        <f t="shared" si="388"/>
        <v>-0.92375959125766693</v>
      </c>
      <c r="X466">
        <f t="shared" si="405"/>
        <v>-22.57928592921925</v>
      </c>
      <c r="Y466">
        <f t="shared" si="389"/>
        <v>-128.36656683561461</v>
      </c>
      <c r="Z466">
        <f t="shared" si="406"/>
        <v>51.633433164385394</v>
      </c>
      <c r="AC466">
        <v>1</v>
      </c>
      <c r="AD466">
        <f t="shared" si="390"/>
        <v>162.04133826770402</v>
      </c>
      <c r="AE466">
        <f t="shared" si="391"/>
        <v>-7.183965884429132E-3</v>
      </c>
      <c r="AF466">
        <f t="shared" si="392"/>
        <v>5.4277673205168006E-3</v>
      </c>
      <c r="AG466">
        <f t="shared" si="367"/>
        <v>10760.311548197584</v>
      </c>
      <c r="AH466">
        <f t="shared" si="368"/>
        <v>-14426.136281137569</v>
      </c>
      <c r="AJ466">
        <f t="shared" si="393"/>
        <v>55000</v>
      </c>
      <c r="AK466">
        <f t="shared" si="394"/>
        <v>46699.303503352501</v>
      </c>
      <c r="AL466">
        <v>1</v>
      </c>
      <c r="AM466">
        <f t="shared" si="395"/>
        <v>66.162789439015498</v>
      </c>
      <c r="AN466">
        <f t="shared" si="369"/>
        <v>718.2244198196222</v>
      </c>
      <c r="AO466">
        <f t="shared" si="370"/>
        <v>-820.42755513223551</v>
      </c>
      <c r="AQ466">
        <f t="shared" si="396"/>
        <v>7.171311047954607E-3</v>
      </c>
      <c r="AR466">
        <f t="shared" si="397"/>
        <v>-4.7618939620628185</v>
      </c>
      <c r="AT466">
        <f t="shared" si="365"/>
        <v>-68618.565711959338</v>
      </c>
      <c r="AU466">
        <f t="shared" si="366"/>
        <v>-51342.916901769109</v>
      </c>
      <c r="AV466">
        <f t="shared" si="407"/>
        <v>-2.4992211268709061</v>
      </c>
      <c r="AW466">
        <f t="shared" si="408"/>
        <v>6811.4496975735547</v>
      </c>
      <c r="AX466">
        <f t="shared" si="409"/>
        <v>-22248.736077082453</v>
      </c>
      <c r="AY466">
        <f t="shared" si="417"/>
        <v>-1.27370695927458</v>
      </c>
      <c r="BA466">
        <f t="shared" si="398"/>
        <v>3.6831905161458369</v>
      </c>
      <c r="BB466">
        <f t="shared" si="410"/>
        <v>11.324483673709242</v>
      </c>
      <c r="BC466">
        <f t="shared" si="411"/>
        <v>-1.2255141675963261</v>
      </c>
      <c r="BD466">
        <f t="shared" si="399"/>
        <v>-250.21678961699212</v>
      </c>
      <c r="BF466">
        <f t="shared" si="400"/>
        <v>-35.607253589646092</v>
      </c>
      <c r="BG466">
        <f t="shared" si="401"/>
        <v>-194.10246959780781</v>
      </c>
      <c r="BH466">
        <f t="shared" si="412"/>
        <v>-14.102469597807811</v>
      </c>
      <c r="BI466">
        <f t="shared" si="413"/>
        <v>-14.102469597807811</v>
      </c>
      <c r="BJ466">
        <f t="shared" si="402"/>
        <v>0</v>
      </c>
      <c r="BK466">
        <f t="shared" si="414"/>
        <v>0</v>
      </c>
      <c r="BM466">
        <f t="shared" si="415"/>
        <v>-46.931737263355338</v>
      </c>
      <c r="BN466">
        <f t="shared" si="403"/>
        <v>-123.88567998081572</v>
      </c>
      <c r="BQ466" s="75">
        <f t="shared" si="416"/>
        <v>28.226444473994377</v>
      </c>
    </row>
    <row r="467" spans="1:69">
      <c r="A467">
        <f t="shared" si="372"/>
        <v>1265000</v>
      </c>
      <c r="B467">
        <f t="shared" si="404"/>
        <v>1265</v>
      </c>
      <c r="C467">
        <f t="shared" si="373"/>
        <v>1.7848192725484155</v>
      </c>
      <c r="D467">
        <f t="shared" si="374"/>
        <v>0.97607153878732156</v>
      </c>
      <c r="F467">
        <f t="shared" si="375"/>
        <v>2.7881368462660751E-4</v>
      </c>
      <c r="G467">
        <f t="shared" si="376"/>
        <v>5.1270479112062017E-3</v>
      </c>
      <c r="H467">
        <f t="shared" si="377"/>
        <v>-3.1364656020887942</v>
      </c>
      <c r="J467">
        <f t="shared" si="378"/>
        <v>9</v>
      </c>
      <c r="M467">
        <f t="shared" si="379"/>
        <v>3.336538251992456E-3</v>
      </c>
      <c r="N467">
        <f t="shared" si="380"/>
        <v>-1.5707963250000001</v>
      </c>
      <c r="O467">
        <f t="shared" si="381"/>
        <v>162.68743285847788</v>
      </c>
      <c r="P467">
        <f t="shared" si="382"/>
        <v>1.5646495318050273</v>
      </c>
      <c r="Q467">
        <f t="shared" si="383"/>
        <v>66.432867012179159</v>
      </c>
      <c r="R467">
        <f t="shared" si="384"/>
        <v>1.5557429682204047</v>
      </c>
      <c r="S467">
        <f t="shared" si="385"/>
        <v>0.76101937899464589</v>
      </c>
      <c r="T467">
        <f t="shared" si="386"/>
        <v>-0.7059133091204044</v>
      </c>
      <c r="U467">
        <f t="shared" si="387"/>
        <v>0.60130463721946081</v>
      </c>
      <c r="V467">
        <f t="shared" si="388"/>
        <v>-0.92566342221927522</v>
      </c>
      <c r="X467">
        <f t="shared" si="405"/>
        <v>-22.626515577208149</v>
      </c>
      <c r="Y467">
        <f t="shared" si="389"/>
        <v>-128.47860193804235</v>
      </c>
      <c r="Z467">
        <f t="shared" si="406"/>
        <v>51.521398061957655</v>
      </c>
      <c r="AC467">
        <v>1</v>
      </c>
      <c r="AD467">
        <f t="shared" si="390"/>
        <v>162.68435945130602</v>
      </c>
      <c r="AE467">
        <f t="shared" si="391"/>
        <v>-7.2410946128814609E-3</v>
      </c>
      <c r="AF467">
        <f t="shared" si="392"/>
        <v>5.4493060797252005E-3</v>
      </c>
      <c r="AG467">
        <f t="shared" si="367"/>
        <v>10706.112666293853</v>
      </c>
      <c r="AH467">
        <f t="shared" si="368"/>
        <v>-14409.903500366829</v>
      </c>
      <c r="AJ467">
        <f t="shared" si="393"/>
        <v>55000</v>
      </c>
      <c r="AK467">
        <f t="shared" si="394"/>
        <v>46884.618199794386</v>
      </c>
      <c r="AL467">
        <v>1</v>
      </c>
      <c r="AM467">
        <f t="shared" si="395"/>
        <v>66.425340190757638</v>
      </c>
      <c r="AN467">
        <f t="shared" si="369"/>
        <v>718.12661092500946</v>
      </c>
      <c r="AO467">
        <f t="shared" si="370"/>
        <v>-817.18623093521956</v>
      </c>
      <c r="AQ467">
        <f t="shared" si="396"/>
        <v>7.1147330053270381E-3</v>
      </c>
      <c r="AR467">
        <f t="shared" si="397"/>
        <v>-4.7430723316662959</v>
      </c>
      <c r="AT467">
        <f t="shared" si="365"/>
        <v>-68271.043461425579</v>
      </c>
      <c r="AU467">
        <f t="shared" si="366"/>
        <v>-50882.389383238093</v>
      </c>
      <c r="AV467">
        <f t="shared" si="407"/>
        <v>-2.5011065188786392</v>
      </c>
      <c r="AW467">
        <f t="shared" si="408"/>
        <v>6791.664048645287</v>
      </c>
      <c r="AX467">
        <f t="shared" si="409"/>
        <v>-22198.020906201869</v>
      </c>
      <c r="AY467">
        <f t="shared" si="417"/>
        <v>-1.2738823990172008</v>
      </c>
      <c r="BA467">
        <f t="shared" si="398"/>
        <v>3.6679383789121709</v>
      </c>
      <c r="BB467">
        <f t="shared" si="410"/>
        <v>11.288440618895279</v>
      </c>
      <c r="BC467">
        <f t="shared" si="411"/>
        <v>-1.2272241198614384</v>
      </c>
      <c r="BD467">
        <f t="shared" si="399"/>
        <v>-250.31476266506382</v>
      </c>
      <c r="BF467">
        <f t="shared" si="400"/>
        <v>-35.688542539225331</v>
      </c>
      <c r="BG467">
        <f t="shared" si="401"/>
        <v>-194.09622471879794</v>
      </c>
      <c r="BH467">
        <f t="shared" si="412"/>
        <v>-14.096224718797941</v>
      </c>
      <c r="BI467">
        <f t="shared" si="413"/>
        <v>-14.096224718797941</v>
      </c>
      <c r="BJ467">
        <f t="shared" si="402"/>
        <v>0</v>
      </c>
      <c r="BK467">
        <f t="shared" si="414"/>
        <v>0</v>
      </c>
      <c r="BM467">
        <f t="shared" si="415"/>
        <v>-46.976983158120618</v>
      </c>
      <c r="BN467">
        <f t="shared" si="403"/>
        <v>-123.78146205373413</v>
      </c>
      <c r="BQ467" s="75">
        <f t="shared" si="416"/>
        <v>28.190401419180414</v>
      </c>
    </row>
    <row r="468" spans="1:69">
      <c r="A468">
        <f t="shared" si="372"/>
        <v>1270000</v>
      </c>
      <c r="B468">
        <f t="shared" si="404"/>
        <v>1270</v>
      </c>
      <c r="C468">
        <f t="shared" si="373"/>
        <v>1.7896623400790996</v>
      </c>
      <c r="D468">
        <f t="shared" si="374"/>
        <v>0.97790089261107294</v>
      </c>
      <c r="F468">
        <f t="shared" si="375"/>
        <v>2.7662204452496794E-4</v>
      </c>
      <c r="G468">
        <f t="shared" si="376"/>
        <v>5.106851829561632E-3</v>
      </c>
      <c r="H468">
        <f t="shared" si="377"/>
        <v>-3.1364857981704386</v>
      </c>
      <c r="J468">
        <f t="shared" si="378"/>
        <v>9</v>
      </c>
      <c r="M468">
        <f t="shared" si="379"/>
        <v>3.3234022746224069E-3</v>
      </c>
      <c r="N468">
        <f t="shared" si="380"/>
        <v>-1.5707963250000001</v>
      </c>
      <c r="O468">
        <f t="shared" si="381"/>
        <v>163.33044194227887</v>
      </c>
      <c r="P468">
        <f t="shared" si="382"/>
        <v>1.5646737311793353</v>
      </c>
      <c r="Q468">
        <f t="shared" si="383"/>
        <v>66.695388134103695</v>
      </c>
      <c r="R468">
        <f t="shared" si="384"/>
        <v>1.5558022245117027</v>
      </c>
      <c r="S468">
        <f t="shared" si="385"/>
        <v>0.75975413192687302</v>
      </c>
      <c r="T468">
        <f t="shared" si="386"/>
        <v>-0.70786143149545966</v>
      </c>
      <c r="U468">
        <f t="shared" si="387"/>
        <v>0.59979001858232284</v>
      </c>
      <c r="V468">
        <f t="shared" si="388"/>
        <v>-0.9275576689465348</v>
      </c>
      <c r="X468">
        <f t="shared" si="405"/>
        <v>-22.673628905696646</v>
      </c>
      <c r="Y468">
        <f t="shared" si="389"/>
        <v>-128.59031471055229</v>
      </c>
      <c r="Z468">
        <f t="shared" si="406"/>
        <v>51.409685289447708</v>
      </c>
      <c r="AC468">
        <v>1</v>
      </c>
      <c r="AD468">
        <f t="shared" si="390"/>
        <v>163.32738063490802</v>
      </c>
      <c r="AE468">
        <f t="shared" si="391"/>
        <v>-7.2984495937236998E-3</v>
      </c>
      <c r="AF468">
        <f t="shared" si="392"/>
        <v>5.4708448389335996E-3</v>
      </c>
      <c r="AG468">
        <f t="shared" si="367"/>
        <v>10652.245611092549</v>
      </c>
      <c r="AH468">
        <f t="shared" si="368"/>
        <v>-14393.549802789283</v>
      </c>
      <c r="AJ468">
        <f t="shared" si="393"/>
        <v>55000</v>
      </c>
      <c r="AK468">
        <f t="shared" si="394"/>
        <v>47069.932896236256</v>
      </c>
      <c r="AL468">
        <v>1</v>
      </c>
      <c r="AM468">
        <f t="shared" si="395"/>
        <v>66.687890942499763</v>
      </c>
      <c r="AN468">
        <f t="shared" si="369"/>
        <v>718.02995463172772</v>
      </c>
      <c r="AO468">
        <f t="shared" si="370"/>
        <v>-813.9704116924579</v>
      </c>
      <c r="AQ468">
        <f t="shared" si="396"/>
        <v>7.0588218889979723E-3</v>
      </c>
      <c r="AR468">
        <f t="shared" si="397"/>
        <v>-4.7243989020874526</v>
      </c>
      <c r="AT468">
        <f t="shared" si="365"/>
        <v>-67925.678580952183</v>
      </c>
      <c r="AU468">
        <f t="shared" si="366"/>
        <v>-50427.058974219835</v>
      </c>
      <c r="AV468">
        <f t="shared" si="407"/>
        <v>-2.5029824718335143</v>
      </c>
      <c r="AW468">
        <f t="shared" si="408"/>
        <v>6771.8277225935899</v>
      </c>
      <c r="AX468">
        <f t="shared" si="409"/>
        <v>-22147.480902119991</v>
      </c>
      <c r="AY468">
        <f t="shared" si="417"/>
        <v>-1.2740629653079036</v>
      </c>
      <c r="BA468">
        <f t="shared" si="398"/>
        <v>3.652812340138722</v>
      </c>
      <c r="BB468">
        <f t="shared" si="410"/>
        <v>11.252547226139914</v>
      </c>
      <c r="BC468">
        <f t="shared" si="411"/>
        <v>-1.2289195065256107</v>
      </c>
      <c r="BD468">
        <f t="shared" si="399"/>
        <v>-250.41190116567464</v>
      </c>
      <c r="BF468">
        <f t="shared" si="400"/>
        <v>-35.769444860956888</v>
      </c>
      <c r="BG468">
        <f t="shared" si="401"/>
        <v>-194.08970611619418</v>
      </c>
      <c r="BH468">
        <f t="shared" si="412"/>
        <v>-14.089706116194179</v>
      </c>
      <c r="BI468">
        <f t="shared" si="413"/>
        <v>-14.089706116194179</v>
      </c>
      <c r="BJ468">
        <f t="shared" si="402"/>
        <v>0</v>
      </c>
      <c r="BK468">
        <f t="shared" si="414"/>
        <v>0</v>
      </c>
      <c r="BM468">
        <f t="shared" si="415"/>
        <v>-47.021992087096798</v>
      </c>
      <c r="BN468">
        <f t="shared" si="403"/>
        <v>-123.67780495051953</v>
      </c>
      <c r="BQ468" s="75">
        <f t="shared" si="416"/>
        <v>28.154508026425052</v>
      </c>
    </row>
    <row r="469" spans="1:69">
      <c r="A469">
        <f t="shared" si="372"/>
        <v>1275000</v>
      </c>
      <c r="B469">
        <f t="shared" si="404"/>
        <v>1275</v>
      </c>
      <c r="C469">
        <f t="shared" si="373"/>
        <v>1.794511364439122</v>
      </c>
      <c r="D469">
        <f t="shared" si="374"/>
        <v>0.97972036614912072</v>
      </c>
      <c r="F469">
        <f t="shared" si="375"/>
        <v>2.744561468383193E-4</v>
      </c>
      <c r="G469">
        <f t="shared" si="376"/>
        <v>5.0868142755407606E-3</v>
      </c>
      <c r="H469">
        <f t="shared" si="377"/>
        <v>-3.1365058357244595</v>
      </c>
      <c r="J469">
        <f t="shared" si="378"/>
        <v>9</v>
      </c>
      <c r="M469">
        <f t="shared" si="379"/>
        <v>3.310369324525849E-3</v>
      </c>
      <c r="N469">
        <f t="shared" si="380"/>
        <v>-1.5707963250000001</v>
      </c>
      <c r="O469">
        <f t="shared" si="381"/>
        <v>163.97345112097761</v>
      </c>
      <c r="P469">
        <f t="shared" si="382"/>
        <v>1.564697740761716</v>
      </c>
      <c r="Q469">
        <f t="shared" si="383"/>
        <v>66.95790948837994</v>
      </c>
      <c r="R469">
        <f t="shared" si="384"/>
        <v>1.5558610161518465</v>
      </c>
      <c r="S469">
        <f t="shared" si="385"/>
        <v>0.75849022071341199</v>
      </c>
      <c r="T469">
        <f t="shared" si="386"/>
        <v>-0.70980307950708132</v>
      </c>
      <c r="U469">
        <f t="shared" si="387"/>
        <v>0.59828088050581185</v>
      </c>
      <c r="V469">
        <f t="shared" si="388"/>
        <v>-0.92944239013930896</v>
      </c>
      <c r="X469">
        <f t="shared" si="405"/>
        <v>-22.720626671087953</v>
      </c>
      <c r="Y469">
        <f t="shared" si="389"/>
        <v>-128.7017052689724</v>
      </c>
      <c r="Z469">
        <f t="shared" si="406"/>
        <v>51.298294731027596</v>
      </c>
      <c r="AC469">
        <v>1</v>
      </c>
      <c r="AD469">
        <f t="shared" si="390"/>
        <v>163.97040181851003</v>
      </c>
      <c r="AE469">
        <f t="shared" si="391"/>
        <v>-7.3560308269558497E-3</v>
      </c>
      <c r="AF469">
        <f t="shared" si="392"/>
        <v>5.4923835981420003E-3</v>
      </c>
      <c r="AG469">
        <f t="shared" si="367"/>
        <v>10598.70859039384</v>
      </c>
      <c r="AH469">
        <f t="shared" si="368"/>
        <v>-14377.077949102364</v>
      </c>
      <c r="AJ469">
        <f t="shared" si="393"/>
        <v>55000</v>
      </c>
      <c r="AK469">
        <f t="shared" si="394"/>
        <v>47255.247592678126</v>
      </c>
      <c r="AL469">
        <v>1</v>
      </c>
      <c r="AM469">
        <f t="shared" si="395"/>
        <v>66.950441694241874</v>
      </c>
      <c r="AN469">
        <f t="shared" si="369"/>
        <v>717.93443290198888</v>
      </c>
      <c r="AO469">
        <f t="shared" si="370"/>
        <v>-810.7797976150855</v>
      </c>
      <c r="AQ469">
        <f t="shared" si="396"/>
        <v>7.0035672579570546E-3</v>
      </c>
      <c r="AR469">
        <f t="shared" si="397"/>
        <v>-4.705871929802794</v>
      </c>
      <c r="AT469">
        <f t="shared" si="365"/>
        <v>-67582.458784807226</v>
      </c>
      <c r="AU469">
        <f t="shared" si="366"/>
        <v>-49976.856080083548</v>
      </c>
      <c r="AV469">
        <f t="shared" si="407"/>
        <v>-2.5048490427274874</v>
      </c>
      <c r="AW469">
        <f t="shared" si="408"/>
        <v>6751.9446579454461</v>
      </c>
      <c r="AX469">
        <f t="shared" si="409"/>
        <v>-22097.115149671838</v>
      </c>
      <c r="AY469">
        <f t="shared" si="417"/>
        <v>-1.2742485159953401</v>
      </c>
      <c r="BA469">
        <f t="shared" si="398"/>
        <v>3.6378108649721965</v>
      </c>
      <c r="BB469">
        <f t="shared" si="410"/>
        <v>11.216802314372444</v>
      </c>
      <c r="BC469">
        <f t="shared" si="411"/>
        <v>-1.2306005267321474</v>
      </c>
      <c r="BD469">
        <f t="shared" si="399"/>
        <v>-250.50821652889545</v>
      </c>
      <c r="BF469">
        <f t="shared" si="400"/>
        <v>-35.849963999052932</v>
      </c>
      <c r="BG469">
        <f t="shared" si="401"/>
        <v>-194.08292139190849</v>
      </c>
      <c r="BH469">
        <f t="shared" si="412"/>
        <v>-14.082921391908485</v>
      </c>
      <c r="BI469">
        <f t="shared" si="413"/>
        <v>-14.082921391908485</v>
      </c>
      <c r="BJ469">
        <f t="shared" si="402"/>
        <v>0</v>
      </c>
      <c r="BK469">
        <f t="shared" si="414"/>
        <v>0</v>
      </c>
      <c r="BM469">
        <f t="shared" si="415"/>
        <v>-47.066766313425383</v>
      </c>
      <c r="BN469">
        <f t="shared" si="403"/>
        <v>-123.57470486301301</v>
      </c>
      <c r="BQ469" s="75">
        <f t="shared" si="416"/>
        <v>28.118763114657582</v>
      </c>
    </row>
    <row r="470" spans="1:69">
      <c r="A470">
        <f t="shared" si="372"/>
        <v>1280000</v>
      </c>
      <c r="B470">
        <f t="shared" si="404"/>
        <v>1280</v>
      </c>
      <c r="C470">
        <f t="shared" si="373"/>
        <v>1.7993662974701774</v>
      </c>
      <c r="D470">
        <f t="shared" si="374"/>
        <v>0.98153002728096839</v>
      </c>
      <c r="F470">
        <f t="shared" si="375"/>
        <v>2.7231558995351564E-4</v>
      </c>
      <c r="G470">
        <f t="shared" si="376"/>
        <v>5.0669333894246557E-3</v>
      </c>
      <c r="H470">
        <f t="shared" si="377"/>
        <v>-3.1365257166105756</v>
      </c>
      <c r="J470">
        <f t="shared" si="378"/>
        <v>9</v>
      </c>
      <c r="M470">
        <f t="shared" si="379"/>
        <v>3.2974381943519197E-3</v>
      </c>
      <c r="N470">
        <f t="shared" si="380"/>
        <v>-1.5707963250000001</v>
      </c>
      <c r="O470">
        <f t="shared" si="381"/>
        <v>164.61646039346206</v>
      </c>
      <c r="P470">
        <f t="shared" si="382"/>
        <v>1.5647215627761835</v>
      </c>
      <c r="Q470">
        <f t="shared" si="383"/>
        <v>67.220431072285621</v>
      </c>
      <c r="R470">
        <f t="shared" si="384"/>
        <v>1.5559193485843499</v>
      </c>
      <c r="S470">
        <f t="shared" si="385"/>
        <v>0.75722766721684709</v>
      </c>
      <c r="T470">
        <f t="shared" si="386"/>
        <v>-0.71173827080973817</v>
      </c>
      <c r="U470">
        <f t="shared" si="387"/>
        <v>0.59677721376836368</v>
      </c>
      <c r="V470">
        <f t="shared" si="388"/>
        <v>-0.93131764417928053</v>
      </c>
      <c r="X470">
        <f t="shared" si="405"/>
        <v>-22.767509619368838</v>
      </c>
      <c r="Y470">
        <f t="shared" si="389"/>
        <v>-128.81277374788124</v>
      </c>
      <c r="Z470">
        <f t="shared" si="406"/>
        <v>51.187226252118762</v>
      </c>
      <c r="AC470">
        <v>1</v>
      </c>
      <c r="AD470">
        <f t="shared" si="390"/>
        <v>164.613423002112</v>
      </c>
      <c r="AE470">
        <f t="shared" si="391"/>
        <v>-7.4138383125779096E-3</v>
      </c>
      <c r="AF470">
        <f t="shared" si="392"/>
        <v>5.5139223573504002E-3</v>
      </c>
      <c r="AG470">
        <f t="shared" si="367"/>
        <v>10545.499808867195</v>
      </c>
      <c r="AH470">
        <f t="shared" si="368"/>
        <v>-14360.490659196041</v>
      </c>
      <c r="AJ470">
        <f t="shared" si="393"/>
        <v>55000</v>
      </c>
      <c r="AK470">
        <f t="shared" si="394"/>
        <v>47440.562289120004</v>
      </c>
      <c r="AL470">
        <v>1</v>
      </c>
      <c r="AM470">
        <f t="shared" si="395"/>
        <v>67.212992445984014</v>
      </c>
      <c r="AN470">
        <f t="shared" si="369"/>
        <v>717.84002804945862</v>
      </c>
      <c r="AO470">
        <f t="shared" si="370"/>
        <v>-807.61409359320839</v>
      </c>
      <c r="AQ470">
        <f t="shared" si="396"/>
        <v>6.948958874719937E-3</v>
      </c>
      <c r="AR470">
        <f t="shared" si="397"/>
        <v>-4.6874896985310812</v>
      </c>
      <c r="AT470">
        <f t="shared" ref="AT470:AT533" si="418">-AR470*AH470+AG470*AQ470</f>
        <v>-67241.371786348071</v>
      </c>
      <c r="AU470">
        <f t="shared" ref="AU470:AU533" si="419">AQ470*AH470+AG470*AR470</f>
        <v>-49531.712178938011</v>
      </c>
      <c r="AV470">
        <f t="shared" si="407"/>
        <v>-2.5067062882610198</v>
      </c>
      <c r="AW470">
        <f t="shared" si="408"/>
        <v>6732.0186812971979</v>
      </c>
      <c r="AX470">
        <f t="shared" si="409"/>
        <v>-22046.922751934206</v>
      </c>
      <c r="AY470">
        <f t="shared" si="417"/>
        <v>-1.2744389122607287</v>
      </c>
      <c r="BA470">
        <f t="shared" si="398"/>
        <v>3.6229324424595903</v>
      </c>
      <c r="BB470">
        <f t="shared" si="410"/>
        <v>11.181204714692601</v>
      </c>
      <c r="BC470">
        <f t="shared" si="411"/>
        <v>-1.2322673760002911</v>
      </c>
      <c r="BD470">
        <f t="shared" si="399"/>
        <v>-250.60371995715371</v>
      </c>
      <c r="BF470">
        <f t="shared" si="400"/>
        <v>-35.930103356194024</v>
      </c>
      <c r="BG470">
        <f t="shared" si="401"/>
        <v>-194.07587796571323</v>
      </c>
      <c r="BH470">
        <f t="shared" si="412"/>
        <v>-14.075877965713232</v>
      </c>
      <c r="BI470">
        <f t="shared" si="413"/>
        <v>-14.075877965713232</v>
      </c>
      <c r="BJ470">
        <f t="shared" si="402"/>
        <v>0</v>
      </c>
      <c r="BK470">
        <f t="shared" si="414"/>
        <v>0</v>
      </c>
      <c r="BM470">
        <f t="shared" si="415"/>
        <v>-47.111308070886622</v>
      </c>
      <c r="BN470">
        <f t="shared" si="403"/>
        <v>-123.47215800855955</v>
      </c>
      <c r="BQ470" s="75">
        <f t="shared" si="416"/>
        <v>28.083165514977736</v>
      </c>
    </row>
    <row r="471" spans="1:69">
      <c r="A471">
        <f t="shared" si="372"/>
        <v>1285000</v>
      </c>
      <c r="B471">
        <f t="shared" si="404"/>
        <v>1285</v>
      </c>
      <c r="C471">
        <f t="shared" si="373"/>
        <v>1.8042270914739438</v>
      </c>
      <c r="D471">
        <f t="shared" si="374"/>
        <v>0.98332994341302982</v>
      </c>
      <c r="F471">
        <f t="shared" si="375"/>
        <v>2.7019998005970965E-4</v>
      </c>
      <c r="G471">
        <f t="shared" si="376"/>
        <v>5.0472073404776103E-3</v>
      </c>
      <c r="H471">
        <f t="shared" si="377"/>
        <v>-3.1365454426595227</v>
      </c>
      <c r="J471">
        <f t="shared" si="378"/>
        <v>9</v>
      </c>
      <c r="M471">
        <f t="shared" si="379"/>
        <v>3.2846076955412116E-3</v>
      </c>
      <c r="N471">
        <f t="shared" si="380"/>
        <v>-1.5707963250000001</v>
      </c>
      <c r="O471">
        <f t="shared" si="381"/>
        <v>165.25946975863749</v>
      </c>
      <c r="P471">
        <f t="shared" si="382"/>
        <v>1.5647451994121389</v>
      </c>
      <c r="Q471">
        <f t="shared" si="383"/>
        <v>67.482952883140825</v>
      </c>
      <c r="R471">
        <f t="shared" si="384"/>
        <v>1.5559772271680352</v>
      </c>
      <c r="S471">
        <f t="shared" si="385"/>
        <v>0.75596649296702234</v>
      </c>
      <c r="T471">
        <f t="shared" si="386"/>
        <v>-0.71366702313412222</v>
      </c>
      <c r="U471">
        <f t="shared" si="387"/>
        <v>0.59527900882756446</v>
      </c>
      <c r="V471">
        <f t="shared" si="388"/>
        <v>-0.93318348912943394</v>
      </c>
      <c r="X471">
        <f t="shared" si="405"/>
        <v>-22.814278486309615</v>
      </c>
      <c r="Y471">
        <f t="shared" si="389"/>
        <v>-128.92352030024566</v>
      </c>
      <c r="Z471">
        <f t="shared" si="406"/>
        <v>51.076479699754344</v>
      </c>
      <c r="AC471">
        <v>1</v>
      </c>
      <c r="AD471">
        <f t="shared" si="390"/>
        <v>165.25644418571403</v>
      </c>
      <c r="AE471">
        <f t="shared" si="391"/>
        <v>-7.4718720505898804E-3</v>
      </c>
      <c r="AF471">
        <f t="shared" si="392"/>
        <v>5.5354611165588001E-3</v>
      </c>
      <c r="AG471">
        <f t="shared" si="367"/>
        <v>10492.617468480261</v>
      </c>
      <c r="AH471">
        <f t="shared" si="368"/>
        <v>-14343.790612628971</v>
      </c>
      <c r="AJ471">
        <f t="shared" si="393"/>
        <v>55000</v>
      </c>
      <c r="AK471">
        <f t="shared" si="394"/>
        <v>47625.876985561881</v>
      </c>
      <c r="AL471">
        <v>1</v>
      </c>
      <c r="AM471">
        <f t="shared" si="395"/>
        <v>67.47554319772614</v>
      </c>
      <c r="AN471">
        <f t="shared" si="369"/>
        <v>717.74672273107296</v>
      </c>
      <c r="AO471">
        <f t="shared" si="370"/>
        <v>-804.47300910499655</v>
      </c>
      <c r="AQ471">
        <f t="shared" si="396"/>
        <v>6.8949867005859856E-3</v>
      </c>
      <c r="AR471">
        <f t="shared" si="397"/>
        <v>-4.6692505187033264</v>
      </c>
      <c r="AT471">
        <f t="shared" si="418"/>
        <v>-66902.405300290222</v>
      </c>
      <c r="AU471">
        <f t="shared" si="419"/>
        <v>-49091.559802767108</v>
      </c>
      <c r="AV471">
        <f t="shared" si="407"/>
        <v>-2.5085542648420374</v>
      </c>
      <c r="AW471">
        <f t="shared" si="408"/>
        <v>6712.0535102504136</v>
      </c>
      <c r="AX471">
        <f t="shared" si="409"/>
        <v>-21996.902829535389</v>
      </c>
      <c r="AY471">
        <f t="shared" si="417"/>
        <v>-1.2746340185353884</v>
      </c>
      <c r="BA471">
        <f t="shared" si="398"/>
        <v>3.6081755851165691</v>
      </c>
      <c r="BB471">
        <f t="shared" si="410"/>
        <v>11.145753270257179</v>
      </c>
      <c r="BC471">
        <f t="shared" si="411"/>
        <v>-1.233920246306649</v>
      </c>
      <c r="BD471">
        <f t="shared" si="399"/>
        <v>-250.69842244989871</v>
      </c>
      <c r="BF471">
        <f t="shared" si="400"/>
        <v>-36.00986629411009</v>
      </c>
      <c r="BG471">
        <f t="shared" si="401"/>
        <v>-194.0685830798482</v>
      </c>
      <c r="BH471">
        <f t="shared" si="412"/>
        <v>-14.068583079848196</v>
      </c>
      <c r="BI471">
        <f t="shared" si="413"/>
        <v>-14.068583079848196</v>
      </c>
      <c r="BJ471">
        <f t="shared" si="402"/>
        <v>0</v>
      </c>
      <c r="BK471">
        <f t="shared" si="414"/>
        <v>0</v>
      </c>
      <c r="BM471">
        <f t="shared" si="415"/>
        <v>-47.155619564367264</v>
      </c>
      <c r="BN471">
        <f t="shared" si="403"/>
        <v>-123.3701606299495</v>
      </c>
      <c r="BQ471" s="75">
        <f t="shared" si="416"/>
        <v>28.047714070542312</v>
      </c>
    </row>
    <row r="472" spans="1:69">
      <c r="A472">
        <f t="shared" si="372"/>
        <v>1290000</v>
      </c>
      <c r="B472">
        <f t="shared" si="404"/>
        <v>1290</v>
      </c>
      <c r="C472">
        <f t="shared" si="373"/>
        <v>1.8090936992074609</v>
      </c>
      <c r="D472">
        <f t="shared" si="374"/>
        <v>0.98512018148028291</v>
      </c>
      <c r="F472">
        <f t="shared" si="375"/>
        <v>2.6810893096714775E-4</v>
      </c>
      <c r="G472">
        <f t="shared" si="376"/>
        <v>5.0276343263845778E-3</v>
      </c>
      <c r="H472">
        <f t="shared" si="377"/>
        <v>-3.1365650156736158</v>
      </c>
      <c r="J472">
        <f t="shared" si="378"/>
        <v>9</v>
      </c>
      <c r="M472">
        <f t="shared" si="379"/>
        <v>3.2718766579615944E-3</v>
      </c>
      <c r="N472">
        <f t="shared" si="380"/>
        <v>-1.5707963250000001</v>
      </c>
      <c r="O472">
        <f t="shared" si="381"/>
        <v>165.9024792154261</v>
      </c>
      <c r="P472">
        <f t="shared" si="382"/>
        <v>1.5647686528250415</v>
      </c>
      <c r="Q472">
        <f t="shared" si="383"/>
        <v>67.745474918307181</v>
      </c>
      <c r="R472">
        <f t="shared" si="384"/>
        <v>1.5560346571786718</v>
      </c>
      <c r="S472">
        <f t="shared" si="385"/>
        <v>0.75470671916376397</v>
      </c>
      <c r="T472">
        <f t="shared" si="386"/>
        <v>-0.71558935428476056</v>
      </c>
      <c r="U472">
        <f t="shared" si="387"/>
        <v>0.59378625582882172</v>
      </c>
      <c r="V472">
        <f t="shared" si="388"/>
        <v>-0.93503998273361377</v>
      </c>
      <c r="X472">
        <f t="shared" si="405"/>
        <v>-22.86093399765992</v>
      </c>
      <c r="Y472">
        <f t="shared" si="389"/>
        <v>-129.03394509706368</v>
      </c>
      <c r="Z472">
        <f t="shared" si="406"/>
        <v>50.966054902936321</v>
      </c>
      <c r="AC472">
        <v>1</v>
      </c>
      <c r="AD472">
        <f t="shared" si="390"/>
        <v>165.899465369316</v>
      </c>
      <c r="AE472">
        <f t="shared" si="391"/>
        <v>-7.5301320409917605E-3</v>
      </c>
      <c r="AF472">
        <f t="shared" si="392"/>
        <v>5.5569998757672E-3</v>
      </c>
      <c r="AG472">
        <f t="shared" si="367"/>
        <v>10440.059768915751</v>
      </c>
      <c r="AH472">
        <f t="shared" si="368"/>
        <v>-14326.980449102472</v>
      </c>
      <c r="AJ472">
        <f t="shared" si="393"/>
        <v>55000</v>
      </c>
      <c r="AK472">
        <f t="shared" si="394"/>
        <v>47811.191682003759</v>
      </c>
      <c r="AL472">
        <v>1</v>
      </c>
      <c r="AM472">
        <f t="shared" si="395"/>
        <v>67.738093949468251</v>
      </c>
      <c r="AN472">
        <f t="shared" si="369"/>
        <v>717.65449993907396</v>
      </c>
      <c r="AO472">
        <f t="shared" si="370"/>
        <v>-801.35625812788385</v>
      </c>
      <c r="AQ472">
        <f t="shared" si="396"/>
        <v>6.8416408910244196E-3</v>
      </c>
      <c r="AR472">
        <f t="shared" si="397"/>
        <v>-4.6511527269451314</v>
      </c>
      <c r="AT472">
        <f t="shared" si="418"/>
        <v>-66565.54704491279</v>
      </c>
      <c r="AU472">
        <f t="shared" si="419"/>
        <v>-48656.33251894814</v>
      </c>
      <c r="AV472">
        <f t="shared" si="407"/>
        <v>-2.5103930285849847</v>
      </c>
      <c r="AW472">
        <f t="shared" si="408"/>
        <v>6692.0527562679017</v>
      </c>
      <c r="AX472">
        <f t="shared" si="409"/>
        <v>-21947.054519990215</v>
      </c>
      <c r="AY472">
        <f t="shared" si="417"/>
        <v>-1.2748337024205121</v>
      </c>
      <c r="BA472">
        <f t="shared" si="398"/>
        <v>3.5935388285039704</v>
      </c>
      <c r="BB472">
        <f t="shared" si="410"/>
        <v>11.110446836165957</v>
      </c>
      <c r="BC472">
        <f t="shared" si="411"/>
        <v>-1.2355593261644726</v>
      </c>
      <c r="BD472">
        <f t="shared" si="399"/>
        <v>-250.79233480814423</v>
      </c>
      <c r="BF472">
        <f t="shared" si="400"/>
        <v>-36.089256134153381</v>
      </c>
      <c r="BG472">
        <f t="shared" si="401"/>
        <v>-194.06104380350041</v>
      </c>
      <c r="BH472">
        <f t="shared" si="412"/>
        <v>-14.061043803500411</v>
      </c>
      <c r="BI472">
        <f t="shared" si="413"/>
        <v>-14.061043803500411</v>
      </c>
      <c r="BJ472">
        <f t="shared" si="402"/>
        <v>0</v>
      </c>
      <c r="BK472">
        <f t="shared" si="414"/>
        <v>0</v>
      </c>
      <c r="BM472">
        <f t="shared" si="415"/>
        <v>-47.199702970319336</v>
      </c>
      <c r="BN472">
        <f t="shared" si="403"/>
        <v>-123.26870899535619</v>
      </c>
      <c r="BQ472" s="75">
        <f t="shared" si="416"/>
        <v>28.012407636451094</v>
      </c>
    </row>
    <row r="473" spans="1:69">
      <c r="A473">
        <f>A472+5000</f>
        <v>1295000</v>
      </c>
      <c r="B473">
        <f t="shared" si="404"/>
        <v>1295</v>
      </c>
      <c r="C473">
        <f t="shared" si="373"/>
        <v>1.8139660738785492</v>
      </c>
      <c r="D473">
        <f t="shared" si="374"/>
        <v>0.98690080794797819</v>
      </c>
      <c r="F473">
        <f t="shared" si="375"/>
        <v>2.6604206393085591E-4</v>
      </c>
      <c r="G473">
        <f t="shared" si="376"/>
        <v>5.008212572701648E-3</v>
      </c>
      <c r="H473">
        <f t="shared" si="377"/>
        <v>-3.1365844374272984</v>
      </c>
      <c r="J473">
        <f t="shared" si="378"/>
        <v>9</v>
      </c>
      <c r="M473">
        <f t="shared" si="379"/>
        <v>3.259243929552476E-3</v>
      </c>
      <c r="N473">
        <f t="shared" si="380"/>
        <v>-1.5707963250000001</v>
      </c>
      <c r="O473">
        <f t="shared" si="381"/>
        <v>166.54548876276681</v>
      </c>
      <c r="P473">
        <f t="shared" si="382"/>
        <v>1.5647919251370632</v>
      </c>
      <c r="Q473">
        <f t="shared" si="383"/>
        <v>68.007997175187057</v>
      </c>
      <c r="R473">
        <f t="shared" si="384"/>
        <v>1.5560916438105803</v>
      </c>
      <c r="S473">
        <f t="shared" si="385"/>
        <v>0.75344836667960613</v>
      </c>
      <c r="T473">
        <f t="shared" si="386"/>
        <v>-0.71750528213765796</v>
      </c>
      <c r="U473">
        <f t="shared" si="387"/>
        <v>0.59229894461387556</v>
      </c>
      <c r="V473">
        <f t="shared" si="388"/>
        <v>-0.93688718241615498</v>
      </c>
      <c r="X473">
        <f t="shared" si="405"/>
        <v>-22.907476869340201</v>
      </c>
      <c r="Y473">
        <f t="shared" si="389"/>
        <v>-129.14404832701277</v>
      </c>
      <c r="Z473">
        <f t="shared" si="406"/>
        <v>50.855951672987231</v>
      </c>
      <c r="AC473">
        <v>1</v>
      </c>
      <c r="AD473">
        <f t="shared" si="390"/>
        <v>166.54248655291801</v>
      </c>
      <c r="AE473">
        <f t="shared" si="391"/>
        <v>-7.5886182837835506E-3</v>
      </c>
      <c r="AF473">
        <f t="shared" si="392"/>
        <v>5.5785386349756E-3</v>
      </c>
      <c r="AG473">
        <f t="shared" si="367"/>
        <v>10387.824907976637</v>
      </c>
      <c r="AH473">
        <f t="shared" si="368"/>
        <v>-14310.062768932112</v>
      </c>
      <c r="AJ473">
        <f t="shared" si="393"/>
        <v>55000</v>
      </c>
      <c r="AK473">
        <f t="shared" si="394"/>
        <v>47996.506378445629</v>
      </c>
      <c r="AL473">
        <v>1</v>
      </c>
      <c r="AM473">
        <f t="shared" si="395"/>
        <v>68.000644701210391</v>
      </c>
      <c r="AN473">
        <f t="shared" si="369"/>
        <v>717.56334299326022</v>
      </c>
      <c r="AO473">
        <f t="shared" si="370"/>
        <v>-798.26355905182356</v>
      </c>
      <c r="AQ473">
        <f t="shared" si="396"/>
        <v>6.7889117911848875E-3</v>
      </c>
      <c r="AR473">
        <f t="shared" si="397"/>
        <v>-4.6331946855709942</v>
      </c>
      <c r="AT473">
        <f t="shared" si="418"/>
        <v>-66230.784744201083</v>
      </c>
      <c r="AU473">
        <f t="shared" si="419"/>
        <v>-48225.964912143958</v>
      </c>
      <c r="AV473">
        <f t="shared" si="407"/>
        <v>-2.5122226353099588</v>
      </c>
      <c r="AW473">
        <f t="shared" si="408"/>
        <v>6672.0199274523457</v>
      </c>
      <c r="AX473">
        <f t="shared" si="409"/>
        <v>-21897.376977059583</v>
      </c>
      <c r="AY473">
        <f t="shared" si="417"/>
        <v>-1.2750378346091074</v>
      </c>
      <c r="BA473">
        <f t="shared" si="398"/>
        <v>3.5790207308122568</v>
      </c>
      <c r="BB473">
        <f t="shared" si="410"/>
        <v>11.075284279346851</v>
      </c>
      <c r="BC473">
        <f t="shared" si="411"/>
        <v>-1.2371848007008515</v>
      </c>
      <c r="BD473">
        <f t="shared" si="399"/>
        <v>-250.88546763889113</v>
      </c>
      <c r="BF473">
        <f t="shared" si="400"/>
        <v>-36.168276157863644</v>
      </c>
      <c r="BG473">
        <f t="shared" si="401"/>
        <v>-194.05326703716054</v>
      </c>
      <c r="BH473">
        <f t="shared" si="412"/>
        <v>-14.053267037160538</v>
      </c>
      <c r="BI473">
        <f t="shared" si="413"/>
        <v>-14.053267037160538</v>
      </c>
      <c r="BJ473">
        <f t="shared" si="402"/>
        <v>0</v>
      </c>
      <c r="BK473">
        <f t="shared" si="414"/>
        <v>0</v>
      </c>
      <c r="BM473">
        <f t="shared" si="415"/>
        <v>-47.24356043721049</v>
      </c>
      <c r="BN473">
        <f t="shared" si="403"/>
        <v>-123.16779939826942</v>
      </c>
      <c r="BQ473" s="75">
        <f t="shared" si="416"/>
        <v>27.977245079631988</v>
      </c>
    </row>
    <row r="474" spans="1:69">
      <c r="A474">
        <f t="shared" ref="A474:A537" si="420">A473+5000</f>
        <v>1300000</v>
      </c>
      <c r="B474">
        <f t="shared" si="404"/>
        <v>1300</v>
      </c>
      <c r="C474">
        <f t="shared" si="373"/>
        <v>1.8188441691412702</v>
      </c>
      <c r="D474">
        <f t="shared" si="374"/>
        <v>0.9886718888133984</v>
      </c>
      <c r="F474">
        <f t="shared" si="375"/>
        <v>2.6399900747906674E-4</v>
      </c>
      <c r="G474">
        <f t="shared" si="376"/>
        <v>4.9889403323192354E-3</v>
      </c>
      <c r="H474">
        <f t="shared" si="377"/>
        <v>-3.1366037096676811</v>
      </c>
      <c r="J474">
        <f t="shared" si="378"/>
        <v>9</v>
      </c>
      <c r="M474">
        <f t="shared" si="379"/>
        <v>3.2467083759772741E-3</v>
      </c>
      <c r="N474">
        <f t="shared" si="380"/>
        <v>-1.5707963250000001</v>
      </c>
      <c r="O474">
        <f t="shared" si="381"/>
        <v>167.18849839961482</v>
      </c>
      <c r="P474">
        <f t="shared" si="382"/>
        <v>1.5648150184377296</v>
      </c>
      <c r="Q474">
        <f t="shared" si="383"/>
        <v>68.27051965122277</v>
      </c>
      <c r="R474">
        <f t="shared" si="384"/>
        <v>1.5561481921781963</v>
      </c>
      <c r="S474">
        <f t="shared" si="385"/>
        <v>0.75219145606252014</v>
      </c>
      <c r="T474">
        <f t="shared" si="386"/>
        <v>-0.71941482463797046</v>
      </c>
      <c r="U474">
        <f t="shared" si="387"/>
        <v>0.59081706472915052</v>
      </c>
      <c r="V474">
        <f t="shared" si="388"/>
        <v>-0.93872514528158502</v>
      </c>
      <c r="X474">
        <f t="shared" si="405"/>
        <v>-22.953907807629008</v>
      </c>
      <c r="Y474">
        <f t="shared" si="389"/>
        <v>-129.25383019610265</v>
      </c>
      <c r="Z474">
        <f t="shared" si="406"/>
        <v>50.746169803897345</v>
      </c>
      <c r="AC474">
        <v>1</v>
      </c>
      <c r="AD474">
        <f t="shared" si="390"/>
        <v>167.18550773652004</v>
      </c>
      <c r="AE474">
        <f t="shared" si="391"/>
        <v>-7.6473307789652516E-3</v>
      </c>
      <c r="AF474">
        <f t="shared" si="392"/>
        <v>5.6000773941839999E-3</v>
      </c>
      <c r="AG474">
        <f t="shared" si="367"/>
        <v>10335.911081979821</v>
      </c>
      <c r="AH474">
        <f t="shared" si="368"/>
        <v>-14293.040133516841</v>
      </c>
      <c r="AJ474">
        <f t="shared" si="393"/>
        <v>55000</v>
      </c>
      <c r="AK474">
        <f t="shared" si="394"/>
        <v>48181.821074887506</v>
      </c>
      <c r="AL474">
        <v>1</v>
      </c>
      <c r="AM474">
        <f t="shared" si="395"/>
        <v>68.263195452952502</v>
      </c>
      <c r="AN474">
        <f t="shared" si="369"/>
        <v>717.47323553344881</v>
      </c>
      <c r="AO474">
        <f t="shared" si="370"/>
        <v>-795.19463459454471</v>
      </c>
      <c r="AQ474">
        <f t="shared" si="396"/>
        <v>6.7367899315286901E-3</v>
      </c>
      <c r="AR474">
        <f t="shared" si="397"/>
        <v>-4.6153747820903064</v>
      </c>
      <c r="AT474">
        <f t="shared" si="418"/>
        <v>-65898.106129928026</v>
      </c>
      <c r="AU474">
        <f t="shared" si="419"/>
        <v>-47800.392566559814</v>
      </c>
      <c r="AV474">
        <f t="shared" si="407"/>
        <v>-2.5140431405419292</v>
      </c>
      <c r="AW474">
        <f t="shared" si="408"/>
        <v>6651.9584312497263</v>
      </c>
      <c r="AX474">
        <f t="shared" si="409"/>
        <v>-21847.869370133587</v>
      </c>
      <c r="AY474">
        <f t="shared" si="417"/>
        <v>-1.2752462888100455</v>
      </c>
      <c r="BA474">
        <f t="shared" si="398"/>
        <v>3.5646198724538456</v>
      </c>
      <c r="BB474">
        <f t="shared" si="410"/>
        <v>11.040264478440578</v>
      </c>
      <c r="BC474">
        <f t="shared" si="411"/>
        <v>-1.2387968517318837</v>
      </c>
      <c r="BD474">
        <f t="shared" si="399"/>
        <v>-250.97783135943456</v>
      </c>
      <c r="BF474">
        <f t="shared" si="400"/>
        <v>-36.246929607525381</v>
      </c>
      <c r="BG474">
        <f t="shared" si="401"/>
        <v>-194.04525951685997</v>
      </c>
      <c r="BH474">
        <f t="shared" si="412"/>
        <v>-14.045259516859971</v>
      </c>
      <c r="BI474">
        <f t="shared" si="413"/>
        <v>-14.045259516859971</v>
      </c>
      <c r="BJ474">
        <f t="shared" si="402"/>
        <v>0</v>
      </c>
      <c r="BK474">
        <f t="shared" si="414"/>
        <v>0</v>
      </c>
      <c r="BM474">
        <f t="shared" si="415"/>
        <v>-47.287194085965957</v>
      </c>
      <c r="BN474">
        <f t="shared" si="403"/>
        <v>-123.06742815742544</v>
      </c>
      <c r="BQ474" s="75">
        <f t="shared" si="416"/>
        <v>27.942225278725715</v>
      </c>
    </row>
    <row r="475" spans="1:69">
      <c r="A475">
        <f t="shared" si="420"/>
        <v>1305000</v>
      </c>
      <c r="B475">
        <f t="shared" si="404"/>
        <v>1305</v>
      </c>
      <c r="C475">
        <f t="shared" si="373"/>
        <v>1.8237279390914243</v>
      </c>
      <c r="D475">
        <f t="shared" si="374"/>
        <v>0.99043348960766842</v>
      </c>
      <c r="F475">
        <f t="shared" si="375"/>
        <v>2.619793972462427E-4</v>
      </c>
      <c r="G475">
        <f t="shared" si="376"/>
        <v>4.969815884937623E-3</v>
      </c>
      <c r="H475">
        <f t="shared" si="377"/>
        <v>-3.1366228341150624</v>
      </c>
      <c r="J475">
        <f t="shared" si="378"/>
        <v>9</v>
      </c>
      <c r="M475">
        <f t="shared" si="379"/>
        <v>3.2342688802838751E-3</v>
      </c>
      <c r="N475">
        <f t="shared" si="380"/>
        <v>-1.5707963250000001</v>
      </c>
      <c r="O475">
        <f t="shared" si="381"/>
        <v>167.83150812494131</v>
      </c>
      <c r="P475">
        <f t="shared" si="382"/>
        <v>1.564837934784544</v>
      </c>
      <c r="Q475">
        <f t="shared" si="383"/>
        <v>68.533042343895843</v>
      </c>
      <c r="R475">
        <f t="shared" si="384"/>
        <v>1.5562043073176028</v>
      </c>
      <c r="S475">
        <f t="shared" si="385"/>
        <v>0.75093600753864664</v>
      </c>
      <c r="T475">
        <f t="shared" si="386"/>
        <v>-0.72131799979770617</v>
      </c>
      <c r="U475">
        <f t="shared" si="387"/>
        <v>0.58934060543395128</v>
      </c>
      <c r="V475">
        <f t="shared" si="388"/>
        <v>-0.94055392811439431</v>
      </c>
      <c r="X475">
        <f t="shared" si="405"/>
        <v>-23.000227509346267</v>
      </c>
      <c r="Y475">
        <f t="shared" si="389"/>
        <v>-129.36329092733345</v>
      </c>
      <c r="Z475">
        <f t="shared" si="406"/>
        <v>50.636709072666548</v>
      </c>
      <c r="AC475">
        <v>1</v>
      </c>
      <c r="AD475">
        <f t="shared" si="390"/>
        <v>167.82852892012201</v>
      </c>
      <c r="AE475">
        <f t="shared" si="391"/>
        <v>-7.7062695265368627E-3</v>
      </c>
      <c r="AF475">
        <f t="shared" si="392"/>
        <v>5.6216161533924006E-3</v>
      </c>
      <c r="AG475">
        <f t="shared" si="367"/>
        <v>10284.316486138569</v>
      </c>
      <c r="AH475">
        <f t="shared" si="368"/>
        <v>-14275.915065805535</v>
      </c>
      <c r="AJ475">
        <f t="shared" si="393"/>
        <v>55000</v>
      </c>
      <c r="AK475">
        <f t="shared" si="394"/>
        <v>48367.135771329384</v>
      </c>
      <c r="AL475">
        <v>1</v>
      </c>
      <c r="AM475">
        <f t="shared" si="395"/>
        <v>68.525746204694627</v>
      </c>
      <c r="AN475">
        <f t="shared" si="369"/>
        <v>717.38416151213357</v>
      </c>
      <c r="AO475">
        <f t="shared" si="370"/>
        <v>-792.14921171874846</v>
      </c>
      <c r="AQ475">
        <f t="shared" si="396"/>
        <v>6.6852660235769482E-3</v>
      </c>
      <c r="AR475">
        <f t="shared" si="397"/>
        <v>-4.5976914287246924</v>
      </c>
      <c r="AT475">
        <f t="shared" si="418"/>
        <v>-65567.498943675309</v>
      </c>
      <c r="AU475">
        <f t="shared" si="419"/>
        <v>-47379.552048556237</v>
      </c>
      <c r="AV475">
        <f t="shared" si="407"/>
        <v>-2.5158545995100328</v>
      </c>
      <c r="AW475">
        <f t="shared" si="408"/>
        <v>6631.871577079758</v>
      </c>
      <c r="AX475">
        <f t="shared" si="409"/>
        <v>-21798.530883637395</v>
      </c>
      <c r="AY475">
        <f t="shared" si="417"/>
        <v>-1.2754589416741526</v>
      </c>
      <c r="BA475">
        <f t="shared" si="398"/>
        <v>3.5503348556631691</v>
      </c>
      <c r="BB475">
        <f t="shared" si="410"/>
        <v>11.005386323684913</v>
      </c>
      <c r="BC475">
        <f t="shared" si="411"/>
        <v>-1.2403956578358801</v>
      </c>
      <c r="BD475">
        <f t="shared" si="399"/>
        <v>-251.06943620155795</v>
      </c>
      <c r="BF475">
        <f t="shared" si="400"/>
        <v>-36.32521968671724</v>
      </c>
      <c r="BG475">
        <f t="shared" si="401"/>
        <v>-194.03702781829122</v>
      </c>
      <c r="BH475">
        <f t="shared" si="412"/>
        <v>-14.037027818291222</v>
      </c>
      <c r="BI475">
        <f t="shared" si="413"/>
        <v>-14.037027818291222</v>
      </c>
      <c r="BJ475">
        <f t="shared" si="402"/>
        <v>0</v>
      </c>
      <c r="BK475">
        <f t="shared" si="414"/>
        <v>0</v>
      </c>
      <c r="BM475">
        <f t="shared" si="415"/>
        <v>-47.33060601040215</v>
      </c>
      <c r="BN475">
        <f t="shared" si="403"/>
        <v>-122.96759161673326</v>
      </c>
      <c r="BQ475" s="75">
        <f t="shared" si="416"/>
        <v>27.907347123970048</v>
      </c>
    </row>
    <row r="476" spans="1:69">
      <c r="A476">
        <f t="shared" si="420"/>
        <v>1310000</v>
      </c>
      <c r="B476">
        <f t="shared" si="404"/>
        <v>1310</v>
      </c>
      <c r="C476">
        <f t="shared" si="373"/>
        <v>1.8286173382620885</v>
      </c>
      <c r="D476">
        <f t="shared" si="374"/>
        <v>0.99218567539761138</v>
      </c>
      <c r="F476">
        <f t="shared" si="375"/>
        <v>2.5998287581055436E-4</v>
      </c>
      <c r="G476">
        <f t="shared" si="376"/>
        <v>4.9508375365545565E-3</v>
      </c>
      <c r="H476">
        <f t="shared" si="377"/>
        <v>-3.1366418124634459</v>
      </c>
      <c r="J476">
        <f t="shared" si="378"/>
        <v>9</v>
      </c>
      <c r="M476">
        <f t="shared" si="379"/>
        <v>3.2219243425728678E-3</v>
      </c>
      <c r="N476">
        <f t="shared" si="380"/>
        <v>-1.5707963250000001</v>
      </c>
      <c r="O476">
        <f t="shared" si="381"/>
        <v>168.47451793773325</v>
      </c>
      <c r="P476">
        <f t="shared" si="382"/>
        <v>1.5648606762036004</v>
      </c>
      <c r="Q476">
        <f t="shared" si="383"/>
        <v>68.795565250726199</v>
      </c>
      <c r="R476">
        <f t="shared" si="384"/>
        <v>1.5562599941880222</v>
      </c>
      <c r="S476">
        <f t="shared" si="385"/>
        <v>0.74968204101502789</v>
      </c>
      <c r="T476">
        <f t="shared" si="386"/>
        <v>-0.72321482569345763</v>
      </c>
      <c r="U476">
        <f t="shared" si="387"/>
        <v>0.58786955570850374</v>
      </c>
      <c r="V476">
        <f t="shared" si="388"/>
        <v>-0.94237358737887289</v>
      </c>
      <c r="X476">
        <f t="shared" si="405"/>
        <v>-23.046436662032576</v>
      </c>
      <c r="Y476">
        <f t="shared" si="389"/>
        <v>-129.47243076035898</v>
      </c>
      <c r="Z476">
        <f t="shared" si="406"/>
        <v>50.527569239641025</v>
      </c>
      <c r="AC476">
        <v>1</v>
      </c>
      <c r="AD476">
        <f t="shared" si="390"/>
        <v>168.47155010372404</v>
      </c>
      <c r="AE476">
        <f t="shared" si="391"/>
        <v>-7.765434526498383E-3</v>
      </c>
      <c r="AF476">
        <f t="shared" si="392"/>
        <v>5.6431549126008005E-3</v>
      </c>
      <c r="AG476">
        <f t="shared" si="367"/>
        <v>10233.039314933938</v>
      </c>
      <c r="AH476">
        <f t="shared" si="368"/>
        <v>-14258.690050760872</v>
      </c>
      <c r="AJ476">
        <f t="shared" si="393"/>
        <v>55000</v>
      </c>
      <c r="AK476">
        <f t="shared" si="394"/>
        <v>48552.450467771254</v>
      </c>
      <c r="AL476">
        <v>1</v>
      </c>
      <c r="AM476">
        <f t="shared" si="395"/>
        <v>68.788296956436753</v>
      </c>
      <c r="AN476">
        <f t="shared" si="369"/>
        <v>717.2961051873433</v>
      </c>
      <c r="AO476">
        <f t="shared" si="370"/>
        <v>-789.1270215512036</v>
      </c>
      <c r="AQ476">
        <f t="shared" si="396"/>
        <v>6.6343309557721462E-3</v>
      </c>
      <c r="AR476">
        <f t="shared" si="397"/>
        <v>-4.5801430619364165</v>
      </c>
      <c r="AT476">
        <f t="shared" si="418"/>
        <v>-65238.950938795519</v>
      </c>
      <c r="AU476">
        <f t="shared" si="419"/>
        <v>-46963.380889609776</v>
      </c>
      <c r="AV476">
        <f t="shared" si="407"/>
        <v>-2.5176570671469509</v>
      </c>
      <c r="AW476">
        <f t="shared" si="408"/>
        <v>6611.7625788954811</v>
      </c>
      <c r="AX476">
        <f t="shared" si="409"/>
        <v>-21749.360716459167</v>
      </c>
      <c r="AY476">
        <f t="shared" si="417"/>
        <v>-1.275675672722284</v>
      </c>
      <c r="BA476">
        <f t="shared" si="398"/>
        <v>3.5361643041043407</v>
      </c>
      <c r="BB476">
        <f t="shared" si="410"/>
        <v>10.970648716798621</v>
      </c>
      <c r="BC476">
        <f t="shared" si="411"/>
        <v>-1.2419813944246669</v>
      </c>
      <c r="BD476">
        <f t="shared" si="399"/>
        <v>-251.16029221561874</v>
      </c>
      <c r="BF476">
        <f t="shared" si="400"/>
        <v>-36.403149560853812</v>
      </c>
      <c r="BG476">
        <f t="shared" si="401"/>
        <v>-194.02857836081651</v>
      </c>
      <c r="BH476">
        <f t="shared" si="412"/>
        <v>-14.02857836081651</v>
      </c>
      <c r="BI476">
        <f t="shared" si="413"/>
        <v>-14.02857836081651</v>
      </c>
      <c r="BJ476">
        <f t="shared" si="402"/>
        <v>0</v>
      </c>
      <c r="BK476">
        <f t="shared" si="414"/>
        <v>0</v>
      </c>
      <c r="BM476">
        <f t="shared" si="415"/>
        <v>-47.373798277652426</v>
      </c>
      <c r="BN476">
        <f t="shared" si="403"/>
        <v>-122.8682861451978</v>
      </c>
      <c r="BQ476" s="75">
        <f t="shared" si="416"/>
        <v>27.87260951708376</v>
      </c>
    </row>
    <row r="477" spans="1:69">
      <c r="A477">
        <f t="shared" si="420"/>
        <v>1315000</v>
      </c>
      <c r="B477">
        <f t="shared" si="404"/>
        <v>1315</v>
      </c>
      <c r="C477">
        <f t="shared" si="373"/>
        <v>1.8335123216191958</v>
      </c>
      <c r="D477">
        <f t="shared" si="374"/>
        <v>0.99392851078765188</v>
      </c>
      <c r="F477">
        <f t="shared" si="375"/>
        <v>2.5800909253567933E-4</v>
      </c>
      <c r="G477">
        <f t="shared" si="376"/>
        <v>4.9320036189645219E-3</v>
      </c>
      <c r="H477">
        <f t="shared" si="377"/>
        <v>-3.1366606463810358</v>
      </c>
      <c r="J477">
        <f t="shared" si="378"/>
        <v>9</v>
      </c>
      <c r="M477">
        <f t="shared" si="379"/>
        <v>3.2096736796733511E-3</v>
      </c>
      <c r="N477">
        <f t="shared" si="380"/>
        <v>-1.5707963250000001</v>
      </c>
      <c r="O477">
        <f t="shared" si="381"/>
        <v>169.11752783699293</v>
      </c>
      <c r="P477">
        <f t="shared" si="382"/>
        <v>1.5648832446901784</v>
      </c>
      <c r="Q477">
        <f t="shared" si="383"/>
        <v>69.058088369271502</v>
      </c>
      <c r="R477">
        <f t="shared" si="384"/>
        <v>1.5563152576732786</v>
      </c>
      <c r="S477">
        <f t="shared" si="385"/>
        <v>0.74842957608234262</v>
      </c>
      <c r="T477">
        <f t="shared" si="386"/>
        <v>-0.72510532046416265</v>
      </c>
      <c r="U477">
        <f t="shared" si="387"/>
        <v>0.58640390426184386</v>
      </c>
      <c r="V477">
        <f t="shared" si="388"/>
        <v>-0.94418417921901399</v>
      </c>
      <c r="X477">
        <f t="shared" si="405"/>
        <v>-23.092535944124613</v>
      </c>
      <c r="Y477">
        <f t="shared" si="389"/>
        <v>-129.58124995115409</v>
      </c>
      <c r="Z477">
        <f t="shared" si="406"/>
        <v>50.418750048845908</v>
      </c>
      <c r="AC477">
        <v>1</v>
      </c>
      <c r="AD477">
        <f t="shared" si="390"/>
        <v>169.11457128732602</v>
      </c>
      <c r="AE477">
        <f t="shared" si="391"/>
        <v>-7.824825778849815E-3</v>
      </c>
      <c r="AF477">
        <f t="shared" si="392"/>
        <v>5.6646936718092004E-3</v>
      </c>
      <c r="AG477">
        <f t="shared" si="367"/>
        <v>10182.077762475396</v>
      </c>
      <c r="AH477">
        <f t="shared" si="368"/>
        <v>-14241.367535820418</v>
      </c>
      <c r="AJ477">
        <f t="shared" si="393"/>
        <v>55000</v>
      </c>
      <c r="AK477">
        <f t="shared" si="394"/>
        <v>48737.765164213131</v>
      </c>
      <c r="AL477">
        <v>1</v>
      </c>
      <c r="AM477">
        <f t="shared" si="395"/>
        <v>69.050847708178878</v>
      </c>
      <c r="AN477">
        <f t="shared" si="369"/>
        <v>717.20905111568743</v>
      </c>
      <c r="AO477">
        <f t="shared" si="370"/>
        <v>-786.1277993036814</v>
      </c>
      <c r="AQ477">
        <f t="shared" si="396"/>
        <v>6.5839757894496191E-3</v>
      </c>
      <c r="AR477">
        <f t="shared" si="397"/>
        <v>-4.5627281419675336</v>
      </c>
      <c r="AT477">
        <f t="shared" si="418"/>
        <v>-64912.449882316214</v>
      </c>
      <c r="AU477">
        <f t="shared" si="419"/>
        <v>-46551.817569612802</v>
      </c>
      <c r="AV477">
        <f t="shared" si="407"/>
        <v>-2.5194505980883597</v>
      </c>
      <c r="AW477">
        <f t="shared" si="408"/>
        <v>6591.6345576740114</v>
      </c>
      <c r="AX477">
        <f t="shared" si="409"/>
        <v>-21700.358081399143</v>
      </c>
      <c r="AY477">
        <f t="shared" si="417"/>
        <v>-1.2758963642753238</v>
      </c>
      <c r="BA477">
        <f t="shared" si="398"/>
        <v>3.5221068624862975</v>
      </c>
      <c r="BB477">
        <f t="shared" si="410"/>
        <v>10.936050570865174</v>
      </c>
      <c r="BC477">
        <f t="shared" si="411"/>
        <v>-1.2435542338130359</v>
      </c>
      <c r="BD477">
        <f t="shared" si="399"/>
        <v>-251.25040927452719</v>
      </c>
      <c r="BF477">
        <f t="shared" si="400"/>
        <v>-36.480722357719685</v>
      </c>
      <c r="BG477">
        <f t="shared" si="401"/>
        <v>-194.01991741136635</v>
      </c>
      <c r="BH477">
        <f t="shared" si="412"/>
        <v>-14.01991741136635</v>
      </c>
      <c r="BI477">
        <f t="shared" si="413"/>
        <v>-14.01991741136635</v>
      </c>
      <c r="BJ477">
        <f t="shared" si="402"/>
        <v>0</v>
      </c>
      <c r="BK477">
        <f t="shared" si="414"/>
        <v>0</v>
      </c>
      <c r="BM477">
        <f t="shared" si="415"/>
        <v>-47.416772928584848</v>
      </c>
      <c r="BN477">
        <f t="shared" si="403"/>
        <v>-122.76950813683916</v>
      </c>
      <c r="BQ477" s="75">
        <f t="shared" si="416"/>
        <v>27.838011371150312</v>
      </c>
    </row>
    <row r="478" spans="1:69">
      <c r="A478">
        <f t="shared" si="420"/>
        <v>1320000</v>
      </c>
      <c r="B478">
        <f t="shared" si="404"/>
        <v>1320</v>
      </c>
      <c r="C478">
        <f t="shared" si="373"/>
        <v>1.8384128445571513</v>
      </c>
      <c r="D478">
        <f t="shared" si="374"/>
        <v>0.99566205992176104</v>
      </c>
      <c r="F478">
        <f t="shared" si="375"/>
        <v>2.5605770341679065E-4</v>
      </c>
      <c r="G478">
        <f t="shared" si="376"/>
        <v>4.9133124892694431E-3</v>
      </c>
      <c r="H478">
        <f t="shared" si="377"/>
        <v>-3.1366793375107309</v>
      </c>
      <c r="J478">
        <f t="shared" si="378"/>
        <v>9</v>
      </c>
      <c r="M478">
        <f t="shared" si="379"/>
        <v>3.1975158248261034E-3</v>
      </c>
      <c r="N478">
        <f t="shared" si="380"/>
        <v>-1.5707963250000001</v>
      </c>
      <c r="O478">
        <f t="shared" si="381"/>
        <v>169.76053782173784</v>
      </c>
      <c r="P478">
        <f t="shared" si="382"/>
        <v>1.5649056422093288</v>
      </c>
      <c r="Q478">
        <f t="shared" si="383"/>
        <v>69.320611697126409</v>
      </c>
      <c r="R478">
        <f t="shared" si="384"/>
        <v>1.5563701025832242</v>
      </c>
      <c r="S478">
        <f t="shared" si="385"/>
        <v>0.74717863201764045</v>
      </c>
      <c r="T478">
        <f t="shared" si="386"/>
        <v>-0.72698950230889436</v>
      </c>
      <c r="U478">
        <f t="shared" si="387"/>
        <v>0.58494363953955697</v>
      </c>
      <c r="V478">
        <f t="shared" si="388"/>
        <v>-0.94598575945847785</v>
      </c>
      <c r="X478">
        <f t="shared" si="405"/>
        <v>-23.138526025126815</v>
      </c>
      <c r="Y478">
        <f t="shared" si="389"/>
        <v>-129.68974877168816</v>
      </c>
      <c r="Z478">
        <f t="shared" si="406"/>
        <v>50.310251228311841</v>
      </c>
      <c r="AC478">
        <v>1</v>
      </c>
      <c r="AD478">
        <f t="shared" si="390"/>
        <v>169.75759247092802</v>
      </c>
      <c r="AE478">
        <f t="shared" si="391"/>
        <v>-7.8844432835911572E-3</v>
      </c>
      <c r="AF478">
        <f t="shared" si="392"/>
        <v>5.6862324310176003E-3</v>
      </c>
      <c r="AG478">
        <f t="shared" si="367"/>
        <v>10131.430022850907</v>
      </c>
      <c r="AH478">
        <f t="shared" si="368"/>
        <v>-14223.949931354869</v>
      </c>
      <c r="AJ478">
        <f t="shared" si="393"/>
        <v>55000</v>
      </c>
      <c r="AK478">
        <f t="shared" si="394"/>
        <v>48923.079860655009</v>
      </c>
      <c r="AL478">
        <v>1</v>
      </c>
      <c r="AM478">
        <f t="shared" si="395"/>
        <v>69.313398459921004</v>
      </c>
      <c r="AN478">
        <f t="shared" si="369"/>
        <v>717.12298414558711</v>
      </c>
      <c r="AO478">
        <f t="shared" si="370"/>
        <v>-783.15128419568589</v>
      </c>
      <c r="AQ478">
        <f t="shared" si="396"/>
        <v>6.5341917549156447E-3</v>
      </c>
      <c r="AR478">
        <f t="shared" si="397"/>
        <v>-4.5454451523895196</v>
      </c>
      <c r="AT478">
        <f t="shared" si="418"/>
        <v>-64587.983556787418</v>
      </c>
      <c r="AU478">
        <f t="shared" si="419"/>
        <v>-46144.801500505091</v>
      </c>
      <c r="AV478">
        <f t="shared" si="407"/>
        <v>-2.5212352466724557</v>
      </c>
      <c r="AW478">
        <f t="shared" si="408"/>
        <v>6571.4905438405194</v>
      </c>
      <c r="AX478">
        <f t="shared" si="409"/>
        <v>-21651.522204639205</v>
      </c>
      <c r="AY478">
        <f t="shared" si="417"/>
        <v>-1.2761209013860502</v>
      </c>
      <c r="BA478">
        <f t="shared" si="398"/>
        <v>3.5081611961853176</v>
      </c>
      <c r="BB478">
        <f t="shared" si="410"/>
        <v>10.901590810216426</v>
      </c>
      <c r="BC478">
        <f t="shared" si="411"/>
        <v>-1.2451143452864055</v>
      </c>
      <c r="BD478">
        <f t="shared" si="399"/>
        <v>-251.33979707762336</v>
      </c>
      <c r="BF478">
        <f t="shared" si="400"/>
        <v>-36.557941167995885</v>
      </c>
      <c r="BG478">
        <f t="shared" si="401"/>
        <v>-194.01105108823305</v>
      </c>
      <c r="BH478">
        <f t="shared" si="412"/>
        <v>-14.011051088233046</v>
      </c>
      <c r="BI478">
        <f t="shared" si="413"/>
        <v>-14.011051088233046</v>
      </c>
      <c r="BJ478">
        <f t="shared" si="402"/>
        <v>0</v>
      </c>
      <c r="BK478">
        <f t="shared" si="414"/>
        <v>0</v>
      </c>
      <c r="BM478">
        <f t="shared" si="415"/>
        <v>-47.459531978212311</v>
      </c>
      <c r="BN478">
        <f t="shared" si="403"/>
        <v>-122.67125401060973</v>
      </c>
      <c r="BQ478" s="75">
        <f t="shared" si="416"/>
        <v>27.803551610501565</v>
      </c>
    </row>
    <row r="479" spans="1:69">
      <c r="A479">
        <f t="shared" si="420"/>
        <v>1325000</v>
      </c>
      <c r="B479">
        <f t="shared" si="404"/>
        <v>1325</v>
      </c>
      <c r="C479">
        <f t="shared" si="373"/>
        <v>1.8433188628944901</v>
      </c>
      <c r="D479">
        <f t="shared" si="374"/>
        <v>0.99738638648544453</v>
      </c>
      <c r="F479">
        <f t="shared" si="375"/>
        <v>2.5412837093060828E-4</v>
      </c>
      <c r="G479">
        <f t="shared" si="376"/>
        <v>4.8947625294004727E-3</v>
      </c>
      <c r="H479">
        <f t="shared" si="377"/>
        <v>-3.1366978874705995</v>
      </c>
      <c r="J479">
        <f t="shared" si="378"/>
        <v>9</v>
      </c>
      <c r="M479">
        <f t="shared" si="379"/>
        <v>3.1854497273739297E-3</v>
      </c>
      <c r="N479">
        <f t="shared" si="380"/>
        <v>-1.5707963250000001</v>
      </c>
      <c r="O479">
        <f t="shared" si="381"/>
        <v>170.40354789100024</v>
      </c>
      <c r="P479">
        <f t="shared" si="382"/>
        <v>1.564927870696442</v>
      </c>
      <c r="Q479">
        <f t="shared" si="383"/>
        <v>69.583135231921872</v>
      </c>
      <c r="R479">
        <f t="shared" si="384"/>
        <v>1.556424533655135</v>
      </c>
      <c r="S479">
        <f t="shared" si="385"/>
        <v>0.74592922778707615</v>
      </c>
      <c r="T479">
        <f t="shared" si="386"/>
        <v>-0.72886738948468044</v>
      </c>
      <c r="U479">
        <f t="shared" si="387"/>
        <v>0.58348874973136833</v>
      </c>
      <c r="V479">
        <f t="shared" si="388"/>
        <v>-0.9477783836006195</v>
      </c>
      <c r="X479">
        <f t="shared" si="405"/>
        <v>-23.184407565779296</v>
      </c>
      <c r="Y479">
        <f t="shared" si="389"/>
        <v>-129.79792750960183</v>
      </c>
      <c r="Z479">
        <f t="shared" si="406"/>
        <v>50.202072490398166</v>
      </c>
      <c r="AC479">
        <v>1</v>
      </c>
      <c r="AD479">
        <f t="shared" si="390"/>
        <v>170.40061365453002</v>
      </c>
      <c r="AE479">
        <f t="shared" si="391"/>
        <v>-7.9442870407224093E-3</v>
      </c>
      <c r="AF479">
        <f t="shared" si="392"/>
        <v>5.7077711902260003E-3</v>
      </c>
      <c r="AG479">
        <f t="shared" si="367"/>
        <v>10081.094290466683</v>
      </c>
      <c r="AH479">
        <f t="shared" si="368"/>
        <v>-14206.439611123318</v>
      </c>
      <c r="AJ479">
        <f t="shared" si="393"/>
        <v>55000</v>
      </c>
      <c r="AK479">
        <f t="shared" si="394"/>
        <v>49108.394557096886</v>
      </c>
      <c r="AL479">
        <v>1</v>
      </c>
      <c r="AM479">
        <f t="shared" si="395"/>
        <v>69.575949211663129</v>
      </c>
      <c r="AN479">
        <f t="shared" si="369"/>
        <v>717.03788941068319</v>
      </c>
      <c r="AO479">
        <f t="shared" si="370"/>
        <v>-780.19721937893121</v>
      </c>
      <c r="AQ479">
        <f t="shared" si="396"/>
        <v>6.4849702476289456E-3</v>
      </c>
      <c r="AR479">
        <f t="shared" si="397"/>
        <v>-4.5282925996631018</v>
      </c>
      <c r="AT479">
        <f t="shared" si="418"/>
        <v>-64265.539762073255</v>
      </c>
      <c r="AU479">
        <f t="shared" si="419"/>
        <v>-45742.273010229095</v>
      </c>
      <c r="AV479">
        <f t="shared" si="407"/>
        <v>-2.5230110669395494</v>
      </c>
      <c r="AW479">
        <f t="shared" si="408"/>
        <v>6551.3334796272793</v>
      </c>
      <c r="AX479">
        <f t="shared" si="409"/>
        <v>-21602.852325232216</v>
      </c>
      <c r="AY479">
        <f t="shared" si="417"/>
        <v>-1.2763491717728155</v>
      </c>
      <c r="BA479">
        <f t="shared" si="398"/>
        <v>3.4943259908747599</v>
      </c>
      <c r="BB479">
        <f t="shared" si="410"/>
        <v>10.867268370316228</v>
      </c>
      <c r="BC479">
        <f t="shared" si="411"/>
        <v>-1.2466618951667339</v>
      </c>
      <c r="BD479">
        <f t="shared" si="399"/>
        <v>-251.42846515445345</v>
      </c>
      <c r="BF479">
        <f t="shared" si="400"/>
        <v>-36.63480904577888</v>
      </c>
      <c r="BG479">
        <f t="shared" si="401"/>
        <v>-194.00198536476074</v>
      </c>
      <c r="BH479">
        <f t="shared" si="412"/>
        <v>-14.001985364760742</v>
      </c>
      <c r="BI479">
        <f t="shared" si="413"/>
        <v>-14.001985364760742</v>
      </c>
      <c r="BJ479">
        <f t="shared" si="402"/>
        <v>0</v>
      </c>
      <c r="BK479">
        <f t="shared" si="414"/>
        <v>0</v>
      </c>
      <c r="BM479">
        <f t="shared" si="415"/>
        <v>-47.502077416095112</v>
      </c>
      <c r="BN479">
        <f t="shared" si="403"/>
        <v>-122.57352021030729</v>
      </c>
      <c r="BQ479" s="75">
        <f t="shared" si="416"/>
        <v>27.769229170601367</v>
      </c>
    </row>
    <row r="480" spans="1:69">
      <c r="A480">
        <f t="shared" si="420"/>
        <v>1330000</v>
      </c>
      <c r="B480">
        <f t="shared" si="404"/>
        <v>1330</v>
      </c>
      <c r="C480">
        <f t="shared" si="373"/>
        <v>1.8482303328695726</v>
      </c>
      <c r="D480">
        <f t="shared" si="374"/>
        <v>0.9991015537077681</v>
      </c>
      <c r="F480">
        <f t="shared" si="375"/>
        <v>2.5222076388939162E-4</v>
      </c>
      <c r="G480">
        <f t="shared" si="376"/>
        <v>4.8763521456505867E-3</v>
      </c>
      <c r="H480">
        <f t="shared" si="377"/>
        <v>-3.1367162978543495</v>
      </c>
      <c r="J480">
        <f t="shared" si="378"/>
        <v>9</v>
      </c>
      <c r="M480">
        <f t="shared" si="379"/>
        <v>3.1734743524589903E-3</v>
      </c>
      <c r="N480">
        <f t="shared" si="380"/>
        <v>-1.5707963250000001</v>
      </c>
      <c r="O480">
        <f t="shared" si="381"/>
        <v>171.04655804382693</v>
      </c>
      <c r="P480">
        <f t="shared" si="382"/>
        <v>1.5649499320578075</v>
      </c>
      <c r="Q480">
        <f t="shared" si="383"/>
        <v>69.845658971324454</v>
      </c>
      <c r="R480">
        <f t="shared" si="384"/>
        <v>1.5564785555550746</v>
      </c>
      <c r="S480">
        <f t="shared" si="385"/>
        <v>0.7446813820486432</v>
      </c>
      <c r="T480">
        <f t="shared" si="386"/>
        <v>-0.73073900030435102</v>
      </c>
      <c r="U480">
        <f t="shared" si="387"/>
        <v>0.58203922277858977</v>
      </c>
      <c r="V480">
        <f t="shared" si="388"/>
        <v>-0.94956210682857334</v>
      </c>
      <c r="X480">
        <f t="shared" si="405"/>
        <v>-23.230181218222228</v>
      </c>
      <c r="Y480">
        <f t="shared" si="389"/>
        <v>-129.90578646788987</v>
      </c>
      <c r="Z480">
        <f t="shared" si="406"/>
        <v>50.094213532110132</v>
      </c>
      <c r="AC480">
        <v>1</v>
      </c>
      <c r="AD480">
        <f t="shared" si="390"/>
        <v>171.04363483813202</v>
      </c>
      <c r="AE480">
        <f t="shared" si="391"/>
        <v>-8.0043570502435699E-3</v>
      </c>
      <c r="AF480">
        <f t="shared" si="392"/>
        <v>5.7293099494344002E-3</v>
      </c>
      <c r="AG480">
        <f t="shared" si="367"/>
        <v>10031.068760376807</v>
      </c>
      <c r="AH480">
        <f t="shared" si="368"/>
        <v>-14188.838912725489</v>
      </c>
      <c r="AJ480">
        <f t="shared" si="393"/>
        <v>55000</v>
      </c>
      <c r="AK480">
        <f t="shared" si="394"/>
        <v>49293.709253538756</v>
      </c>
      <c r="AL480">
        <v>1</v>
      </c>
      <c r="AM480">
        <f t="shared" si="395"/>
        <v>69.838499963405255</v>
      </c>
      <c r="AN480">
        <f t="shared" si="369"/>
        <v>716.9537523234178</v>
      </c>
      <c r="AO480">
        <f t="shared" si="370"/>
        <v>-777.26535186351953</v>
      </c>
      <c r="AQ480">
        <f t="shared" si="396"/>
        <v>6.4363028244824819E-3</v>
      </c>
      <c r="AR480">
        <f t="shared" si="397"/>
        <v>-4.5112690127080164</v>
      </c>
      <c r="AT480">
        <f t="shared" si="418"/>
        <v>-63945.106317089208</v>
      </c>
      <c r="AU480">
        <f t="shared" si="419"/>
        <v>-45344.173327001408</v>
      </c>
      <c r="AV480">
        <f t="shared" si="407"/>
        <v>-2.5247781126317292</v>
      </c>
      <c r="AW480">
        <f t="shared" si="408"/>
        <v>6531.1662213697091</v>
      </c>
      <c r="AX480">
        <f t="shared" si="409"/>
        <v>-21554.347694610376</v>
      </c>
      <c r="AY480">
        <f t="shared" si="417"/>
        <v>-1.2765810657549852</v>
      </c>
      <c r="BA480">
        <f t="shared" si="398"/>
        <v>3.4805999521619269</v>
      </c>
      <c r="BB480">
        <f t="shared" si="410"/>
        <v>10.833082197644181</v>
      </c>
      <c r="BC480">
        <f t="shared" si="411"/>
        <v>-1.248197046876744</v>
      </c>
      <c r="BD480">
        <f t="shared" si="399"/>
        <v>-251.51642286844984</v>
      </c>
      <c r="BF480">
        <f t="shared" si="400"/>
        <v>-36.711329009092005</v>
      </c>
      <c r="BG480">
        <f t="shared" si="401"/>
        <v>-193.9927260729358</v>
      </c>
      <c r="BH480">
        <f t="shared" si="412"/>
        <v>-13.992726072935795</v>
      </c>
      <c r="BI480">
        <f t="shared" si="413"/>
        <v>-13.992726072935795</v>
      </c>
      <c r="BJ480">
        <f t="shared" si="402"/>
        <v>0</v>
      </c>
      <c r="BK480">
        <f t="shared" si="414"/>
        <v>0</v>
      </c>
      <c r="BM480">
        <f t="shared" si="415"/>
        <v>-47.544411206736186</v>
      </c>
      <c r="BN480">
        <f t="shared" si="403"/>
        <v>-122.47630320448599</v>
      </c>
      <c r="BQ480" s="75">
        <f t="shared" si="416"/>
        <v>27.73504299792932</v>
      </c>
    </row>
    <row r="481" spans="1:69">
      <c r="A481">
        <f t="shared" si="420"/>
        <v>1335000</v>
      </c>
      <c r="B481">
        <f t="shared" si="404"/>
        <v>1335</v>
      </c>
      <c r="C481">
        <f t="shared" si="373"/>
        <v>1.8531472111363207</v>
      </c>
      <c r="D481">
        <f t="shared" si="374"/>
        <v>1.0008076243634232</v>
      </c>
      <c r="F481">
        <f t="shared" si="375"/>
        <v>2.503345572987556E-4</v>
      </c>
      <c r="G481">
        <f t="shared" si="376"/>
        <v>4.8580797682176938E-3</v>
      </c>
      <c r="H481">
        <f t="shared" si="377"/>
        <v>-3.1367345702317824</v>
      </c>
      <c r="J481">
        <f t="shared" si="378"/>
        <v>9</v>
      </c>
      <c r="M481">
        <f t="shared" si="379"/>
        <v>3.1615886807269339E-3</v>
      </c>
      <c r="N481">
        <f t="shared" si="380"/>
        <v>-1.5707963250000001</v>
      </c>
      <c r="O481">
        <f t="shared" si="381"/>
        <v>171.68956827927903</v>
      </c>
      <c r="P481">
        <f t="shared" si="382"/>
        <v>1.5649718281711571</v>
      </c>
      <c r="Q481">
        <f t="shared" si="383"/>
        <v>70.108182913035662</v>
      </c>
      <c r="R481">
        <f t="shared" si="384"/>
        <v>1.5565321728792267</v>
      </c>
      <c r="S481">
        <f t="shared" si="385"/>
        <v>0.74343511315490607</v>
      </c>
      <c r="T481">
        <f t="shared" si="386"/>
        <v>-0.73260435313441552</v>
      </c>
      <c r="U481">
        <f t="shared" si="387"/>
        <v>0.5805950463814209</v>
      </c>
      <c r="V481">
        <f t="shared" si="388"/>
        <v>-0.95133698400539779</v>
      </c>
      <c r="X481">
        <f t="shared" si="405"/>
        <v>-23.275847626156633</v>
      </c>
      <c r="Y481">
        <f t="shared" si="389"/>
        <v>-130.01332596458738</v>
      </c>
      <c r="Z481">
        <f t="shared" si="406"/>
        <v>49.986674035412619</v>
      </c>
      <c r="AC481">
        <v>1</v>
      </c>
      <c r="AD481">
        <f t="shared" si="390"/>
        <v>171.68665602173402</v>
      </c>
      <c r="AE481">
        <f t="shared" si="391"/>
        <v>-8.0646533121546439E-3</v>
      </c>
      <c r="AF481">
        <f t="shared" si="392"/>
        <v>5.7508487086428009E-3</v>
      </c>
      <c r="AG481">
        <f t="shared" si="367"/>
        <v>9981.3516286029844</v>
      </c>
      <c r="AH481">
        <f t="shared" si="368"/>
        <v>-14171.150138050891</v>
      </c>
      <c r="AJ481">
        <f t="shared" si="393"/>
        <v>55000</v>
      </c>
      <c r="AK481">
        <f t="shared" si="394"/>
        <v>49479.023949980627</v>
      </c>
      <c r="AL481">
        <v>1</v>
      </c>
      <c r="AM481">
        <f t="shared" si="395"/>
        <v>70.10105071514738</v>
      </c>
      <c r="AN481">
        <f t="shared" si="369"/>
        <v>716.87055856878453</v>
      </c>
      <c r="AO481">
        <f t="shared" si="370"/>
        <v>-774.35543244577593</v>
      </c>
      <c r="AQ481">
        <f t="shared" si="396"/>
        <v>6.3881812001825447E-3</v>
      </c>
      <c r="AR481">
        <f t="shared" si="397"/>
        <v>-4.4943729424824284</v>
      </c>
      <c r="AT481">
        <f t="shared" si="418"/>
        <v>-63626.671061485802</v>
      </c>
      <c r="AU481">
        <f t="shared" si="419"/>
        <v>-44950.444563893034</v>
      </c>
      <c r="AV481">
        <f t="shared" si="407"/>
        <v>-2.526536437192596</v>
      </c>
      <c r="AW481">
        <f t="shared" si="408"/>
        <v>6510.9915417411776</v>
      </c>
      <c r="AX481">
        <f t="shared" si="409"/>
        <v>-21506.007576112021</v>
      </c>
      <c r="AY481">
        <f t="shared" si="417"/>
        <v>-1.2768164761900846</v>
      </c>
      <c r="BA481">
        <f t="shared" si="398"/>
        <v>3.4669818052319004</v>
      </c>
      <c r="BB481">
        <f t="shared" si="410"/>
        <v>10.799031249579507</v>
      </c>
      <c r="BC481">
        <f t="shared" si="411"/>
        <v>-1.2497199610025114</v>
      </c>
      <c r="BD481">
        <f t="shared" si="399"/>
        <v>-251.60367942051687</v>
      </c>
      <c r="BF481">
        <f t="shared" si="400"/>
        <v>-36.787504040389607</v>
      </c>
      <c r="BG481">
        <f t="shared" si="401"/>
        <v>-193.98327890688074</v>
      </c>
      <c r="BH481">
        <f t="shared" si="412"/>
        <v>-13.983278906880741</v>
      </c>
      <c r="BI481">
        <f t="shared" si="413"/>
        <v>-13.983278906880741</v>
      </c>
      <c r="BJ481">
        <f t="shared" si="402"/>
        <v>0</v>
      </c>
      <c r="BK481">
        <f t="shared" si="414"/>
        <v>0</v>
      </c>
      <c r="BM481">
        <f t="shared" si="415"/>
        <v>-47.58653528996912</v>
      </c>
      <c r="BN481">
        <f t="shared" si="403"/>
        <v>-122.37959948636392</v>
      </c>
      <c r="BQ481" s="75">
        <f t="shared" si="416"/>
        <v>27.700992049864645</v>
      </c>
    </row>
    <row r="482" spans="1:69">
      <c r="A482">
        <f t="shared" si="420"/>
        <v>1340000</v>
      </c>
      <c r="B482">
        <f t="shared" si="404"/>
        <v>1340</v>
      </c>
      <c r="C482">
        <f t="shared" si="373"/>
        <v>1.858069454759991</v>
      </c>
      <c r="D482">
        <f t="shared" si="374"/>
        <v>1.0025046607748258</v>
      </c>
      <c r="F482">
        <f t="shared" si="375"/>
        <v>2.4846943221919541E-4</v>
      </c>
      <c r="G482">
        <f t="shared" si="376"/>
        <v>4.8399438507580085E-3</v>
      </c>
      <c r="H482">
        <f t="shared" si="377"/>
        <v>-3.1367527061492422</v>
      </c>
      <c r="J482">
        <f t="shared" si="378"/>
        <v>9</v>
      </c>
      <c r="M482">
        <f t="shared" si="379"/>
        <v>3.1497917080376544E-3</v>
      </c>
      <c r="N482">
        <f t="shared" si="380"/>
        <v>-1.5707963250000001</v>
      </c>
      <c r="O482">
        <f t="shared" si="381"/>
        <v>172.33257859643172</v>
      </c>
      <c r="P482">
        <f t="shared" si="382"/>
        <v>1.5649935608861985</v>
      </c>
      <c r="Q482">
        <f t="shared" si="383"/>
        <v>70.37070705479131</v>
      </c>
      <c r="R482">
        <f t="shared" si="384"/>
        <v>1.5565853901551985</v>
      </c>
      <c r="S482">
        <f t="shared" si="385"/>
        <v>0.74219043915572913</v>
      </c>
      <c r="T482">
        <f t="shared" si="386"/>
        <v>-0.734463466392968</v>
      </c>
      <c r="U482">
        <f t="shared" si="387"/>
        <v>0.5791562080061099</v>
      </c>
      <c r="V482">
        <f t="shared" si="388"/>
        <v>-0.95310306967427372</v>
      </c>
      <c r="X482">
        <f t="shared" si="405"/>
        <v>-23.32140742500183</v>
      </c>
      <c r="Y482">
        <f t="shared" si="389"/>
        <v>-130.120546332462</v>
      </c>
      <c r="Z482">
        <f t="shared" si="406"/>
        <v>49.879453667538002</v>
      </c>
      <c r="AC482">
        <v>1</v>
      </c>
      <c r="AD482">
        <f t="shared" si="390"/>
        <v>172.32967720533603</v>
      </c>
      <c r="AE482">
        <f t="shared" si="391"/>
        <v>-8.1251758264556263E-3</v>
      </c>
      <c r="AF482">
        <f t="shared" si="392"/>
        <v>5.7723874678512008E-3</v>
      </c>
      <c r="AG482">
        <f t="shared" si="367"/>
        <v>9931.9410924446183</v>
      </c>
      <c r="AH482">
        <f t="shared" si="368"/>
        <v>-14153.375553724747</v>
      </c>
      <c r="AJ482">
        <f t="shared" si="393"/>
        <v>55000</v>
      </c>
      <c r="AK482">
        <f t="shared" si="394"/>
        <v>49664.338646422511</v>
      </c>
      <c r="AL482">
        <v>1</v>
      </c>
      <c r="AM482">
        <f t="shared" si="395"/>
        <v>70.363601466889506</v>
      </c>
      <c r="AN482">
        <f t="shared" si="369"/>
        <v>716.78829409824095</v>
      </c>
      <c r="AO482">
        <f t="shared" si="370"/>
        <v>-771.46721563769609</v>
      </c>
      <c r="AQ482">
        <f t="shared" si="396"/>
        <v>6.3405972437222463E-3</v>
      </c>
      <c r="AR482">
        <f t="shared" si="397"/>
        <v>-4.4776029615717761</v>
      </c>
      <c r="AT482">
        <f t="shared" si="418"/>
        <v>-63310.221857279939</v>
      </c>
      <c r="AU482">
        <f t="shared" si="419"/>
        <v>-44561.029703711763</v>
      </c>
      <c r="AV482">
        <f t="shared" si="407"/>
        <v>-2.5282860937670564</v>
      </c>
      <c r="AW482">
        <f t="shared" si="408"/>
        <v>6490.8121319283628</v>
      </c>
      <c r="AX482">
        <f t="shared" si="409"/>
        <v>-21457.831244526125</v>
      </c>
      <c r="AY482">
        <f t="shared" si="417"/>
        <v>-1.277055298412606</v>
      </c>
      <c r="BA482">
        <f t="shared" si="398"/>
        <v>3.4534702944982483</v>
      </c>
      <c r="BB482">
        <f t="shared" si="410"/>
        <v>10.765114494285172</v>
      </c>
      <c r="BC482">
        <f t="shared" si="411"/>
        <v>-1.2512307953544504</v>
      </c>
      <c r="BD482">
        <f t="shared" si="399"/>
        <v>-251.69024385252527</v>
      </c>
      <c r="BF482">
        <f t="shared" si="400"/>
        <v>-36.863337087053857</v>
      </c>
      <c r="BG482">
        <f t="shared" si="401"/>
        <v>-193.9736494262539</v>
      </c>
      <c r="BH482">
        <f t="shared" si="412"/>
        <v>-13.9736494262539</v>
      </c>
      <c r="BI482">
        <f t="shared" si="413"/>
        <v>-13.9736494262539</v>
      </c>
      <c r="BJ482">
        <f t="shared" si="402"/>
        <v>0</v>
      </c>
      <c r="BK482">
        <f t="shared" si="414"/>
        <v>0</v>
      </c>
      <c r="BM482">
        <f t="shared" si="415"/>
        <v>-47.628451581339029</v>
      </c>
      <c r="BN482">
        <f t="shared" si="403"/>
        <v>-122.28340557372866</v>
      </c>
      <c r="BQ482" s="75">
        <f t="shared" si="416"/>
        <v>27.66707529457031</v>
      </c>
    </row>
    <row r="483" spans="1:69">
      <c r="A483">
        <f t="shared" si="420"/>
        <v>1345000</v>
      </c>
      <c r="B483">
        <f t="shared" si="404"/>
        <v>1345</v>
      </c>
      <c r="C483">
        <f t="shared" si="373"/>
        <v>1.8629970212129898</v>
      </c>
      <c r="D483">
        <f t="shared" si="374"/>
        <v>1.0041927248142524</v>
      </c>
      <c r="F483">
        <f t="shared" si="375"/>
        <v>2.466250756312107E-4</v>
      </c>
      <c r="G483">
        <f t="shared" si="376"/>
        <v>4.821942869949386E-3</v>
      </c>
      <c r="H483">
        <f t="shared" si="377"/>
        <v>-3.1367707071300508</v>
      </c>
      <c r="J483">
        <f t="shared" si="378"/>
        <v>9</v>
      </c>
      <c r="M483">
        <f t="shared" si="379"/>
        <v>3.1380824451824958E-3</v>
      </c>
      <c r="N483">
        <f t="shared" si="380"/>
        <v>-1.5707963250000001</v>
      </c>
      <c r="O483">
        <f t="shared" si="381"/>
        <v>172.97558899437379</v>
      </c>
      <c r="P483">
        <f t="shared" si="382"/>
        <v>1.565015132025136</v>
      </c>
      <c r="Q483">
        <f t="shared" si="383"/>
        <v>70.633231394360863</v>
      </c>
      <c r="R483">
        <f t="shared" si="384"/>
        <v>1.5566382118432944</v>
      </c>
      <c r="S483">
        <f t="shared" si="385"/>
        <v>0.74094737780100584</v>
      </c>
      <c r="T483">
        <f t="shared" si="386"/>
        <v>-0.73631635854762023</v>
      </c>
      <c r="U483">
        <f t="shared" si="387"/>
        <v>0.57772269489197559</v>
      </c>
      <c r="V483">
        <f t="shared" si="388"/>
        <v>-0.95486041805875799</v>
      </c>
      <c r="X483">
        <f t="shared" si="405"/>
        <v>-23.366861242049378</v>
      </c>
      <c r="Y483">
        <f t="shared" si="389"/>
        <v>-130.22744791870912</v>
      </c>
      <c r="Z483">
        <f t="shared" si="406"/>
        <v>49.772552081290883</v>
      </c>
      <c r="AC483">
        <v>1</v>
      </c>
      <c r="AD483">
        <f t="shared" si="390"/>
        <v>172.972698388938</v>
      </c>
      <c r="AE483">
        <f t="shared" si="391"/>
        <v>-8.1859245931465187E-3</v>
      </c>
      <c r="AF483">
        <f t="shared" si="392"/>
        <v>5.7939262270595999E-3</v>
      </c>
      <c r="AG483">
        <f t="shared" si="367"/>
        <v>9882.8353507794018</v>
      </c>
      <c r="AH483">
        <f t="shared" si="368"/>
        <v>-14135.517391550733</v>
      </c>
      <c r="AJ483">
        <f t="shared" si="393"/>
        <v>55000</v>
      </c>
      <c r="AK483">
        <f t="shared" si="394"/>
        <v>49849.653342864382</v>
      </c>
      <c r="AL483">
        <v>1</v>
      </c>
      <c r="AM483">
        <f t="shared" si="395"/>
        <v>70.626152218631631</v>
      </c>
      <c r="AN483">
        <f t="shared" si="369"/>
        <v>716.70694512377713</v>
      </c>
      <c r="AO483">
        <f t="shared" si="370"/>
        <v>-768.60045959796662</v>
      </c>
      <c r="AQ483">
        <f t="shared" si="396"/>
        <v>6.2935429749466044E-3</v>
      </c>
      <c r="AR483">
        <f t="shared" si="397"/>
        <v>-4.4609576637867772</v>
      </c>
      <c r="AT483">
        <f t="shared" si="418"/>
        <v>-62995.746590435061</v>
      </c>
      <c r="AU483">
        <f t="shared" si="419"/>
        <v>-44175.872584179087</v>
      </c>
      <c r="AV483">
        <f t="shared" si="407"/>
        <v>-2.5300271352011845</v>
      </c>
      <c r="AW483">
        <f t="shared" si="408"/>
        <v>6470.6306037487811</v>
      </c>
      <c r="AX483">
        <f t="shared" si="409"/>
        <v>-21409.817985653954</v>
      </c>
      <c r="AY483">
        <f t="shared" si="417"/>
        <v>-1.2772974301744247</v>
      </c>
      <c r="BA483">
        <f t="shared" si="398"/>
        <v>3.4400641832604788</v>
      </c>
      <c r="BB483">
        <f t="shared" si="410"/>
        <v>10.731330910592348</v>
      </c>
      <c r="BC483">
        <f t="shared" si="411"/>
        <v>-1.2527297050267598</v>
      </c>
      <c r="BD483">
        <f t="shared" si="399"/>
        <v>-251.77612505071806</v>
      </c>
      <c r="BF483">
        <f t="shared" si="400"/>
        <v>-36.938831061884329</v>
      </c>
      <c r="BG483">
        <f t="shared" si="401"/>
        <v>-193.96384305955783</v>
      </c>
      <c r="BH483">
        <f t="shared" si="412"/>
        <v>-13.963843059557831</v>
      </c>
      <c r="BI483">
        <f t="shared" si="413"/>
        <v>-13.963843059557831</v>
      </c>
      <c r="BJ483">
        <f t="shared" si="402"/>
        <v>0</v>
      </c>
      <c r="BK483">
        <f t="shared" si="414"/>
        <v>0</v>
      </c>
      <c r="BM483">
        <f t="shared" si="415"/>
        <v>-47.670161972476677</v>
      </c>
      <c r="BN483">
        <f t="shared" si="403"/>
        <v>-122.18771800883978</v>
      </c>
      <c r="BQ483" s="75">
        <f t="shared" si="416"/>
        <v>27.633291710877486</v>
      </c>
    </row>
    <row r="484" spans="1:69">
      <c r="A484">
        <f t="shared" si="420"/>
        <v>1350000</v>
      </c>
      <c r="B484">
        <f t="shared" si="404"/>
        <v>1350</v>
      </c>
      <c r="C484">
        <f t="shared" si="373"/>
        <v>1.8679298683707246</v>
      </c>
      <c r="D484">
        <f t="shared" si="374"/>
        <v>1.005871877906005</v>
      </c>
      <c r="F484">
        <f t="shared" si="375"/>
        <v>2.4480118030392192E-4</v>
      </c>
      <c r="G484">
        <f t="shared" si="376"/>
        <v>4.8040753250643813E-3</v>
      </c>
      <c r="H484">
        <f t="shared" si="377"/>
        <v>-3.1367885746749358</v>
      </c>
      <c r="J484">
        <f t="shared" si="378"/>
        <v>9</v>
      </c>
      <c r="M484">
        <f t="shared" si="379"/>
        <v>3.1264599176077457E-3</v>
      </c>
      <c r="N484">
        <f t="shared" si="380"/>
        <v>-1.5707963250000001</v>
      </c>
      <c r="O484">
        <f t="shared" si="381"/>
        <v>173.61859947220765</v>
      </c>
      <c r="P484">
        <f t="shared" si="382"/>
        <v>1.5650365433831797</v>
      </c>
      <c r="Q484">
        <f t="shared" si="383"/>
        <v>70.895755929546851</v>
      </c>
      <c r="R484">
        <f t="shared" si="384"/>
        <v>1.5566906423377631</v>
      </c>
      <c r="S484">
        <f t="shared" si="385"/>
        <v>0.73970594654338095</v>
      </c>
      <c r="T484">
        <f t="shared" si="386"/>
        <v>-0.73816304811346412</v>
      </c>
      <c r="U484">
        <f t="shared" si="387"/>
        <v>0.57629449405829114</v>
      </c>
      <c r="V484">
        <f t="shared" si="388"/>
        <v>-0.95660908306308989</v>
      </c>
      <c r="X484">
        <f t="shared" si="405"/>
        <v>-23.412209696613878</v>
      </c>
      <c r="Y484">
        <f t="shared" si="389"/>
        <v>-130.33403108465302</v>
      </c>
      <c r="Z484">
        <f t="shared" si="406"/>
        <v>49.66596891534698</v>
      </c>
      <c r="AC484">
        <v>1</v>
      </c>
      <c r="AD484">
        <f t="shared" si="390"/>
        <v>173.61571957254003</v>
      </c>
      <c r="AE484">
        <f t="shared" si="391"/>
        <v>-8.2468996122273212E-3</v>
      </c>
      <c r="AF484">
        <f t="shared" si="392"/>
        <v>5.8154649862679998E-3</v>
      </c>
      <c r="AG484">
        <f t="shared" si="367"/>
        <v>9834.0326043546702</v>
      </c>
      <c r="AH484">
        <f t="shared" si="368"/>
        <v>-14117.577848950334</v>
      </c>
      <c r="AJ484">
        <f t="shared" si="393"/>
        <v>55000</v>
      </c>
      <c r="AK484">
        <f t="shared" si="394"/>
        <v>50034.968039306259</v>
      </c>
      <c r="AL484">
        <v>1</v>
      </c>
      <c r="AM484">
        <f t="shared" si="395"/>
        <v>70.888702970373757</v>
      </c>
      <c r="AN484">
        <f t="shared" si="369"/>
        <v>716.62649811214249</v>
      </c>
      <c r="AO484">
        <f t="shared" si="370"/>
        <v>-765.75492606451417</v>
      </c>
      <c r="AQ484">
        <f t="shared" si="396"/>
        <v>6.2470105612065256E-3</v>
      </c>
      <c r="AR484">
        <f t="shared" si="397"/>
        <v>-4.4444356637703821</v>
      </c>
      <c r="AT484">
        <f t="shared" si="418"/>
        <v>-62683.233172390967</v>
      </c>
      <c r="AU484">
        <f t="shared" si="419"/>
        <v>-43794.917883395676</v>
      </c>
      <c r="AV484">
        <f t="shared" si="407"/>
        <v>-2.5317596140421417</v>
      </c>
      <c r="AW484">
        <f t="shared" si="408"/>
        <v>6450.449491712252</v>
      </c>
      <c r="AX484">
        <f t="shared" si="409"/>
        <v>-21361.967095887212</v>
      </c>
      <c r="AY484">
        <f t="shared" si="417"/>
        <v>-1.2775427715867795</v>
      </c>
      <c r="BA484">
        <f t="shared" si="398"/>
        <v>3.4267622533681061</v>
      </c>
      <c r="BB484">
        <f t="shared" si="410"/>
        <v>10.697679487885221</v>
      </c>
      <c r="BC484">
        <f t="shared" si="411"/>
        <v>-1.2542168424553621</v>
      </c>
      <c r="BD484">
        <f t="shared" si="399"/>
        <v>-251.86133174903028</v>
      </c>
      <c r="BF484">
        <f t="shared" si="400"/>
        <v>-37.013988843580428</v>
      </c>
      <c r="BG484">
        <f t="shared" si="401"/>
        <v>-193.95386510735966</v>
      </c>
      <c r="BH484">
        <f t="shared" si="412"/>
        <v>-13.953865107359661</v>
      </c>
      <c r="BI484">
        <f t="shared" si="413"/>
        <v>-13.953865107359661</v>
      </c>
      <c r="BJ484">
        <f t="shared" si="402"/>
        <v>0</v>
      </c>
      <c r="BK484">
        <f t="shared" si="414"/>
        <v>0</v>
      </c>
      <c r="BM484">
        <f t="shared" si="415"/>
        <v>-47.711668331465653</v>
      </c>
      <c r="BN484">
        <f t="shared" si="403"/>
        <v>-122.0925333583294</v>
      </c>
      <c r="BQ484" s="75">
        <f t="shared" si="416"/>
        <v>27.59964028817036</v>
      </c>
    </row>
    <row r="485" spans="1:69">
      <c r="A485">
        <f t="shared" si="420"/>
        <v>1355000</v>
      </c>
      <c r="B485">
        <f t="shared" si="404"/>
        <v>1355</v>
      </c>
      <c r="C485">
        <f t="shared" si="373"/>
        <v>1.8728679545074947</v>
      </c>
      <c r="D485">
        <f t="shared" si="374"/>
        <v>1.00754218102861</v>
      </c>
      <c r="F485">
        <f t="shared" si="375"/>
        <v>2.4299744466707647E-4</v>
      </c>
      <c r="G485">
        <f t="shared" si="376"/>
        <v>4.7863397375527868E-3</v>
      </c>
      <c r="H485">
        <f t="shared" si="377"/>
        <v>-3.1368063102624473</v>
      </c>
      <c r="J485">
        <f t="shared" si="378"/>
        <v>9</v>
      </c>
      <c r="M485">
        <f t="shared" si="379"/>
        <v>3.1149231651442489E-3</v>
      </c>
      <c r="N485">
        <f t="shared" si="380"/>
        <v>-1.5707963250000001</v>
      </c>
      <c r="O485">
        <f t="shared" si="381"/>
        <v>174.26161002904891</v>
      </c>
      <c r="P485">
        <f t="shared" si="382"/>
        <v>1.5650577967290438</v>
      </c>
      <c r="Q485">
        <f t="shared" si="383"/>
        <v>71.158280658184182</v>
      </c>
      <c r="R485">
        <f t="shared" si="384"/>
        <v>1.5567426859680145</v>
      </c>
      <c r="S485">
        <f t="shared" si="385"/>
        <v>0.73846616254097242</v>
      </c>
      <c r="T485">
        <f t="shared" si="386"/>
        <v>-0.74000355365106119</v>
      </c>
      <c r="U485">
        <f t="shared" si="387"/>
        <v>0.5748715923110338</v>
      </c>
      <c r="V485">
        <f t="shared" si="388"/>
        <v>-0.95834911827254721</v>
      </c>
      <c r="X485">
        <f t="shared" si="405"/>
        <v>-23.457453400180523</v>
      </c>
      <c r="Y485">
        <f t="shared" si="389"/>
        <v>-130.44029620545157</v>
      </c>
      <c r="Z485">
        <f t="shared" si="406"/>
        <v>49.559703794548426</v>
      </c>
      <c r="AC485">
        <v>1</v>
      </c>
      <c r="AD485">
        <f t="shared" si="390"/>
        <v>174.258740756142</v>
      </c>
      <c r="AE485">
        <f t="shared" si="391"/>
        <v>-8.3081008836980337E-3</v>
      </c>
      <c r="AF485">
        <f t="shared" si="392"/>
        <v>5.8370037454763997E-3</v>
      </c>
      <c r="AG485">
        <f t="shared" si="367"/>
        <v>9785.5310560696926</v>
      </c>
      <c r="AH485">
        <f t="shared" si="368"/>
        <v>-14099.559089398892</v>
      </c>
      <c r="AJ485">
        <f t="shared" si="393"/>
        <v>55000</v>
      </c>
      <c r="AK485">
        <f t="shared" si="394"/>
        <v>50220.282735748129</v>
      </c>
      <c r="AL485">
        <v>1</v>
      </c>
      <c r="AM485">
        <f t="shared" si="395"/>
        <v>71.151253722115882</v>
      </c>
      <c r="AN485">
        <f t="shared" si="369"/>
        <v>716.5469397792159</v>
      </c>
      <c r="AO485">
        <f t="shared" si="370"/>
        <v>-762.93038028854721</v>
      </c>
      <c r="AQ485">
        <f t="shared" si="396"/>
        <v>6.200992314099033E-3</v>
      </c>
      <c r="AR485">
        <f t="shared" si="397"/>
        <v>-4.428035596613408</v>
      </c>
      <c r="AT485">
        <f t="shared" si="418"/>
        <v>-62372.669541544354</v>
      </c>
      <c r="AU485">
        <f t="shared" si="419"/>
        <v>-43418.111105588141</v>
      </c>
      <c r="AV485">
        <f t="shared" si="407"/>
        <v>-2.5334835825381576</v>
      </c>
      <c r="AW485">
        <f t="shared" si="408"/>
        <v>6430.2712550277538</v>
      </c>
      <c r="AX485">
        <f t="shared" si="409"/>
        <v>-21314.277881802136</v>
      </c>
      <c r="AY485">
        <f t="shared" si="417"/>
        <v>-1.2777912250637717</v>
      </c>
      <c r="BA485">
        <f t="shared" si="398"/>
        <v>3.4135633048912162</v>
      </c>
      <c r="BB485">
        <f t="shared" si="410"/>
        <v>10.664159225986243</v>
      </c>
      <c r="BC485">
        <f t="shared" si="411"/>
        <v>-1.2556923574743859</v>
      </c>
      <c r="BD485">
        <f t="shared" si="399"/>
        <v>-251.9458725323251</v>
      </c>
      <c r="BF485">
        <f t="shared" si="400"/>
        <v>-37.088813277216786</v>
      </c>
      <c r="BG485">
        <f t="shared" si="401"/>
        <v>-193.94372074542511</v>
      </c>
      <c r="BH485">
        <f t="shared" si="412"/>
        <v>-13.943720745425111</v>
      </c>
      <c r="BI485">
        <f t="shared" si="413"/>
        <v>-13.943720745425111</v>
      </c>
      <c r="BJ485">
        <f t="shared" si="402"/>
        <v>0</v>
      </c>
      <c r="BK485">
        <f t="shared" si="414"/>
        <v>0</v>
      </c>
      <c r="BM485">
        <f t="shared" si="415"/>
        <v>-47.752972503203033</v>
      </c>
      <c r="BN485">
        <f t="shared" si="403"/>
        <v>-121.99784821310001</v>
      </c>
      <c r="BQ485" s="75">
        <f t="shared" si="416"/>
        <v>27.566120026271381</v>
      </c>
    </row>
    <row r="486" spans="1:69">
      <c r="A486">
        <f t="shared" si="420"/>
        <v>1360000</v>
      </c>
      <c r="B486">
        <f t="shared" si="404"/>
        <v>1360</v>
      </c>
      <c r="C486">
        <f t="shared" si="373"/>
        <v>1.8778112382924219</v>
      </c>
      <c r="D486">
        <f t="shared" si="374"/>
        <v>1.0092036947170444</v>
      </c>
      <c r="F486">
        <f t="shared" si="375"/>
        <v>2.4121357268634447E-4</v>
      </c>
      <c r="G486">
        <f t="shared" si="376"/>
        <v>4.7687346506333781E-3</v>
      </c>
      <c r="H486">
        <f t="shared" si="377"/>
        <v>-3.1368239153493667</v>
      </c>
      <c r="J486">
        <f t="shared" si="378"/>
        <v>9</v>
      </c>
      <c r="M486">
        <f t="shared" si="379"/>
        <v>3.1034712417429833E-3</v>
      </c>
      <c r="N486">
        <f t="shared" si="380"/>
        <v>-1.5707963250000001</v>
      </c>
      <c r="O486">
        <f t="shared" si="381"/>
        <v>174.9046206640262</v>
      </c>
      <c r="P486">
        <f t="shared" si="382"/>
        <v>1.5650788938054332</v>
      </c>
      <c r="Q486">
        <f t="shared" si="383"/>
        <v>71.420805578139635</v>
      </c>
      <c r="R486">
        <f t="shared" si="384"/>
        <v>1.556794346999812</v>
      </c>
      <c r="S486">
        <f t="shared" si="385"/>
        <v>0.73722804266008646</v>
      </c>
      <c r="T486">
        <f t="shared" si="386"/>
        <v>-0.74183789376445963</v>
      </c>
      <c r="U486">
        <f t="shared" si="387"/>
        <v>0.57345397624950112</v>
      </c>
      <c r="V486">
        <f t="shared" si="388"/>
        <v>-0.96008057695385318</v>
      </c>
      <c r="X486">
        <f t="shared" si="405"/>
        <v>-23.502592956549435</v>
      </c>
      <c r="Y486">
        <f t="shared" si="389"/>
        <v>-130.54624366980556</v>
      </c>
      <c r="Z486">
        <f t="shared" si="406"/>
        <v>49.453756330194437</v>
      </c>
      <c r="AC486">
        <v>1</v>
      </c>
      <c r="AD486">
        <f t="shared" si="390"/>
        <v>174.90176193974403</v>
      </c>
      <c r="AE486">
        <f t="shared" si="391"/>
        <v>-8.369528407558658E-3</v>
      </c>
      <c r="AF486">
        <f t="shared" si="392"/>
        <v>5.8585425046848005E-3</v>
      </c>
      <c r="AG486">
        <f t="shared" si="367"/>
        <v>9737.328911249102</v>
      </c>
      <c r="AH486">
        <f t="shared" si="368"/>
        <v>-14081.463242858224</v>
      </c>
      <c r="AJ486">
        <f t="shared" si="393"/>
        <v>55000</v>
      </c>
      <c r="AK486">
        <f t="shared" si="394"/>
        <v>50405.597432190007</v>
      </c>
      <c r="AL486">
        <v>1</v>
      </c>
      <c r="AM486">
        <f t="shared" si="395"/>
        <v>71.413804473858008</v>
      </c>
      <c r="AN486">
        <f t="shared" si="369"/>
        <v>716.46825708452445</v>
      </c>
      <c r="AO486">
        <f t="shared" si="370"/>
        <v>-760.12659097005121</v>
      </c>
      <c r="AQ486">
        <f t="shared" si="396"/>
        <v>6.1554806862912596E-3</v>
      </c>
      <c r="AR486">
        <f t="shared" si="397"/>
        <v>-4.4117561174786717</v>
      </c>
      <c r="AT486">
        <f t="shared" si="418"/>
        <v>-62064.043664681565</v>
      </c>
      <c r="AU486">
        <f t="shared" si="419"/>
        <v>-43045.398567131298</v>
      </c>
      <c r="AV486">
        <f t="shared" si="407"/>
        <v>-2.5351990926385679</v>
      </c>
      <c r="AW486">
        <f t="shared" si="408"/>
        <v>6410.0982795572872</v>
      </c>
      <c r="AX486">
        <f t="shared" si="409"/>
        <v>-21266.749659769001</v>
      </c>
      <c r="AY486">
        <f t="shared" si="417"/>
        <v>-1.27804269526734</v>
      </c>
      <c r="BA486">
        <f t="shared" si="398"/>
        <v>3.4004661557974192</v>
      </c>
      <c r="BB486">
        <f t="shared" si="410"/>
        <v>10.630769135041884</v>
      </c>
      <c r="BC486">
        <f t="shared" si="411"/>
        <v>-1.2571563973712279</v>
      </c>
      <c r="BD486">
        <f t="shared" si="399"/>
        <v>-252.02975583954878</v>
      </c>
      <c r="BF486">
        <f t="shared" si="400"/>
        <v>-37.163307174711655</v>
      </c>
      <c r="BG486">
        <f t="shared" si="401"/>
        <v>-193.93341502776909</v>
      </c>
      <c r="BH486">
        <f t="shared" si="412"/>
        <v>-13.933415027769087</v>
      </c>
      <c r="BI486">
        <f t="shared" si="413"/>
        <v>-13.933415027769087</v>
      </c>
      <c r="BJ486">
        <f t="shared" si="402"/>
        <v>0</v>
      </c>
      <c r="BK486">
        <f t="shared" si="414"/>
        <v>0</v>
      </c>
      <c r="BM486">
        <f t="shared" si="415"/>
        <v>-47.794076309753535</v>
      </c>
      <c r="BN486">
        <f t="shared" si="403"/>
        <v>-121.90365918822035</v>
      </c>
      <c r="BQ486" s="75">
        <f t="shared" si="416"/>
        <v>27.532729935327023</v>
      </c>
    </row>
    <row r="487" spans="1:69">
      <c r="A487">
        <f t="shared" si="420"/>
        <v>1365000</v>
      </c>
      <c r="B487">
        <f t="shared" si="404"/>
        <v>1365</v>
      </c>
      <c r="C487">
        <f t="shared" si="373"/>
        <v>1.8827596787854168</v>
      </c>
      <c r="D487">
        <f t="shared" si="374"/>
        <v>1.0108564790649897</v>
      </c>
      <c r="F487">
        <f t="shared" si="375"/>
        <v>2.3944927374180812E-4</v>
      </c>
      <c r="G487">
        <f t="shared" si="376"/>
        <v>4.7512586288946598E-3</v>
      </c>
      <c r="H487">
        <f t="shared" si="377"/>
        <v>-3.1368413913711057</v>
      </c>
      <c r="J487">
        <f t="shared" si="378"/>
        <v>9</v>
      </c>
      <c r="M487">
        <f t="shared" si="379"/>
        <v>3.092103215216452E-3</v>
      </c>
      <c r="N487">
        <f t="shared" si="380"/>
        <v>-1.5707963250000001</v>
      </c>
      <c r="O487">
        <f t="shared" si="381"/>
        <v>175.54763137628089</v>
      </c>
      <c r="P487">
        <f t="shared" si="382"/>
        <v>1.5650998363295201</v>
      </c>
      <c r="Q487">
        <f t="shared" si="383"/>
        <v>71.683330687311226</v>
      </c>
      <c r="R487">
        <f t="shared" si="384"/>
        <v>1.556845629636437</v>
      </c>
      <c r="S487">
        <f t="shared" si="385"/>
        <v>0.73599160347793025</v>
      </c>
      <c r="T487">
        <f t="shared" si="386"/>
        <v>-0.7436660870992402</v>
      </c>
      <c r="U487">
        <f t="shared" si="387"/>
        <v>0.57204163227279681</v>
      </c>
      <c r="V487">
        <f t="shared" si="388"/>
        <v>-0.96180351205562931</v>
      </c>
      <c r="X487">
        <f t="shared" si="405"/>
        <v>-23.547628961977082</v>
      </c>
      <c r="Y487">
        <f t="shared" si="389"/>
        <v>-130.65187387967214</v>
      </c>
      <c r="Z487">
        <f t="shared" si="406"/>
        <v>49.348126120327862</v>
      </c>
      <c r="AC487">
        <v>1</v>
      </c>
      <c r="AD487">
        <f t="shared" si="390"/>
        <v>175.54478312334604</v>
      </c>
      <c r="AE487">
        <f t="shared" si="391"/>
        <v>-8.4311821838091907E-3</v>
      </c>
      <c r="AF487">
        <f t="shared" si="392"/>
        <v>5.8800812638932004E-3</v>
      </c>
      <c r="AG487">
        <f t="shared" si="367"/>
        <v>9689.4243779077042</v>
      </c>
      <c r="AH487">
        <f t="shared" si="368"/>
        <v>-14063.292406205739</v>
      </c>
      <c r="AJ487">
        <f t="shared" si="393"/>
        <v>55000</v>
      </c>
      <c r="AK487">
        <f t="shared" si="394"/>
        <v>50590.912128631884</v>
      </c>
      <c r="AL487">
        <v>1</v>
      </c>
      <c r="AM487">
        <f t="shared" si="395"/>
        <v>71.676355225600133</v>
      </c>
      <c r="AN487">
        <f t="shared" si="369"/>
        <v>716.39043722589975</v>
      </c>
      <c r="AO487">
        <f t="shared" si="370"/>
        <v>-757.34333019469727</v>
      </c>
      <c r="AQ487">
        <f t="shared" si="396"/>
        <v>6.1104682684257018E-3</v>
      </c>
      <c r="AR487">
        <f t="shared" si="397"/>
        <v>-4.3955959012333699</v>
      </c>
      <c r="AT487">
        <f t="shared" si="418"/>
        <v>-61757.343538363806</v>
      </c>
      <c r="AU487">
        <f t="shared" si="419"/>
        <v>-42676.727382839512</v>
      </c>
      <c r="AV487">
        <f t="shared" si="407"/>
        <v>-2.5369061959939083</v>
      </c>
      <c r="AW487">
        <f t="shared" si="408"/>
        <v>6389.9328797182743</v>
      </c>
      <c r="AX487">
        <f t="shared" si="409"/>
        <v>-21219.381755576385</v>
      </c>
      <c r="AY487">
        <f t="shared" si="417"/>
        <v>-1.278297089053666</v>
      </c>
      <c r="BA487">
        <f t="shared" si="398"/>
        <v>3.3874696416350556</v>
      </c>
      <c r="BB487">
        <f t="shared" si="410"/>
        <v>10.597508235408924</v>
      </c>
      <c r="BC487">
        <f t="shared" si="411"/>
        <v>-1.2586091069402423</v>
      </c>
      <c r="BD487">
        <f t="shared" si="399"/>
        <v>-252.11298996680668</v>
      </c>
      <c r="BF487">
        <f t="shared" si="400"/>
        <v>-37.237473315288369</v>
      </c>
      <c r="BG487">
        <f t="shared" si="401"/>
        <v>-193.92295288962572</v>
      </c>
      <c r="BH487">
        <f t="shared" si="412"/>
        <v>-13.922952889625719</v>
      </c>
      <c r="BI487">
        <f t="shared" si="413"/>
        <v>-13.922952889625719</v>
      </c>
      <c r="BJ487">
        <f t="shared" si="402"/>
        <v>0</v>
      </c>
      <c r="BK487">
        <f t="shared" si="414"/>
        <v>0</v>
      </c>
      <c r="BM487">
        <f t="shared" si="415"/>
        <v>-47.834981550697293</v>
      </c>
      <c r="BN487">
        <f t="shared" si="403"/>
        <v>-121.80996292281904</v>
      </c>
      <c r="BQ487" s="75">
        <f t="shared" si="416"/>
        <v>27.499469035694059</v>
      </c>
    </row>
    <row r="488" spans="1:69">
      <c r="A488">
        <f t="shared" si="420"/>
        <v>1370000</v>
      </c>
      <c r="B488">
        <f t="shared" si="404"/>
        <v>1370</v>
      </c>
      <c r="C488">
        <f t="shared" si="373"/>
        <v>1.8877132354331865</v>
      </c>
      <c r="D488">
        <f t="shared" si="374"/>
        <v>1.0125005937271134</v>
      </c>
      <c r="F488">
        <f t="shared" si="375"/>
        <v>2.3770426250955238E-4</v>
      </c>
      <c r="G488">
        <f t="shared" si="376"/>
        <v>4.7339102579043568E-3</v>
      </c>
      <c r="H488">
        <f t="shared" si="377"/>
        <v>-3.1368587397420957</v>
      </c>
      <c r="J488">
        <f t="shared" si="378"/>
        <v>9</v>
      </c>
      <c r="M488">
        <f t="shared" si="379"/>
        <v>3.0808181669857351E-3</v>
      </c>
      <c r="N488">
        <f t="shared" si="380"/>
        <v>-1.5707963250000001</v>
      </c>
      <c r="O488">
        <f t="shared" si="381"/>
        <v>176.19064216496693</v>
      </c>
      <c r="P488">
        <f t="shared" si="382"/>
        <v>1.5651206259934103</v>
      </c>
      <c r="Q488">
        <f t="shared" si="383"/>
        <v>71.945855983627652</v>
      </c>
      <c r="R488">
        <f t="shared" si="384"/>
        <v>1.5568965380198294</v>
      </c>
      <c r="S488">
        <f t="shared" si="385"/>
        <v>0.7347568612853167</v>
      </c>
      <c r="T488">
        <f t="shared" si="386"/>
        <v>-0.74548815234058852</v>
      </c>
      <c r="U488">
        <f t="shared" si="387"/>
        <v>0.57063454658618651</v>
      </c>
      <c r="V488">
        <f t="shared" si="388"/>
        <v>-0.96351797620889623</v>
      </c>
      <c r="X488">
        <f t="shared" si="405"/>
        <v>-23.592562005314566</v>
      </c>
      <c r="Y488">
        <f t="shared" si="389"/>
        <v>-130.75718724998316</v>
      </c>
      <c r="Z488">
        <f t="shared" si="406"/>
        <v>49.242812750016839</v>
      </c>
      <c r="AC488">
        <v>1</v>
      </c>
      <c r="AD488">
        <f t="shared" si="390"/>
        <v>176.18780430694801</v>
      </c>
      <c r="AE488">
        <f t="shared" si="391"/>
        <v>-8.4930622124496351E-3</v>
      </c>
      <c r="AF488">
        <f t="shared" si="392"/>
        <v>5.9016200231016003E-3</v>
      </c>
      <c r="AG488">
        <f t="shared" ref="AG488:AG551" si="421">AC488*AE488/(AE488^2+AF488^2)+AD488*AF488/(AE488^2+AF488^2)</f>
        <v>9641.8156670067729</v>
      </c>
      <c r="AH488">
        <f t="shared" ref="AH488:AH551" si="422">AD488*AE488/(AE488^2+AF488^2)-AC488*AF488/(AE488^2+AF488^2)</f>
        <v>-14045.048643660044</v>
      </c>
      <c r="AJ488">
        <f t="shared" si="393"/>
        <v>55000</v>
      </c>
      <c r="AK488">
        <f t="shared" si="394"/>
        <v>50776.226825073754</v>
      </c>
      <c r="AL488">
        <v>1</v>
      </c>
      <c r="AM488">
        <f t="shared" si="395"/>
        <v>71.938905977342259</v>
      </c>
      <c r="AN488">
        <f t="shared" ref="AN488:AN551" si="423">AJ488*AL488/(AL488^2+AM488^2)+AK488*AM488/(AL488^2+AM488^2)</f>
        <v>716.313467634272</v>
      </c>
      <c r="AO488">
        <f t="shared" ref="AO488:AO551" si="424">AK488*AL488/(AL488^2+AM488^2)-AJ488*AM488/(AL488^2+AM488^2)</f>
        <v>-754.58037337213341</v>
      </c>
      <c r="AQ488">
        <f t="shared" si="396"/>
        <v>6.0659477861044085E-3</v>
      </c>
      <c r="AR488">
        <f t="shared" si="397"/>
        <v>-4.3795536420895216</v>
      </c>
      <c r="AT488">
        <f t="shared" si="418"/>
        <v>-61452.557190266532</v>
      </c>
      <c r="AU488">
        <f t="shared" si="419"/>
        <v>-42312.045452521066</v>
      </c>
      <c r="AV488">
        <f t="shared" si="407"/>
        <v>-2.5386049439560621</v>
      </c>
      <c r="AW488">
        <f t="shared" si="408"/>
        <v>6369.7773003357879</v>
      </c>
      <c r="AX488">
        <f t="shared" si="409"/>
        <v>-21172.173504069851</v>
      </c>
      <c r="AY488">
        <f t="shared" si="417"/>
        <v>-1.2785543154209749</v>
      </c>
      <c r="BA488">
        <f t="shared" si="398"/>
        <v>3.3745726152225508</v>
      </c>
      <c r="BB488">
        <f t="shared" si="410"/>
        <v>10.564375557541329</v>
      </c>
      <c r="BC488">
        <f t="shared" si="411"/>
        <v>-1.2600506285350872</v>
      </c>
      <c r="BD488">
        <f t="shared" si="399"/>
        <v>-252.19558307036263</v>
      </c>
      <c r="BF488">
        <f t="shared" si="400"/>
        <v>-37.311314445930066</v>
      </c>
      <c r="BG488">
        <f t="shared" si="401"/>
        <v>-193.91233915033905</v>
      </c>
      <c r="BH488">
        <f t="shared" si="412"/>
        <v>-13.912339150339051</v>
      </c>
      <c r="BI488">
        <f t="shared" si="413"/>
        <v>-13.912339150339051</v>
      </c>
      <c r="BJ488">
        <f t="shared" si="402"/>
        <v>0</v>
      </c>
      <c r="BK488">
        <f t="shared" si="414"/>
        <v>0</v>
      </c>
      <c r="BM488">
        <f t="shared" si="415"/>
        <v>-47.875690003471398</v>
      </c>
      <c r="BN488">
        <f t="shared" si="403"/>
        <v>-121.71675607997643</v>
      </c>
      <c r="BQ488" s="75">
        <f t="shared" si="416"/>
        <v>27.466336357826467</v>
      </c>
    </row>
    <row r="489" spans="1:69">
      <c r="A489">
        <f t="shared" si="420"/>
        <v>1375000</v>
      </c>
      <c r="B489">
        <f t="shared" si="404"/>
        <v>1375</v>
      </c>
      <c r="C489">
        <f t="shared" si="373"/>
        <v>1.8926718680652777</v>
      </c>
      <c r="D489">
        <f t="shared" si="374"/>
        <v>1.0141360979213727</v>
      </c>
      <c r="F489">
        <f t="shared" si="375"/>
        <v>2.3597825884626454E-4</v>
      </c>
      <c r="G489">
        <f t="shared" si="376"/>
        <v>4.7166881438274588E-3</v>
      </c>
      <c r="H489">
        <f t="shared" si="377"/>
        <v>-3.1368759618561728</v>
      </c>
      <c r="J489">
        <f t="shared" si="378"/>
        <v>9</v>
      </c>
      <c r="M489">
        <f t="shared" si="379"/>
        <v>3.0696151918330594E-3</v>
      </c>
      <c r="N489">
        <f t="shared" si="380"/>
        <v>-1.5707963250000001</v>
      </c>
      <c r="O489">
        <f t="shared" si="381"/>
        <v>176.83365302925051</v>
      </c>
      <c r="P489">
        <f t="shared" si="382"/>
        <v>1.5651412644645977</v>
      </c>
      <c r="Q489">
        <f t="shared" si="383"/>
        <v>72.208381465047708</v>
      </c>
      <c r="R489">
        <f t="shared" si="384"/>
        <v>1.5569470762317019</v>
      </c>
      <c r="S489">
        <f t="shared" si="385"/>
        <v>0.73352383208936622</v>
      </c>
      <c r="T489">
        <f t="shared" si="386"/>
        <v>-0.74730410821139448</v>
      </c>
      <c r="U489">
        <f t="shared" si="387"/>
        <v>0.56923270520732849</v>
      </c>
      <c r="V489">
        <f t="shared" si="388"/>
        <v>-0.96522402172761812</v>
      </c>
      <c r="X489">
        <f t="shared" si="405"/>
        <v>-23.637392668143107</v>
      </c>
      <c r="Y489">
        <f t="shared" si="389"/>
        <v>-130.86218420836718</v>
      </c>
      <c r="Z489">
        <f t="shared" si="406"/>
        <v>49.137815791632818</v>
      </c>
      <c r="AC489">
        <v>1</v>
      </c>
      <c r="AD489">
        <f t="shared" si="390"/>
        <v>176.83082549055004</v>
      </c>
      <c r="AE489">
        <f t="shared" si="391"/>
        <v>-8.5551684934799897E-3</v>
      </c>
      <c r="AF489">
        <f t="shared" si="392"/>
        <v>5.9231587823100002E-3</v>
      </c>
      <c r="AG489">
        <f t="shared" si="421"/>
        <v>9594.5009927021383</v>
      </c>
      <c r="AH489">
        <f t="shared" si="422"/>
        <v>-14026.733987203035</v>
      </c>
      <c r="AJ489">
        <f t="shared" si="393"/>
        <v>55000</v>
      </c>
      <c r="AK489">
        <f t="shared" si="394"/>
        <v>50961.541521515632</v>
      </c>
      <c r="AL489">
        <v>1</v>
      </c>
      <c r="AM489">
        <f t="shared" si="395"/>
        <v>72.201456729084384</v>
      </c>
      <c r="AN489">
        <f t="shared" si="423"/>
        <v>716.23733596859586</v>
      </c>
      <c r="AO489">
        <f t="shared" si="424"/>
        <v>-751.83749917561795</v>
      </c>
      <c r="AQ489">
        <f t="shared" si="396"/>
        <v>6.0219120969497849E-3</v>
      </c>
      <c r="AR489">
        <f t="shared" si="397"/>
        <v>-4.3636280532522385</v>
      </c>
      <c r="AT489">
        <f t="shared" si="418"/>
        <v>-61149.672680473639</v>
      </c>
      <c r="AU489">
        <f t="shared" si="419"/>
        <v>-41951.301447789738</v>
      </c>
      <c r="AV489">
        <f t="shared" si="407"/>
        <v>-2.5402953875784604</v>
      </c>
      <c r="AW489">
        <f t="shared" si="408"/>
        <v>6349.6337184462409</v>
      </c>
      <c r="AX489">
        <f t="shared" si="409"/>
        <v>-21125.124248804321</v>
      </c>
      <c r="AY489">
        <f t="shared" si="417"/>
        <v>-1.2788142854586833</v>
      </c>
      <c r="BA489">
        <f t="shared" si="398"/>
        <v>3.3617739463438023</v>
      </c>
      <c r="BB489">
        <f t="shared" si="410"/>
        <v>10.531370141877797</v>
      </c>
      <c r="BC489">
        <f t="shared" si="411"/>
        <v>-1.2614811021197772</v>
      </c>
      <c r="BD489">
        <f t="shared" si="399"/>
        <v>-252.27754316956396</v>
      </c>
      <c r="BF489">
        <f t="shared" si="400"/>
        <v>-37.384833281827596</v>
      </c>
      <c r="BG489">
        <f t="shared" si="401"/>
        <v>-193.90157851617838</v>
      </c>
      <c r="BH489">
        <f t="shared" si="412"/>
        <v>-13.901578516178375</v>
      </c>
      <c r="BI489">
        <f t="shared" si="413"/>
        <v>-13.901578516178375</v>
      </c>
      <c r="BJ489">
        <f t="shared" si="402"/>
        <v>0</v>
      </c>
      <c r="BK489">
        <f t="shared" si="414"/>
        <v>0</v>
      </c>
      <c r="BM489">
        <f t="shared" si="415"/>
        <v>-47.91620342370539</v>
      </c>
      <c r="BN489">
        <f t="shared" si="403"/>
        <v>-121.62403534661441</v>
      </c>
      <c r="BQ489" s="75">
        <f t="shared" si="416"/>
        <v>27.433330942162936</v>
      </c>
    </row>
    <row r="490" spans="1:69">
      <c r="A490">
        <f t="shared" si="420"/>
        <v>1380000</v>
      </c>
      <c r="B490">
        <f t="shared" si="404"/>
        <v>1380</v>
      </c>
      <c r="C490">
        <f t="shared" si="373"/>
        <v>1.8976355368901592</v>
      </c>
      <c r="D490">
        <f t="shared" si="374"/>
        <v>1.0157630504313437</v>
      </c>
      <c r="F490">
        <f t="shared" si="375"/>
        <v>2.3427098767675854E-4</v>
      </c>
      <c r="G490">
        <f t="shared" si="376"/>
        <v>4.699590913052552E-3</v>
      </c>
      <c r="H490">
        <f t="shared" si="377"/>
        <v>-3.1368930590869475</v>
      </c>
      <c r="J490">
        <f t="shared" si="378"/>
        <v>9</v>
      </c>
      <c r="M490">
        <f t="shared" si="379"/>
        <v>3.0584933976597517E-3</v>
      </c>
      <c r="N490">
        <f t="shared" si="380"/>
        <v>-1.5707963250000001</v>
      </c>
      <c r="O490">
        <f t="shared" si="381"/>
        <v>177.47666396831002</v>
      </c>
      <c r="P490">
        <f t="shared" si="382"/>
        <v>1.5651617533864113</v>
      </c>
      <c r="Q490">
        <f t="shared" si="383"/>
        <v>72.470907129559791</v>
      </c>
      <c r="R490">
        <f t="shared" si="384"/>
        <v>1.5569972482946308</v>
      </c>
      <c r="S490">
        <f t="shared" si="385"/>
        <v>0.73229253161620034</v>
      </c>
      <c r="T490">
        <f t="shared" si="386"/>
        <v>-0.74911397347037967</v>
      </c>
      <c r="U490">
        <f t="shared" si="387"/>
        <v>0.56783609397237778</v>
      </c>
      <c r="V490">
        <f t="shared" si="388"/>
        <v>-0.9669217006092905</v>
      </c>
      <c r="X490">
        <f t="shared" si="405"/>
        <v>-23.682121524906584</v>
      </c>
      <c r="Y490">
        <f t="shared" si="389"/>
        <v>-130.96686519487551</v>
      </c>
      <c r="Z490">
        <f t="shared" si="406"/>
        <v>49.03313480512449</v>
      </c>
      <c r="AC490">
        <v>1</v>
      </c>
      <c r="AD490">
        <f t="shared" si="390"/>
        <v>177.47384667415201</v>
      </c>
      <c r="AE490">
        <f t="shared" si="391"/>
        <v>-8.617501026900249E-3</v>
      </c>
      <c r="AF490">
        <f t="shared" si="392"/>
        <v>5.9446975415184001E-3</v>
      </c>
      <c r="AG490">
        <f t="shared" si="421"/>
        <v>9547.4785725841484</v>
      </c>
      <c r="AH490">
        <f t="shared" si="422"/>
        <v>-14008.350436998304</v>
      </c>
      <c r="AJ490">
        <f t="shared" si="393"/>
        <v>55000</v>
      </c>
      <c r="AK490">
        <f t="shared" si="394"/>
        <v>51146.856217957509</v>
      </c>
      <c r="AL490">
        <v>1</v>
      </c>
      <c r="AM490">
        <f t="shared" si="395"/>
        <v>72.46400748082651</v>
      </c>
      <c r="AN490">
        <f t="shared" si="423"/>
        <v>716.16203011090431</v>
      </c>
      <c r="AO490">
        <f t="shared" si="424"/>
        <v>-749.11448948296493</v>
      </c>
      <c r="AQ490">
        <f t="shared" si="396"/>
        <v>5.9783541877398141E-3</v>
      </c>
      <c r="AR490">
        <f t="shared" si="397"/>
        <v>-4.3478178665756575</v>
      </c>
      <c r="AT490">
        <f t="shared" si="418"/>
        <v>-60848.678102727383</v>
      </c>
      <c r="AU490">
        <f t="shared" si="419"/>
        <v>-41594.444799127974</v>
      </c>
      <c r="AV490">
        <f t="shared" si="407"/>
        <v>-2.5419775776163323</v>
      </c>
      <c r="AW490">
        <f t="shared" si="408"/>
        <v>6329.5042450536876</v>
      </c>
      <c r="AX490">
        <f t="shared" si="409"/>
        <v>-21078.233341709853</v>
      </c>
      <c r="AY490">
        <f t="shared" si="417"/>
        <v>-1.2790769122978645</v>
      </c>
      <c r="BA490">
        <f t="shared" si="398"/>
        <v>3.3490725214494712</v>
      </c>
      <c r="BB490">
        <f t="shared" si="410"/>
        <v>10.498491038729949</v>
      </c>
      <c r="BC490">
        <f t="shared" si="411"/>
        <v>-1.2629006653184678</v>
      </c>
      <c r="BD490">
        <f t="shared" si="399"/>
        <v>-252.35887814969396</v>
      </c>
      <c r="BF490">
        <f t="shared" si="400"/>
        <v>-37.458032506820828</v>
      </c>
      <c r="BG490">
        <f t="shared" si="401"/>
        <v>-193.89067558307815</v>
      </c>
      <c r="BH490">
        <f t="shared" si="412"/>
        <v>-13.890675583078149</v>
      </c>
      <c r="BI490">
        <f t="shared" si="413"/>
        <v>-13.890675583078149</v>
      </c>
      <c r="BJ490">
        <f t="shared" si="402"/>
        <v>0</v>
      </c>
      <c r="BK490">
        <f t="shared" si="414"/>
        <v>0</v>
      </c>
      <c r="BM490">
        <f t="shared" si="415"/>
        <v>-47.956523545550773</v>
      </c>
      <c r="BN490">
        <f t="shared" si="403"/>
        <v>-121.53179743338418</v>
      </c>
      <c r="BQ490" s="75">
        <f t="shared" si="416"/>
        <v>27.400451839015084</v>
      </c>
    </row>
    <row r="491" spans="1:69">
      <c r="A491">
        <f t="shared" si="420"/>
        <v>1385000</v>
      </c>
      <c r="B491">
        <f t="shared" si="404"/>
        <v>1385</v>
      </c>
      <c r="C491">
        <f t="shared" si="373"/>
        <v>1.9026042024913417</v>
      </c>
      <c r="D491">
        <f t="shared" si="374"/>
        <v>1.0173815096085717</v>
      </c>
      <c r="F491">
        <f t="shared" si="375"/>
        <v>2.3258217888433733E-4</v>
      </c>
      <c r="G491">
        <f t="shared" si="376"/>
        <v>4.6826172118262883E-3</v>
      </c>
      <c r="H491">
        <f t="shared" si="377"/>
        <v>-3.1369100327881738</v>
      </c>
      <c r="J491">
        <f t="shared" si="378"/>
        <v>9</v>
      </c>
      <c r="M491">
        <f t="shared" si="379"/>
        <v>3.0474519052494276E-3</v>
      </c>
      <c r="N491">
        <f t="shared" si="380"/>
        <v>-1.5707963250000001</v>
      </c>
      <c r="O491">
        <f t="shared" si="381"/>
        <v>178.11967498133555</v>
      </c>
      <c r="P491">
        <f t="shared" si="382"/>
        <v>1.5651820943784513</v>
      </c>
      <c r="Q491">
        <f t="shared" si="383"/>
        <v>72.733432975181344</v>
      </c>
      <c r="R491">
        <f t="shared" si="384"/>
        <v>1.5570470581731235</v>
      </c>
      <c r="S491">
        <f t="shared" si="385"/>
        <v>0.73106297531362907</v>
      </c>
      <c r="T491">
        <f t="shared" si="386"/>
        <v>-0.75091776691025092</v>
      </c>
      <c r="U491">
        <f t="shared" si="387"/>
        <v>0.56644469854196877</v>
      </c>
      <c r="V491">
        <f t="shared" si="388"/>
        <v>-0.96861106453557078</v>
      </c>
      <c r="X491">
        <f t="shared" si="405"/>
        <v>-23.726749143041339</v>
      </c>
      <c r="Y491">
        <f t="shared" si="389"/>
        <v>-131.0712306617132</v>
      </c>
      <c r="Z491">
        <f t="shared" si="406"/>
        <v>48.928769338286799</v>
      </c>
      <c r="AC491">
        <v>1</v>
      </c>
      <c r="AD491">
        <f t="shared" si="390"/>
        <v>178.11686785775402</v>
      </c>
      <c r="AE491">
        <f t="shared" si="391"/>
        <v>-8.6800598127104254E-3</v>
      </c>
      <c r="AF491">
        <f t="shared" si="392"/>
        <v>5.9662363007268E-3</v>
      </c>
      <c r="AG491">
        <f t="shared" si="421"/>
        <v>9500.7466279097316</v>
      </c>
      <c r="AH491">
        <f t="shared" si="422"/>
        <v>-13989.899961805984</v>
      </c>
      <c r="AJ491">
        <f t="shared" si="393"/>
        <v>55000</v>
      </c>
      <c r="AK491">
        <f t="shared" si="394"/>
        <v>51332.170914399379</v>
      </c>
      <c r="AL491">
        <v>1</v>
      </c>
      <c r="AM491">
        <f t="shared" si="395"/>
        <v>72.726558232568635</v>
      </c>
      <c r="AN491">
        <f t="shared" si="423"/>
        <v>716.0875381614876</v>
      </c>
      <c r="AO491">
        <f t="shared" si="424"/>
        <v>-746.41112931876546</v>
      </c>
      <c r="AQ491">
        <f t="shared" si="396"/>
        <v>5.935267171615531E-3</v>
      </c>
      <c r="AR491">
        <f t="shared" si="397"/>
        <v>-4.3321218322263189</v>
      </c>
      <c r="AT491">
        <f t="shared" si="418"/>
        <v>-60549.561585635376</v>
      </c>
      <c r="AU491">
        <f t="shared" si="419"/>
        <v>-41241.425683195819</v>
      </c>
      <c r="AV491">
        <f t="shared" si="407"/>
        <v>-2.5436515645270079</v>
      </c>
      <c r="AW491">
        <f t="shared" si="408"/>
        <v>6309.3909268401221</v>
      </c>
      <c r="AX491">
        <f t="shared" si="409"/>
        <v>-21031.500142770212</v>
      </c>
      <c r="AY491">
        <f t="shared" si="417"/>
        <v>-1.2793421110629899</v>
      </c>
      <c r="BA491">
        <f t="shared" si="398"/>
        <v>3.3364672433640883</v>
      </c>
      <c r="BB491">
        <f t="shared" si="410"/>
        <v>10.465737308171253</v>
      </c>
      <c r="BC491">
        <f t="shared" si="411"/>
        <v>-1.264309453464018</v>
      </c>
      <c r="BD491">
        <f t="shared" si="399"/>
        <v>-252.4395957647543</v>
      </c>
      <c r="BF491">
        <f t="shared" si="400"/>
        <v>-37.530914773833359</v>
      </c>
      <c r="BG491">
        <f t="shared" si="401"/>
        <v>-193.87963483930722</v>
      </c>
      <c r="BH491">
        <f t="shared" si="412"/>
        <v>-13.879634839307215</v>
      </c>
      <c r="BI491">
        <f t="shared" si="413"/>
        <v>-13.879634839307215</v>
      </c>
      <c r="BJ491">
        <f t="shared" si="402"/>
        <v>0</v>
      </c>
      <c r="BK491">
        <f t="shared" si="414"/>
        <v>0</v>
      </c>
      <c r="BM491">
        <f t="shared" si="415"/>
        <v>-47.996652082004616</v>
      </c>
      <c r="BN491">
        <f t="shared" si="403"/>
        <v>-121.44003907455296</v>
      </c>
      <c r="BQ491" s="75">
        <f t="shared" si="416"/>
        <v>27.367698108456388</v>
      </c>
    </row>
    <row r="492" spans="1:69">
      <c r="A492">
        <f t="shared" si="420"/>
        <v>1390000</v>
      </c>
      <c r="B492">
        <f t="shared" si="404"/>
        <v>1390</v>
      </c>
      <c r="C492">
        <f t="shared" si="373"/>
        <v>1.9075778258235339</v>
      </c>
      <c r="D492">
        <f t="shared" si="374"/>
        <v>1.01899153337494</v>
      </c>
      <c r="F492">
        <f t="shared" si="375"/>
        <v>2.309115672039127E-4</v>
      </c>
      <c r="G492">
        <f t="shared" si="376"/>
        <v>4.6657657058957365E-3</v>
      </c>
      <c r="H492">
        <f t="shared" si="377"/>
        <v>-3.1369268842941045</v>
      </c>
      <c r="J492">
        <f t="shared" si="378"/>
        <v>9</v>
      </c>
      <c r="M492">
        <f t="shared" si="379"/>
        <v>3.0364898480362999E-3</v>
      </c>
      <c r="N492">
        <f t="shared" si="380"/>
        <v>-1.5707963250000001</v>
      </c>
      <c r="O492">
        <f t="shared" si="381"/>
        <v>178.76268606752899</v>
      </c>
      <c r="P492">
        <f t="shared" si="382"/>
        <v>1.565202289037015</v>
      </c>
      <c r="Q492">
        <f t="shared" si="383"/>
        <v>72.995958999958305</v>
      </c>
      <c r="R492">
        <f t="shared" si="384"/>
        <v>1.5570965097746614</v>
      </c>
      <c r="S492">
        <f t="shared" si="385"/>
        <v>0.72983517835383249</v>
      </c>
      <c r="T492">
        <f t="shared" si="386"/>
        <v>-0.75271550735588011</v>
      </c>
      <c r="U492">
        <f t="shared" si="387"/>
        <v>0.56505850440707661</v>
      </c>
      <c r="V492">
        <f t="shared" si="388"/>
        <v>-0.970292164872948</v>
      </c>
      <c r="X492">
        <f t="shared" si="405"/>
        <v>-23.771276083103189</v>
      </c>
      <c r="Y492">
        <f t="shared" si="389"/>
        <v>-131.17528107297326</v>
      </c>
      <c r="Z492">
        <f t="shared" si="406"/>
        <v>48.824718927026737</v>
      </c>
      <c r="AC492">
        <v>1</v>
      </c>
      <c r="AD492">
        <f t="shared" si="390"/>
        <v>178.75988904135602</v>
      </c>
      <c r="AE492">
        <f t="shared" si="391"/>
        <v>-8.7428448509105101E-3</v>
      </c>
      <c r="AF492">
        <f t="shared" si="392"/>
        <v>5.9877750599352008E-3</v>
      </c>
      <c r="AG492">
        <f t="shared" si="421"/>
        <v>9454.3033838268093</v>
      </c>
      <c r="AH492">
        <f t="shared" si="422"/>
        <v>-13971.3844993939</v>
      </c>
      <c r="AJ492">
        <f t="shared" si="393"/>
        <v>55000</v>
      </c>
      <c r="AK492">
        <f t="shared" si="394"/>
        <v>51517.485610841257</v>
      </c>
      <c r="AL492">
        <v>1</v>
      </c>
      <c r="AM492">
        <f t="shared" si="395"/>
        <v>72.989108984310761</v>
      </c>
      <c r="AN492">
        <f t="shared" si="423"/>
        <v>716.01384843419351</v>
      </c>
      <c r="AO492">
        <f t="shared" si="424"/>
        <v>-743.72720679785698</v>
      </c>
      <c r="AQ492">
        <f t="shared" si="396"/>
        <v>5.8926442853586992E-3</v>
      </c>
      <c r="AR492">
        <f t="shared" si="397"/>
        <v>-4.316538718353808</v>
      </c>
      <c r="AT492">
        <f t="shared" si="418"/>
        <v>-60252.31129383525</v>
      </c>
      <c r="AU492">
        <f t="shared" si="419"/>
        <v>-40892.195010380754</v>
      </c>
      <c r="AV492">
        <f t="shared" si="407"/>
        <v>-2.5453173984702628</v>
      </c>
      <c r="AW492">
        <f t="shared" si="408"/>
        <v>6289.2957478311882</v>
      </c>
      <c r="AX492">
        <f t="shared" si="409"/>
        <v>-20984.924019713893</v>
      </c>
      <c r="AY492">
        <f t="shared" si="417"/>
        <v>-1.2796097988249051</v>
      </c>
      <c r="BA492">
        <f t="shared" si="398"/>
        <v>3.3239570309988373</v>
      </c>
      <c r="BB492">
        <f t="shared" si="410"/>
        <v>10.433108019926697</v>
      </c>
      <c r="BC492">
        <f t="shared" si="411"/>
        <v>-1.2657075996453577</v>
      </c>
      <c r="BD492">
        <f t="shared" si="399"/>
        <v>-252.51970364017893</v>
      </c>
      <c r="BF492">
        <f t="shared" si="400"/>
        <v>-37.603482705300799</v>
      </c>
      <c r="BG492">
        <f t="shared" si="401"/>
        <v>-193.86846066806717</v>
      </c>
      <c r="BH492">
        <f t="shared" si="412"/>
        <v>-13.868460668067172</v>
      </c>
      <c r="BI492">
        <f t="shared" si="413"/>
        <v>-13.868460668067172</v>
      </c>
      <c r="BJ492">
        <f t="shared" si="402"/>
        <v>0</v>
      </c>
      <c r="BK492">
        <f t="shared" si="414"/>
        <v>0</v>
      </c>
      <c r="BM492">
        <f t="shared" si="415"/>
        <v>-48.036590725227491</v>
      </c>
      <c r="BN492">
        <f t="shared" si="403"/>
        <v>-121.34875702788825</v>
      </c>
      <c r="BQ492" s="75">
        <f t="shared" si="416"/>
        <v>27.335068820211834</v>
      </c>
    </row>
    <row r="493" spans="1:69">
      <c r="A493">
        <f t="shared" si="420"/>
        <v>1395000</v>
      </c>
      <c r="B493">
        <f t="shared" si="404"/>
        <v>1395</v>
      </c>
      <c r="C493">
        <f t="shared" si="373"/>
        <v>1.9125563682088389</v>
      </c>
      <c r="D493">
        <f t="shared" si="374"/>
        <v>1.020593179225062</v>
      </c>
      <c r="F493">
        <f t="shared" si="375"/>
        <v>2.2925889211780341E-4</v>
      </c>
      <c r="G493">
        <f t="shared" si="376"/>
        <v>4.6490350801584425E-3</v>
      </c>
      <c r="H493">
        <f t="shared" si="377"/>
        <v>-3.1369436149198417</v>
      </c>
      <c r="J493">
        <f t="shared" si="378"/>
        <v>9</v>
      </c>
      <c r="M493">
        <f t="shared" si="379"/>
        <v>3.0256063718784635E-3</v>
      </c>
      <c r="N493">
        <f t="shared" si="380"/>
        <v>-1.5707963250000001</v>
      </c>
      <c r="O493">
        <f t="shared" si="381"/>
        <v>179.4056972261036</v>
      </c>
      <c r="P493">
        <f t="shared" si="382"/>
        <v>1.5652223389355149</v>
      </c>
      <c r="Q493">
        <f t="shared" si="383"/>
        <v>73.258485201964632</v>
      </c>
      <c r="R493">
        <f t="shared" si="384"/>
        <v>1.5571456069507228</v>
      </c>
      <c r="S493">
        <f t="shared" si="385"/>
        <v>0.72860915563603257</v>
      </c>
      <c r="T493">
        <f t="shared" si="386"/>
        <v>-0.75450721366251172</v>
      </c>
      <c r="U493">
        <f t="shared" si="387"/>
        <v>0.56367749689475832</v>
      </c>
      <c r="V493">
        <f t="shared" si="388"/>
        <v>-0.97196505267345301</v>
      </c>
      <c r="X493">
        <f t="shared" si="405"/>
        <v>-23.815702898891892</v>
      </c>
      <c r="Y493">
        <f t="shared" si="389"/>
        <v>-131.27901690437528</v>
      </c>
      <c r="Z493">
        <f t="shared" si="406"/>
        <v>48.720983095624717</v>
      </c>
      <c r="AC493">
        <v>1</v>
      </c>
      <c r="AD493">
        <f t="shared" si="390"/>
        <v>179.40291022495802</v>
      </c>
      <c r="AE493">
        <f t="shared" si="391"/>
        <v>-8.8058561415005048E-3</v>
      </c>
      <c r="AF493">
        <f t="shared" si="392"/>
        <v>6.0093138191436007E-3</v>
      </c>
      <c r="AG493">
        <f t="shared" si="421"/>
        <v>9408.1470695910921</v>
      </c>
      <c r="AH493">
        <f t="shared" si="422"/>
        <v>-13952.805956944992</v>
      </c>
      <c r="AJ493">
        <f t="shared" si="393"/>
        <v>55000</v>
      </c>
      <c r="AK493">
        <f t="shared" si="394"/>
        <v>51702.800307283134</v>
      </c>
      <c r="AL493">
        <v>1</v>
      </c>
      <c r="AM493">
        <f t="shared" si="395"/>
        <v>73.251659736052886</v>
      </c>
      <c r="AN493">
        <f t="shared" si="423"/>
        <v>715.94094945184429</v>
      </c>
      <c r="AO493">
        <f t="shared" si="424"/>
        <v>-741.06251307000366</v>
      </c>
      <c r="AQ493">
        <f t="shared" si="396"/>
        <v>5.8504788867376522E-3</v>
      </c>
      <c r="AR493">
        <f t="shared" si="397"/>
        <v>-4.3010673107684854</v>
      </c>
      <c r="AT493">
        <f t="shared" si="418"/>
        <v>-59956.915429117937</v>
      </c>
      <c r="AU493">
        <f t="shared" si="419"/>
        <v>-40546.704412582418</v>
      </c>
      <c r="AV493">
        <f t="shared" si="407"/>
        <v>-2.5469751293087142</v>
      </c>
      <c r="AW493">
        <f t="shared" si="408"/>
        <v>6269.2206310182837</v>
      </c>
      <c r="AX493">
        <f t="shared" si="409"/>
        <v>-20938.50434771704</v>
      </c>
      <c r="AY493">
        <f t="shared" si="417"/>
        <v>-1.2798798945550192</v>
      </c>
      <c r="BA493">
        <f t="shared" si="398"/>
        <v>3.3115408190699238</v>
      </c>
      <c r="BB493">
        <f t="shared" si="410"/>
        <v>10.400602253263253</v>
      </c>
      <c r="BC493">
        <f t="shared" si="411"/>
        <v>-1.267095234753695</v>
      </c>
      <c r="BD493">
        <f t="shared" si="399"/>
        <v>-252.59920927548168</v>
      </c>
      <c r="BF493">
        <f t="shared" si="400"/>
        <v>-37.67573889359258</v>
      </c>
      <c r="BG493">
        <f t="shared" si="401"/>
        <v>-193.85715735002287</v>
      </c>
      <c r="BH493">
        <f t="shared" si="412"/>
        <v>-13.857157350022874</v>
      </c>
      <c r="BI493">
        <f t="shared" si="413"/>
        <v>-13.857157350022874</v>
      </c>
      <c r="BJ493">
        <f t="shared" si="402"/>
        <v>0</v>
      </c>
      <c r="BK493">
        <f t="shared" si="414"/>
        <v>0</v>
      </c>
      <c r="BM493">
        <f t="shared" si="415"/>
        <v>-48.076341146855839</v>
      </c>
      <c r="BN493">
        <f t="shared" si="403"/>
        <v>-121.2579480745412</v>
      </c>
      <c r="BQ493" s="75">
        <f t="shared" si="416"/>
        <v>27.30256305354839</v>
      </c>
    </row>
    <row r="494" spans="1:69">
      <c r="A494">
        <f t="shared" si="420"/>
        <v>1400000</v>
      </c>
      <c r="B494">
        <f t="shared" si="404"/>
        <v>1400</v>
      </c>
      <c r="C494">
        <f t="shared" si="373"/>
        <v>1.9175397913329835</v>
      </c>
      <c r="D494">
        <f t="shared" si="374"/>
        <v>1.0221865042286875</v>
      </c>
      <c r="F494">
        <f t="shared" si="375"/>
        <v>2.2762389775413564E-4</v>
      </c>
      <c r="G494">
        <f t="shared" si="376"/>
        <v>4.6324240383199987E-3</v>
      </c>
      <c r="H494">
        <f t="shared" si="377"/>
        <v>-3.1369602259616802</v>
      </c>
      <c r="J494">
        <f t="shared" si="378"/>
        <v>9</v>
      </c>
      <c r="M494">
        <f t="shared" si="379"/>
        <v>3.0148006348360403E-3</v>
      </c>
      <c r="N494">
        <f t="shared" si="380"/>
        <v>-1.5707963250000001</v>
      </c>
      <c r="O494">
        <f t="shared" si="381"/>
        <v>180.04870845628389</v>
      </c>
      <c r="P494">
        <f t="shared" si="382"/>
        <v>1.5652422456248878</v>
      </c>
      <c r="Q494">
        <f t="shared" si="383"/>
        <v>73.521011579301813</v>
      </c>
      <c r="R494">
        <f t="shared" si="384"/>
        <v>1.5571943534977819</v>
      </c>
      <c r="S494">
        <f t="shared" si="385"/>
        <v>0.72738492178915881</v>
      </c>
      <c r="T494">
        <f t="shared" si="386"/>
        <v>-0.75629290471399513</v>
      </c>
      <c r="U494">
        <f t="shared" si="387"/>
        <v>0.56230166117377944</v>
      </c>
      <c r="V494">
        <f t="shared" si="388"/>
        <v>-0.9736297786754049</v>
      </c>
      <c r="X494">
        <f t="shared" si="405"/>
        <v>-23.860030137572853</v>
      </c>
      <c r="Y494">
        <f t="shared" si="389"/>
        <v>-131.38243864300807</v>
      </c>
      <c r="Z494">
        <f t="shared" si="406"/>
        <v>48.617561356991928</v>
      </c>
      <c r="AC494">
        <v>1</v>
      </c>
      <c r="AD494">
        <f t="shared" si="390"/>
        <v>180.04593140856002</v>
      </c>
      <c r="AE494">
        <f t="shared" si="391"/>
        <v>-8.8690936844804079E-3</v>
      </c>
      <c r="AF494">
        <f t="shared" si="392"/>
        <v>6.0308525783520006E-3</v>
      </c>
      <c r="AG494">
        <f t="shared" si="421"/>
        <v>9362.2759187755564</v>
      </c>
      <c r="AH494">
        <f t="shared" si="422"/>
        <v>-13934.166211461064</v>
      </c>
      <c r="AJ494">
        <f t="shared" si="393"/>
        <v>55000</v>
      </c>
      <c r="AK494">
        <f t="shared" si="394"/>
        <v>51888.115003725004</v>
      </c>
      <c r="AL494">
        <v>1</v>
      </c>
      <c r="AM494">
        <f t="shared" si="395"/>
        <v>73.514210487795012</v>
      </c>
      <c r="AN494">
        <f t="shared" si="423"/>
        <v>715.86882994176938</v>
      </c>
      <c r="AO494">
        <f t="shared" si="424"/>
        <v>-738.41684226576297</v>
      </c>
      <c r="AQ494">
        <f t="shared" si="396"/>
        <v>5.8087644519193762E-3</v>
      </c>
      <c r="AR494">
        <f t="shared" si="397"/>
        <v>-4.2857064126261157</v>
      </c>
      <c r="AT494">
        <f t="shared" si="418"/>
        <v>-59663.362231510786</v>
      </c>
      <c r="AU494">
        <f t="shared" si="419"/>
        <v>-40204.906231227731</v>
      </c>
      <c r="AV494">
        <f t="shared" si="407"/>
        <v>-2.5486248066082577</v>
      </c>
      <c r="AW494">
        <f t="shared" si="408"/>
        <v>6249.1674399384756</v>
      </c>
      <c r="AX494">
        <f t="shared" si="409"/>
        <v>-20892.240509117881</v>
      </c>
      <c r="AY494">
        <f t="shared" si="417"/>
        <v>-1.2801523190806579</v>
      </c>
      <c r="BA494">
        <f t="shared" si="398"/>
        <v>3.2992175578224248</v>
      </c>
      <c r="BB494">
        <f t="shared" si="410"/>
        <v>10.36821909688115</v>
      </c>
      <c r="BC494">
        <f t="shared" si="411"/>
        <v>-1.2684724875275999</v>
      </c>
      <c r="BD494">
        <f t="shared" si="399"/>
        <v>-252.6781200468393</v>
      </c>
      <c r="BF494">
        <f t="shared" si="400"/>
        <v>-37.747685901427531</v>
      </c>
      <c r="BG494">
        <f t="shared" si="401"/>
        <v>-193.84572906576753</v>
      </c>
      <c r="BH494">
        <f t="shared" si="412"/>
        <v>-13.845729065767529</v>
      </c>
      <c r="BI494">
        <f t="shared" si="413"/>
        <v>-13.845729065767529</v>
      </c>
      <c r="BJ494">
        <f t="shared" si="402"/>
        <v>0</v>
      </c>
      <c r="BK494">
        <f t="shared" si="414"/>
        <v>0</v>
      </c>
      <c r="BM494">
        <f t="shared" si="415"/>
        <v>-48.115904998308679</v>
      </c>
      <c r="BN494">
        <f t="shared" si="403"/>
        <v>-121.16760901892825</v>
      </c>
      <c r="BQ494" s="75">
        <f t="shared" si="416"/>
        <v>27.270179897166287</v>
      </c>
    </row>
    <row r="495" spans="1:69">
      <c r="A495">
        <f t="shared" si="420"/>
        <v>1405000</v>
      </c>
      <c r="B495">
        <f t="shared" si="404"/>
        <v>1405</v>
      </c>
      <c r="C495">
        <f t="shared" si="373"/>
        <v>1.9225280572415886</v>
      </c>
      <c r="D495">
        <f t="shared" si="374"/>
        <v>1.0237715650331276</v>
      </c>
      <c r="F495">
        <f t="shared" si="375"/>
        <v>2.2600633278777073E-4</v>
      </c>
      <c r="G495">
        <f t="shared" si="376"/>
        <v>4.6159313025589442E-3</v>
      </c>
      <c r="H495">
        <f t="shared" si="377"/>
        <v>-3.1369767186974413</v>
      </c>
      <c r="J495">
        <f t="shared" si="378"/>
        <v>9</v>
      </c>
      <c r="M495">
        <f t="shared" si="379"/>
        <v>3.0040718069540618E-3</v>
      </c>
      <c r="N495">
        <f t="shared" si="380"/>
        <v>-1.5707963250000001</v>
      </c>
      <c r="O495">
        <f t="shared" si="381"/>
        <v>180.69171975730538</v>
      </c>
      <c r="P495">
        <f t="shared" si="382"/>
        <v>1.5652620106339941</v>
      </c>
      <c r="Q495">
        <f t="shared" si="383"/>
        <v>73.783538130098293</v>
      </c>
      <c r="R495">
        <f t="shared" si="384"/>
        <v>1.5572427531582869</v>
      </c>
      <c r="S495">
        <f t="shared" si="385"/>
        <v>0.72616249117450504</v>
      </c>
      <c r="T495">
        <f t="shared" si="386"/>
        <v>-0.75807259942104388</v>
      </c>
      <c r="U495">
        <f t="shared" si="387"/>
        <v>0.5609309822601235</v>
      </c>
      <c r="V495">
        <f t="shared" si="388"/>
        <v>-0.97528639330419553</v>
      </c>
      <c r="X495">
        <f t="shared" si="405"/>
        <v>-23.904258339796431</v>
      </c>
      <c r="Y495">
        <f t="shared" si="389"/>
        <v>-131.48554678707598</v>
      </c>
      <c r="Z495">
        <f t="shared" si="406"/>
        <v>48.514453212924025</v>
      </c>
      <c r="AC495">
        <v>1</v>
      </c>
      <c r="AD495">
        <f t="shared" si="390"/>
        <v>180.68895259216202</v>
      </c>
      <c r="AE495">
        <f t="shared" si="391"/>
        <v>-8.9325574798502245E-3</v>
      </c>
      <c r="AF495">
        <f t="shared" si="392"/>
        <v>6.0523913375604005E-3</v>
      </c>
      <c r="AG495">
        <f t="shared" si="421"/>
        <v>9316.6881694727144</v>
      </c>
      <c r="AH495">
        <f t="shared" si="422"/>
        <v>-13915.467110162734</v>
      </c>
      <c r="AJ495">
        <f t="shared" si="393"/>
        <v>55000</v>
      </c>
      <c r="AK495">
        <f t="shared" si="394"/>
        <v>52073.429700166875</v>
      </c>
      <c r="AL495">
        <v>1</v>
      </c>
      <c r="AM495">
        <f t="shared" si="395"/>
        <v>73.776761239537137</v>
      </c>
      <c r="AN495">
        <f t="shared" si="423"/>
        <v>715.79747883144807</v>
      </c>
      <c r="AO495">
        <f t="shared" si="424"/>
        <v>-735.78999144350519</v>
      </c>
      <c r="AQ495">
        <f t="shared" si="396"/>
        <v>5.7674945729459543E-3</v>
      </c>
      <c r="AR495">
        <f t="shared" si="397"/>
        <v>-4.2704548441192376</v>
      </c>
      <c r="AT495">
        <f t="shared" si="418"/>
        <v>-59371.63998032111</v>
      </c>
      <c r="AU495">
        <f t="shared" si="419"/>
        <v>-39866.75350551102</v>
      </c>
      <c r="AV495">
        <f t="shared" si="407"/>
        <v>-2.5502664796385508</v>
      </c>
      <c r="AW495">
        <f t="shared" si="408"/>
        <v>6229.1379802132888</v>
      </c>
      <c r="AX495">
        <f t="shared" si="409"/>
        <v>-20846.131893142341</v>
      </c>
      <c r="AY495">
        <f t="shared" si="417"/>
        <v>-1.2804269950415592</v>
      </c>
      <c r="BA495">
        <f t="shared" si="398"/>
        <v>3.2869862127594844</v>
      </c>
      <c r="BB495">
        <f t="shared" si="410"/>
        <v>10.335957648805994</v>
      </c>
      <c r="BC495">
        <f t="shared" si="411"/>
        <v>-1.2698394845969916</v>
      </c>
      <c r="BD495">
        <f t="shared" si="399"/>
        <v>-252.75644320961169</v>
      </c>
      <c r="BF495">
        <f t="shared" si="400"/>
        <v>-37.819326262283127</v>
      </c>
      <c r="BG495">
        <f t="shared" si="401"/>
        <v>-193.83417989822294</v>
      </c>
      <c r="BH495">
        <f t="shared" si="412"/>
        <v>-13.834179898222942</v>
      </c>
      <c r="BI495">
        <f t="shared" si="413"/>
        <v>-13.834179898222942</v>
      </c>
      <c r="BJ495">
        <f t="shared" si="402"/>
        <v>0</v>
      </c>
      <c r="BK495">
        <f t="shared" si="414"/>
        <v>0</v>
      </c>
      <c r="BM495">
        <f t="shared" si="415"/>
        <v>-48.155283911089121</v>
      </c>
      <c r="BN495">
        <f t="shared" si="403"/>
        <v>-121.07773668861125</v>
      </c>
      <c r="BQ495" s="75">
        <f t="shared" si="416"/>
        <v>27.237918449091133</v>
      </c>
    </row>
    <row r="496" spans="1:69">
      <c r="A496">
        <f t="shared" si="420"/>
        <v>1410000</v>
      </c>
      <c r="B496">
        <f t="shared" si="404"/>
        <v>1410</v>
      </c>
      <c r="C496">
        <f t="shared" si="373"/>
        <v>1.9275211283364722</v>
      </c>
      <c r="D496">
        <f t="shared" si="374"/>
        <v>1.025348417865694</v>
      </c>
      <c r="F496">
        <f t="shared" si="375"/>
        <v>2.2440595034368965E-4</v>
      </c>
      <c r="G496">
        <f t="shared" si="376"/>
        <v>4.5995556131987912E-3</v>
      </c>
      <c r="H496">
        <f t="shared" si="377"/>
        <v>-3.1369930943868014</v>
      </c>
      <c r="J496">
        <f t="shared" si="378"/>
        <v>9</v>
      </c>
      <c r="M496">
        <f t="shared" si="379"/>
        <v>2.9934190700499695E-3</v>
      </c>
      <c r="N496">
        <f t="shared" si="380"/>
        <v>-1.5707963250000001</v>
      </c>
      <c r="O496">
        <f t="shared" si="381"/>
        <v>181.33473112841449</v>
      </c>
      <c r="P496">
        <f t="shared" si="382"/>
        <v>1.565281635470009</v>
      </c>
      <c r="Q496">
        <f t="shared" si="383"/>
        <v>74.046064852509133</v>
      </c>
      <c r="R496">
        <f t="shared" si="384"/>
        <v>1.557290809621618</v>
      </c>
      <c r="S496">
        <f t="shared" si="385"/>
        <v>0.72494187788837738</v>
      </c>
      <c r="T496">
        <f t="shared" si="386"/>
        <v>-0.75984631671952085</v>
      </c>
      <c r="U496">
        <f t="shared" si="387"/>
        <v>0.55956544502238903</v>
      </c>
      <c r="V496">
        <f t="shared" si="388"/>
        <v>-0.97693494667310865</v>
      </c>
      <c r="X496">
        <f t="shared" si="405"/>
        <v>-23.948388039814642</v>
      </c>
      <c r="Y496">
        <f t="shared" si="389"/>
        <v>-131.58834184564947</v>
      </c>
      <c r="Z496">
        <f t="shared" si="406"/>
        <v>48.411658154350533</v>
      </c>
      <c r="AC496">
        <v>1</v>
      </c>
      <c r="AD496">
        <f t="shared" si="390"/>
        <v>181.33197377576403</v>
      </c>
      <c r="AE496">
        <f t="shared" si="391"/>
        <v>-8.9962475276099494E-3</v>
      </c>
      <c r="AF496">
        <f t="shared" si="392"/>
        <v>6.0739300967688004E-3</v>
      </c>
      <c r="AG496">
        <f t="shared" si="421"/>
        <v>9271.3820644899006</v>
      </c>
      <c r="AH496">
        <f t="shared" si="422"/>
        <v>-13896.710470885655</v>
      </c>
      <c r="AJ496">
        <f t="shared" si="393"/>
        <v>55000</v>
      </c>
      <c r="AK496">
        <f t="shared" si="394"/>
        <v>52258.744396608759</v>
      </c>
      <c r="AL496">
        <v>1</v>
      </c>
      <c r="AM496">
        <f t="shared" si="395"/>
        <v>74.039311991279249</v>
      </c>
      <c r="AN496">
        <f t="shared" si="423"/>
        <v>715.72688524426042</v>
      </c>
      <c r="AO496">
        <f t="shared" si="424"/>
        <v>-733.18176053755928</v>
      </c>
      <c r="AQ496">
        <f t="shared" si="396"/>
        <v>5.7266629552735144E-3</v>
      </c>
      <c r="AR496">
        <f t="shared" si="397"/>
        <v>-4.2553114421750902</v>
      </c>
      <c r="AT496">
        <f t="shared" si="418"/>
        <v>-59081.736995141211</v>
      </c>
      <c r="AU496">
        <f t="shared" si="419"/>
        <v>-39532.199960854567</v>
      </c>
      <c r="AV496">
        <f t="shared" si="407"/>
        <v>-2.5519001973735338</v>
      </c>
      <c r="AW496">
        <f t="shared" si="408"/>
        <v>6209.1340010475642</v>
      </c>
      <c r="AX496">
        <f t="shared" si="409"/>
        <v>-20800.177895640372</v>
      </c>
      <c r="AY496">
        <f t="shared" si="417"/>
        <v>-1.2807038468474738</v>
      </c>
      <c r="BA496">
        <f t="shared" si="398"/>
        <v>3.2748457643767739</v>
      </c>
      <c r="BB496">
        <f t="shared" si="410"/>
        <v>10.3038170162817</v>
      </c>
      <c r="BC496">
        <f t="shared" si="411"/>
        <v>-1.2711963505260599</v>
      </c>
      <c r="BD496">
        <f t="shared" si="399"/>
        <v>-252.83418590080123</v>
      </c>
      <c r="BF496">
        <f t="shared" si="400"/>
        <v>-37.890662480798774</v>
      </c>
      <c r="BG496">
        <f t="shared" si="401"/>
        <v>-193.82251383497797</v>
      </c>
      <c r="BH496">
        <f t="shared" si="412"/>
        <v>-13.822513834977968</v>
      </c>
      <c r="BI496">
        <f t="shared" si="413"/>
        <v>-13.822513834977968</v>
      </c>
      <c r="BJ496">
        <f t="shared" si="402"/>
        <v>0</v>
      </c>
      <c r="BK496">
        <f t="shared" si="414"/>
        <v>0</v>
      </c>
      <c r="BM496">
        <f t="shared" si="415"/>
        <v>-48.194479497080479</v>
      </c>
      <c r="BN496">
        <f t="shared" si="403"/>
        <v>-120.98832793417674</v>
      </c>
      <c r="BQ496" s="75">
        <f t="shared" si="416"/>
        <v>27.205777816566837</v>
      </c>
    </row>
    <row r="497" spans="1:69">
      <c r="A497">
        <f t="shared" si="420"/>
        <v>1415000</v>
      </c>
      <c r="B497">
        <f t="shared" si="404"/>
        <v>1415</v>
      </c>
      <c r="C497">
        <f t="shared" si="373"/>
        <v>1.9325189673719931</v>
      </c>
      <c r="D497">
        <f t="shared" si="374"/>
        <v>1.0269171185361543</v>
      </c>
      <c r="F497">
        <f t="shared" si="375"/>
        <v>2.2282250790276386E-4</v>
      </c>
      <c r="G497">
        <f t="shared" si="376"/>
        <v>4.5832957283870289E-3</v>
      </c>
      <c r="H497">
        <f t="shared" si="377"/>
        <v>-3.1370093542716133</v>
      </c>
      <c r="J497">
        <f t="shared" si="378"/>
        <v>9</v>
      </c>
      <c r="M497">
        <f t="shared" si="379"/>
        <v>2.9828416175056234E-3</v>
      </c>
      <c r="N497">
        <f t="shared" si="380"/>
        <v>-1.5707963250000001</v>
      </c>
      <c r="O497">
        <f t="shared" si="381"/>
        <v>181.97774256886828</v>
      </c>
      <c r="P497">
        <f t="shared" si="382"/>
        <v>1.565301121618806</v>
      </c>
      <c r="Q497">
        <f t="shared" si="383"/>
        <v>74.308591744715429</v>
      </c>
      <c r="R497">
        <f t="shared" si="384"/>
        <v>1.5573385265250246</v>
      </c>
      <c r="S497">
        <f t="shared" si="385"/>
        <v>0.72372309576473282</v>
      </c>
      <c r="T497">
        <f t="shared" si="386"/>
        <v>-0.76161407556874794</v>
      </c>
      <c r="U497">
        <f t="shared" si="387"/>
        <v>0.55820503418707479</v>
      </c>
      <c r="V497">
        <f t="shared" si="388"/>
        <v>-0.97857548858417243</v>
      </c>
      <c r="X497">
        <f t="shared" si="405"/>
        <v>-23.992419765595514</v>
      </c>
      <c r="Y497">
        <f t="shared" si="389"/>
        <v>-131.69082433841916</v>
      </c>
      <c r="Z497">
        <f t="shared" si="406"/>
        <v>48.309175661580838</v>
      </c>
      <c r="AC497">
        <v>1</v>
      </c>
      <c r="AD497">
        <f t="shared" si="390"/>
        <v>181.97499495936603</v>
      </c>
      <c r="AE497">
        <f t="shared" si="391"/>
        <v>-9.0601638277595861E-3</v>
      </c>
      <c r="AF497">
        <f t="shared" si="392"/>
        <v>6.0954688559772003E-3</v>
      </c>
      <c r="AG497">
        <f t="shared" si="421"/>
        <v>9226.3558515376499</v>
      </c>
      <c r="AH497">
        <f t="shared" si="422"/>
        <v>-13877.898082472922</v>
      </c>
      <c r="AJ497">
        <f t="shared" si="393"/>
        <v>55000</v>
      </c>
      <c r="AK497">
        <f t="shared" si="394"/>
        <v>52444.05909305063</v>
      </c>
      <c r="AL497">
        <v>1</v>
      </c>
      <c r="AM497">
        <f t="shared" si="395"/>
        <v>74.301862743021388</v>
      </c>
      <c r="AN497">
        <f t="shared" si="423"/>
        <v>715.65703849534225</v>
      </c>
      <c r="AO497">
        <f t="shared" si="424"/>
        <v>-730.59195230745649</v>
      </c>
      <c r="AQ497">
        <f t="shared" si="396"/>
        <v>5.6862634153719786E-3</v>
      </c>
      <c r="AR497">
        <f t="shared" si="397"/>
        <v>-4.240275060159961</v>
      </c>
      <c r="AT497">
        <f t="shared" si="418"/>
        <v>-58793.641636815875</v>
      </c>
      <c r="AU497">
        <f t="shared" si="419"/>
        <v>-39201.199997584641</v>
      </c>
      <c r="AV497">
        <f t="shared" si="407"/>
        <v>-2.5535260084919948</v>
      </c>
      <c r="AW497">
        <f t="shared" si="408"/>
        <v>6189.1571966893771</v>
      </c>
      <c r="AX497">
        <f t="shared" si="409"/>
        <v>-20754.377918832546</v>
      </c>
      <c r="AY497">
        <f t="shared" si="417"/>
        <v>-1.2809828006368416</v>
      </c>
      <c r="BA497">
        <f t="shared" si="398"/>
        <v>3.2627952079021263</v>
      </c>
      <c r="BB497">
        <f t="shared" si="410"/>
        <v>10.271796315664423</v>
      </c>
      <c r="BC497">
        <f t="shared" si="411"/>
        <v>-1.2725432078551533</v>
      </c>
      <c r="BD497">
        <f t="shared" si="399"/>
        <v>-252.9113551414527</v>
      </c>
      <c r="BF497">
        <f t="shared" si="400"/>
        <v>-37.961697033172804</v>
      </c>
      <c r="BG497">
        <f t="shared" si="401"/>
        <v>-193.81073477056617</v>
      </c>
      <c r="BH497">
        <f t="shared" si="412"/>
        <v>-13.810734770566171</v>
      </c>
      <c r="BI497">
        <f t="shared" si="413"/>
        <v>-13.810734770566171</v>
      </c>
      <c r="BJ497">
        <f t="shared" si="402"/>
        <v>0</v>
      </c>
      <c r="BK497">
        <f t="shared" si="414"/>
        <v>0</v>
      </c>
      <c r="BM497">
        <f t="shared" si="415"/>
        <v>-48.233493348837229</v>
      </c>
      <c r="BN497">
        <f t="shared" si="403"/>
        <v>-120.89937962911347</v>
      </c>
      <c r="BQ497" s="75">
        <f t="shared" si="416"/>
        <v>27.173757115949559</v>
      </c>
    </row>
    <row r="498" spans="1:69">
      <c r="A498">
        <f t="shared" si="420"/>
        <v>1420000</v>
      </c>
      <c r="B498">
        <f t="shared" si="404"/>
        <v>1420</v>
      </c>
      <c r="C498">
        <f t="shared" si="373"/>
        <v>1.9375215374514259</v>
      </c>
      <c r="D498">
        <f t="shared" si="374"/>
        <v>1.0284777224391985</v>
      </c>
      <c r="F498">
        <f t="shared" si="375"/>
        <v>2.212557672098469E-4</v>
      </c>
      <c r="G498">
        <f t="shared" si="376"/>
        <v>4.567150423780913E-3</v>
      </c>
      <c r="H498">
        <f t="shared" si="377"/>
        <v>-3.1370254995762195</v>
      </c>
      <c r="J498">
        <f t="shared" si="378"/>
        <v>9</v>
      </c>
      <c r="M498">
        <f t="shared" si="379"/>
        <v>2.9723386540637022E-3</v>
      </c>
      <c r="N498">
        <f t="shared" si="380"/>
        <v>-1.5707963250000001</v>
      </c>
      <c r="O498">
        <f t="shared" si="381"/>
        <v>182.62075407793424</v>
      </c>
      <c r="P498">
        <f t="shared" si="382"/>
        <v>1.5653204705453325</v>
      </c>
      <c r="Q498">
        <f t="shared" si="383"/>
        <v>74.571118804923856</v>
      </c>
      <c r="R498">
        <f t="shared" si="384"/>
        <v>1.5573859074545429</v>
      </c>
      <c r="S498">
        <f t="shared" si="385"/>
        <v>0.72250615837780874</v>
      </c>
      <c r="T498">
        <f t="shared" si="386"/>
        <v>-0.76337589494984259</v>
      </c>
      <c r="U498">
        <f t="shared" si="387"/>
        <v>0.55684973434375651</v>
      </c>
      <c r="V498">
        <f t="shared" si="388"/>
        <v>-0.98020806852904596</v>
      </c>
      <c r="X498">
        <f t="shared" si="405"/>
        <v>-24.036354038935016</v>
      </c>
      <c r="Y498">
        <f t="shared" si="389"/>
        <v>-131.79299479545386</v>
      </c>
      <c r="Z498">
        <f t="shared" si="406"/>
        <v>48.207005204546135</v>
      </c>
      <c r="AC498">
        <v>1</v>
      </c>
      <c r="AD498">
        <f t="shared" si="390"/>
        <v>182.618016142968</v>
      </c>
      <c r="AE498">
        <f t="shared" si="391"/>
        <v>-9.1243063802991312E-3</v>
      </c>
      <c r="AF498">
        <f t="shared" si="392"/>
        <v>6.1170076151856002E-3</v>
      </c>
      <c r="AG498">
        <f t="shared" si="421"/>
        <v>9181.6077834114167</v>
      </c>
      <c r="AH498">
        <f t="shared" si="422"/>
        <v>-13859.031705163688</v>
      </c>
      <c r="AJ498">
        <f t="shared" si="393"/>
        <v>55000</v>
      </c>
      <c r="AK498">
        <f t="shared" si="394"/>
        <v>52629.373789492507</v>
      </c>
      <c r="AL498">
        <v>1</v>
      </c>
      <c r="AM498">
        <f t="shared" si="395"/>
        <v>74.564413494763514</v>
      </c>
      <c r="AN498">
        <f t="shared" si="423"/>
        <v>715.58792808754436</v>
      </c>
      <c r="AO498">
        <f t="shared" si="424"/>
        <v>-728.02037228824611</v>
      </c>
      <c r="AQ498">
        <f t="shared" si="396"/>
        <v>5.6462898783838367E-3</v>
      </c>
      <c r="AR498">
        <f t="shared" si="397"/>
        <v>-4.2253445675897607</v>
      </c>
      <c r="AT498">
        <f t="shared" si="418"/>
        <v>-58507.342308372885</v>
      </c>
      <c r="AU498">
        <f t="shared" si="419"/>
        <v>-38873.708679818366</v>
      </c>
      <c r="AV498">
        <f t="shared" si="407"/>
        <v>-2.5551439613781728</v>
      </c>
      <c r="AW498">
        <f t="shared" si="408"/>
        <v>6169.2092078522119</v>
      </c>
      <c r="AX498">
        <f t="shared" si="409"/>
        <v>-20708.731371066679</v>
      </c>
      <c r="AY498">
        <f t="shared" si="417"/>
        <v>-1.2812637842365124</v>
      </c>
      <c r="BA498">
        <f t="shared" si="398"/>
        <v>3.2508335530402035</v>
      </c>
      <c r="BB498">
        <f t="shared" si="410"/>
        <v>10.239894672317289</v>
      </c>
      <c r="BC498">
        <f t="shared" si="411"/>
        <v>-1.2738801771416604</v>
      </c>
      <c r="BD498">
        <f t="shared" si="399"/>
        <v>-252.98795783899573</v>
      </c>
      <c r="BF498">
        <f t="shared" si="400"/>
        <v>-38.032432367553675</v>
      </c>
      <c r="BG498">
        <f t="shared" si="401"/>
        <v>-193.7988465086849</v>
      </c>
      <c r="BH498">
        <f t="shared" si="412"/>
        <v>-13.798846508684903</v>
      </c>
      <c r="BI498">
        <f t="shared" si="413"/>
        <v>-13.798846508684903</v>
      </c>
      <c r="BJ498">
        <f t="shared" si="402"/>
        <v>0</v>
      </c>
      <c r="BK498">
        <f t="shared" si="414"/>
        <v>0</v>
      </c>
      <c r="BM498">
        <f t="shared" si="415"/>
        <v>-48.272327039870966</v>
      </c>
      <c r="BN498">
        <f t="shared" si="403"/>
        <v>-120.81088866968918</v>
      </c>
      <c r="BQ498" s="75">
        <f t="shared" si="416"/>
        <v>27.141855472602426</v>
      </c>
    </row>
    <row r="499" spans="1:69">
      <c r="A499">
        <f t="shared" si="420"/>
        <v>1425000</v>
      </c>
      <c r="B499">
        <f t="shared" si="404"/>
        <v>1425</v>
      </c>
      <c r="C499">
        <f t="shared" si="373"/>
        <v>1.9425288020233769</v>
      </c>
      <c r="D499">
        <f t="shared" si="374"/>
        <v>1.0300302845569198</v>
      </c>
      <c r="F499">
        <f t="shared" si="375"/>
        <v>2.1970549418411951E-4</v>
      </c>
      <c r="G499">
        <f t="shared" si="376"/>
        <v>4.5511184922398789E-3</v>
      </c>
      <c r="H499">
        <f t="shared" si="377"/>
        <v>-3.1370415315077604</v>
      </c>
      <c r="J499">
        <f t="shared" si="378"/>
        <v>9</v>
      </c>
      <c r="M499">
        <f t="shared" si="379"/>
        <v>2.9619093956283907E-3</v>
      </c>
      <c r="N499">
        <f t="shared" si="380"/>
        <v>-1.5707963250000001</v>
      </c>
      <c r="O499">
        <f t="shared" si="381"/>
        <v>183.26376565489016</v>
      </c>
      <c r="P499">
        <f t="shared" si="382"/>
        <v>1.5653396836939757</v>
      </c>
      <c r="Q499">
        <f t="shared" si="383"/>
        <v>74.833646031366342</v>
      </c>
      <c r="R499">
        <f t="shared" si="384"/>
        <v>1.5574329559458935</v>
      </c>
      <c r="S499">
        <f t="shared" si="385"/>
        <v>0.72129107904474277</v>
      </c>
      <c r="T499">
        <f t="shared" si="386"/>
        <v>-0.76513179386407848</v>
      </c>
      <c r="U499">
        <f t="shared" si="387"/>
        <v>0.55549952995015506</v>
      </c>
      <c r="V499">
        <f t="shared" si="388"/>
        <v>-0.98183273568993668</v>
      </c>
      <c r="X499">
        <f t="shared" si="405"/>
        <v>-24.080191375566677</v>
      </c>
      <c r="Y499">
        <f t="shared" si="389"/>
        <v>-131.89485375696228</v>
      </c>
      <c r="Z499">
        <f t="shared" si="406"/>
        <v>48.105146243037723</v>
      </c>
      <c r="AC499">
        <v>1</v>
      </c>
      <c r="AD499">
        <f t="shared" si="390"/>
        <v>183.26103732657003</v>
      </c>
      <c r="AE499">
        <f t="shared" si="391"/>
        <v>-9.188675185228588E-3</v>
      </c>
      <c r="AF499">
        <f t="shared" si="392"/>
        <v>6.1385463743940001E-3</v>
      </c>
      <c r="AG499">
        <f t="shared" si="421"/>
        <v>9137.1361181667598</v>
      </c>
      <c r="AH499">
        <f t="shared" si="422"/>
        <v>-13840.113070977961</v>
      </c>
      <c r="AJ499">
        <f t="shared" si="393"/>
        <v>55000</v>
      </c>
      <c r="AK499">
        <f t="shared" si="394"/>
        <v>52814.688485934377</v>
      </c>
      <c r="AL499">
        <v>1</v>
      </c>
      <c r="AM499">
        <f t="shared" si="395"/>
        <v>74.826964246505625</v>
      </c>
      <c r="AN499">
        <f t="shared" si="423"/>
        <v>715.51954370748808</v>
      </c>
      <c r="AO499">
        <f t="shared" si="424"/>
        <v>-725.46682874185365</v>
      </c>
      <c r="AQ499">
        <f t="shared" si="396"/>
        <v>5.6067363758403382E-3</v>
      </c>
      <c r="AR499">
        <f t="shared" si="397"/>
        <v>-4.2105188498466983</v>
      </c>
      <c r="AT499">
        <f t="shared" si="418"/>
        <v>-58222.82745591765</v>
      </c>
      <c r="AU499">
        <f t="shared" si="419"/>
        <v>-38549.681724557027</v>
      </c>
      <c r="AV499">
        <f t="shared" si="407"/>
        <v>-2.5567541041223958</v>
      </c>
      <c r="AW499">
        <f t="shared" si="408"/>
        <v>6149.291623100341</v>
      </c>
      <c r="AX499">
        <f t="shared" si="409"/>
        <v>-20663.237666584108</v>
      </c>
      <c r="AY499">
        <f t="shared" si="417"/>
        <v>-1.2815467271224847</v>
      </c>
      <c r="BA499">
        <f t="shared" si="398"/>
        <v>3.2389598237221118</v>
      </c>
      <c r="BB499">
        <f t="shared" si="410"/>
        <v>10.208111220506071</v>
      </c>
      <c r="BC499">
        <f t="shared" si="411"/>
        <v>-1.275207376999911</v>
      </c>
      <c r="BD499">
        <f t="shared" si="399"/>
        <v>-253.06400078953072</v>
      </c>
      <c r="BF499">
        <f t="shared" si="400"/>
        <v>-38.102870904425231</v>
      </c>
      <c r="BG499">
        <f t="shared" si="401"/>
        <v>-193.78685276435669</v>
      </c>
      <c r="BH499">
        <f t="shared" si="412"/>
        <v>-13.786852764356695</v>
      </c>
      <c r="BI499">
        <f t="shared" si="413"/>
        <v>-13.786852764356695</v>
      </c>
      <c r="BJ499">
        <f t="shared" si="402"/>
        <v>0</v>
      </c>
      <c r="BK499">
        <f t="shared" si="414"/>
        <v>0</v>
      </c>
      <c r="BM499">
        <f t="shared" si="415"/>
        <v>-48.310982124931307</v>
      </c>
      <c r="BN499">
        <f t="shared" si="403"/>
        <v>-120.72285197482599</v>
      </c>
      <c r="BQ499" s="75">
        <f t="shared" si="416"/>
        <v>27.110072020791204</v>
      </c>
    </row>
    <row r="500" spans="1:69">
      <c r="A500">
        <f t="shared" si="420"/>
        <v>1430000</v>
      </c>
      <c r="B500">
        <f t="shared" si="404"/>
        <v>1430</v>
      </c>
      <c r="C500">
        <f t="shared" si="373"/>
        <v>1.9475407248782322</v>
      </c>
      <c r="D500">
        <f t="shared" si="374"/>
        <v>1.0315748594613041</v>
      </c>
      <c r="F500">
        <f t="shared" si="375"/>
        <v>2.1817145883162731E-4</v>
      </c>
      <c r="G500">
        <f t="shared" si="376"/>
        <v>4.5351987435244233E-3</v>
      </c>
      <c r="H500">
        <f t="shared" si="377"/>
        <v>-3.1370574512564757</v>
      </c>
      <c r="J500">
        <f t="shared" si="378"/>
        <v>9</v>
      </c>
      <c r="M500">
        <f t="shared" si="379"/>
        <v>2.9515530690702495E-3</v>
      </c>
      <c r="N500">
        <f t="shared" si="380"/>
        <v>-1.5707963250000001</v>
      </c>
      <c r="O500">
        <f t="shared" si="381"/>
        <v>183.90677729902393</v>
      </c>
      <c r="P500">
        <f t="shared" si="382"/>
        <v>1.5653587624889225</v>
      </c>
      <c r="Q500">
        <f t="shared" si="383"/>
        <v>75.096173422299444</v>
      </c>
      <c r="R500">
        <f t="shared" si="384"/>
        <v>1.5574796754853613</v>
      </c>
      <c r="S500">
        <f t="shared" si="385"/>
        <v>0.72007787082818209</v>
      </c>
      <c r="T500">
        <f t="shared" si="386"/>
        <v>-0.76688179133127143</v>
      </c>
      <c r="U500">
        <f t="shared" si="387"/>
        <v>0.55415440533709892</v>
      </c>
      <c r="V500">
        <f t="shared" si="388"/>
        <v>-0.98344953894054832</v>
      </c>
      <c r="X500">
        <f t="shared" si="405"/>
        <v>-24.123932285268918</v>
      </c>
      <c r="Y500">
        <f t="shared" si="389"/>
        <v>-131.99640177305841</v>
      </c>
      <c r="Z500">
        <f t="shared" si="406"/>
        <v>48.003598226941591</v>
      </c>
      <c r="AC500">
        <v>1</v>
      </c>
      <c r="AD500">
        <f t="shared" si="390"/>
        <v>183.90405851017204</v>
      </c>
      <c r="AE500">
        <f t="shared" si="391"/>
        <v>-9.2532702425479531E-3</v>
      </c>
      <c r="AF500">
        <f t="shared" si="392"/>
        <v>6.1600851336024E-3</v>
      </c>
      <c r="AG500">
        <f t="shared" si="421"/>
        <v>9092.9391192881321</v>
      </c>
      <c r="AH500">
        <f t="shared" si="422"/>
        <v>-13821.143884097553</v>
      </c>
      <c r="AJ500">
        <f t="shared" si="393"/>
        <v>55000</v>
      </c>
      <c r="AK500">
        <f t="shared" si="394"/>
        <v>53000.003182376255</v>
      </c>
      <c r="AL500">
        <v>1</v>
      </c>
      <c r="AM500">
        <f t="shared" si="395"/>
        <v>75.089514998247765</v>
      </c>
      <c r="AN500">
        <f t="shared" si="423"/>
        <v>715.45187522171852</v>
      </c>
      <c r="AO500">
        <f t="shared" si="424"/>
        <v>-722.93113260945995</v>
      </c>
      <c r="AQ500">
        <f t="shared" si="396"/>
        <v>5.567597043433483E-3</v>
      </c>
      <c r="AR500">
        <f t="shared" si="397"/>
        <v>-4.1957968079019068</v>
      </c>
      <c r="AT500">
        <f t="shared" si="418"/>
        <v>-57940.08556949281</v>
      </c>
      <c r="AU500">
        <f t="shared" si="419"/>
        <v>-38229.075490981493</v>
      </c>
      <c r="AV500">
        <f t="shared" si="407"/>
        <v>-2.5583564845217581</v>
      </c>
      <c r="AW500">
        <f t="shared" si="408"/>
        <v>6129.4059801984149</v>
      </c>
      <c r="AX500">
        <f t="shared" si="409"/>
        <v>-20617.89622529511</v>
      </c>
      <c r="AY500">
        <f t="shared" si="417"/>
        <v>-1.2818315603816317</v>
      </c>
      <c r="BA500">
        <f t="shared" si="398"/>
        <v>3.2271730578599018</v>
      </c>
      <c r="BB500">
        <f t="shared" si="410"/>
        <v>10.176445103295856</v>
      </c>
      <c r="BC500">
        <f t="shared" si="411"/>
        <v>-1.2765249241401264</v>
      </c>
      <c r="BD500">
        <f t="shared" si="399"/>
        <v>-253.13949068006087</v>
      </c>
      <c r="BF500">
        <f t="shared" si="400"/>
        <v>-38.173015036986101</v>
      </c>
      <c r="BG500">
        <f t="shared" si="401"/>
        <v>-193.77475716603601</v>
      </c>
      <c r="BH500">
        <f t="shared" si="412"/>
        <v>-13.774757166036011</v>
      </c>
      <c r="BI500">
        <f t="shared" si="413"/>
        <v>-13.774757166036011</v>
      </c>
      <c r="BJ500">
        <f t="shared" si="402"/>
        <v>0</v>
      </c>
      <c r="BK500">
        <f t="shared" si="414"/>
        <v>0</v>
      </c>
      <c r="BM500">
        <f t="shared" si="415"/>
        <v>-48.349460140281963</v>
      </c>
      <c r="BN500">
        <f t="shared" si="403"/>
        <v>-120.63526648597514</v>
      </c>
      <c r="BQ500" s="75">
        <f t="shared" si="416"/>
        <v>27.078405903580993</v>
      </c>
    </row>
    <row r="501" spans="1:69">
      <c r="A501">
        <f t="shared" si="420"/>
        <v>1435000</v>
      </c>
      <c r="B501">
        <f t="shared" si="404"/>
        <v>1435</v>
      </c>
      <c r="C501">
        <f t="shared" si="373"/>
        <v>1.9525572701446428</v>
      </c>
      <c r="D501">
        <f t="shared" si="374"/>
        <v>1.0331115013167331</v>
      </c>
      <c r="F501">
        <f t="shared" si="375"/>
        <v>2.1665343515994874E-4</v>
      </c>
      <c r="G501">
        <f t="shared" si="376"/>
        <v>4.5193900040012844E-3</v>
      </c>
      <c r="H501">
        <f t="shared" si="377"/>
        <v>-3.137073259995999</v>
      </c>
      <c r="J501">
        <f t="shared" si="378"/>
        <v>9</v>
      </c>
      <c r="M501">
        <f t="shared" si="379"/>
        <v>2.9412689120351617E-3</v>
      </c>
      <c r="N501">
        <f t="shared" si="380"/>
        <v>-1.5707963250000001</v>
      </c>
      <c r="O501">
        <f t="shared" si="381"/>
        <v>184.54978900963334</v>
      </c>
      <c r="P501">
        <f t="shared" si="382"/>
        <v>1.5653777083345115</v>
      </c>
      <c r="Q501">
        <f t="shared" si="383"/>
        <v>75.358700976004073</v>
      </c>
      <c r="R501">
        <f t="shared" si="384"/>
        <v>1.5575260695106559</v>
      </c>
      <c r="S501">
        <f t="shared" si="385"/>
        <v>0.71886654653888182</v>
      </c>
      <c r="T501">
        <f t="shared" si="386"/>
        <v>-0.76862590638819039</v>
      </c>
      <c r="U501">
        <f t="shared" si="387"/>
        <v>0.55281434471338264</v>
      </c>
      <c r="V501">
        <f t="shared" si="388"/>
        <v>-0.9850585268470583</v>
      </c>
      <c r="X501">
        <f t="shared" si="405"/>
        <v>-24.167577271970234</v>
      </c>
      <c r="Y501">
        <f t="shared" si="389"/>
        <v>-132.09763940353068</v>
      </c>
      <c r="Z501">
        <f t="shared" si="406"/>
        <v>47.902360596469322</v>
      </c>
      <c r="AC501">
        <v>1</v>
      </c>
      <c r="AD501">
        <f t="shared" si="390"/>
        <v>184.54707969377401</v>
      </c>
      <c r="AE501">
        <f t="shared" si="391"/>
        <v>-9.3180915522572301E-3</v>
      </c>
      <c r="AF501">
        <f t="shared" si="392"/>
        <v>6.1816238928108008E-3</v>
      </c>
      <c r="AG501">
        <f t="shared" si="421"/>
        <v>9049.015055851467</v>
      </c>
      <c r="AH501">
        <f t="shared" si="422"/>
        <v>-13802.125821243229</v>
      </c>
      <c r="AJ501">
        <f t="shared" si="393"/>
        <v>55000</v>
      </c>
      <c r="AK501">
        <f t="shared" si="394"/>
        <v>53185.317878818132</v>
      </c>
      <c r="AL501">
        <v>1</v>
      </c>
      <c r="AM501">
        <f t="shared" si="395"/>
        <v>75.35206574998989</v>
      </c>
      <c r="AN501">
        <f t="shared" si="423"/>
        <v>715.38491267295137</v>
      </c>
      <c r="AO501">
        <f t="shared" si="424"/>
        <v>-720.41309746487389</v>
      </c>
      <c r="AQ501">
        <f t="shared" si="396"/>
        <v>5.5288661188422576E-3</v>
      </c>
      <c r="AR501">
        <f t="shared" si="397"/>
        <v>-4.1811773580438629</v>
      </c>
      <c r="AT501">
        <f t="shared" si="418"/>
        <v>-57659.105183903557</v>
      </c>
      <c r="AU501">
        <f t="shared" si="419"/>
        <v>-37911.84696994524</v>
      </c>
      <c r="AV501">
        <f t="shared" si="407"/>
        <v>-2.5599511500808325</v>
      </c>
      <c r="AW501">
        <f t="shared" si="408"/>
        <v>6109.5537674262659</v>
      </c>
      <c r="AX501">
        <f t="shared" si="409"/>
        <v>-20572.706472563394</v>
      </c>
      <c r="AY501">
        <f t="shared" si="417"/>
        <v>-1.2821182166743901</v>
      </c>
      <c r="BA501">
        <f t="shared" si="398"/>
        <v>3.2154723071057978</v>
      </c>
      <c r="BB501">
        <f t="shared" si="410"/>
        <v>10.14489547244863</v>
      </c>
      <c r="BC501">
        <f t="shared" si="411"/>
        <v>-1.2778329334064424</v>
      </c>
      <c r="BD501">
        <f t="shared" si="399"/>
        <v>-253.21443409067041</v>
      </c>
      <c r="BF501">
        <f t="shared" si="400"/>
        <v>-38.242867131523454</v>
      </c>
      <c r="BG501">
        <f t="shared" si="401"/>
        <v>-193.76256325766087</v>
      </c>
      <c r="BH501">
        <f t="shared" si="412"/>
        <v>-13.762563257660872</v>
      </c>
      <c r="BI501">
        <f t="shared" si="413"/>
        <v>-13.762563257660872</v>
      </c>
      <c r="BJ501">
        <f t="shared" si="402"/>
        <v>0</v>
      </c>
      <c r="BK501">
        <f t="shared" si="414"/>
        <v>0</v>
      </c>
      <c r="BM501">
        <f t="shared" si="415"/>
        <v>-48.387762603972078</v>
      </c>
      <c r="BN501">
        <f t="shared" si="403"/>
        <v>-120.54812916699046</v>
      </c>
      <c r="BQ501" s="75">
        <f t="shared" si="416"/>
        <v>27.04685627273377</v>
      </c>
    </row>
    <row r="502" spans="1:69">
      <c r="A502">
        <f t="shared" si="420"/>
        <v>1440000</v>
      </c>
      <c r="B502">
        <f t="shared" si="404"/>
        <v>1440</v>
      </c>
      <c r="C502">
        <f t="shared" si="373"/>
        <v>1.9575784022860456</v>
      </c>
      <c r="D502">
        <f t="shared" si="374"/>
        <v>1.0346402638824919</v>
      </c>
      <c r="F502">
        <f t="shared" si="375"/>
        <v>2.1515120109493499E-4</v>
      </c>
      <c r="G502">
        <f t="shared" si="376"/>
        <v>4.5036911163547745E-3</v>
      </c>
      <c r="H502">
        <f t="shared" si="377"/>
        <v>-3.1370889588836453</v>
      </c>
      <c r="J502">
        <f t="shared" si="378"/>
        <v>9</v>
      </c>
      <c r="M502">
        <f t="shared" si="379"/>
        <v>2.9310561727572616E-3</v>
      </c>
      <c r="N502">
        <f t="shared" si="380"/>
        <v>-1.5707963250000001</v>
      </c>
      <c r="O502">
        <f t="shared" si="381"/>
        <v>185.192800786026</v>
      </c>
      <c r="P502">
        <f t="shared" si="382"/>
        <v>1.5653965226155782</v>
      </c>
      <c r="Q502">
        <f t="shared" si="383"/>
        <v>75.621228690784974</v>
      </c>
      <c r="R502">
        <f t="shared" si="384"/>
        <v>1.5575721414117556</v>
      </c>
      <c r="S502">
        <f t="shared" si="385"/>
        <v>0.71765711873829374</v>
      </c>
      <c r="T502">
        <f t="shared" si="386"/>
        <v>-0.77036415808699277</v>
      </c>
      <c r="U502">
        <f t="shared" si="387"/>
        <v>0.55147933217052347</v>
      </c>
      <c r="V502">
        <f t="shared" si="388"/>
        <v>-0.9866597476691239</v>
      </c>
      <c r="X502">
        <f t="shared" si="405"/>
        <v>-24.21112683385207</v>
      </c>
      <c r="Y502">
        <f t="shared" si="389"/>
        <v>-132.19856721761442</v>
      </c>
      <c r="Z502">
        <f t="shared" si="406"/>
        <v>47.801432782385575</v>
      </c>
      <c r="AC502">
        <v>1</v>
      </c>
      <c r="AD502">
        <f t="shared" si="390"/>
        <v>185.19010087737604</v>
      </c>
      <c r="AE502">
        <f t="shared" si="391"/>
        <v>-9.3831391143564171E-3</v>
      </c>
      <c r="AF502">
        <f t="shared" si="392"/>
        <v>6.2031626520192007E-3</v>
      </c>
      <c r="AG502">
        <f t="shared" si="421"/>
        <v>9005.3622026806916</v>
      </c>
      <c r="AH502">
        <f t="shared" si="422"/>
        <v>-13783.060532048004</v>
      </c>
      <c r="AJ502">
        <f t="shared" si="393"/>
        <v>55000</v>
      </c>
      <c r="AK502">
        <f t="shared" si="394"/>
        <v>53370.63257526001</v>
      </c>
      <c r="AL502">
        <v>1</v>
      </c>
      <c r="AM502">
        <f t="shared" si="395"/>
        <v>75.614616501732002</v>
      </c>
      <c r="AN502">
        <f t="shared" si="423"/>
        <v>715.31864627641085</v>
      </c>
      <c r="AO502">
        <f t="shared" si="424"/>
        <v>-717.91253946887593</v>
      </c>
      <c r="AQ502">
        <f t="shared" si="396"/>
        <v>5.4905379396116066E-3</v>
      </c>
      <c r="AR502">
        <f t="shared" si="397"/>
        <v>-4.1666594316124561</v>
      </c>
      <c r="AT502">
        <f t="shared" si="418"/>
        <v>-57379.874879509451</v>
      </c>
      <c r="AU502">
        <f t="shared" si="419"/>
        <v>-37597.953773661</v>
      </c>
      <c r="AV502">
        <f t="shared" si="407"/>
        <v>-2.5615381480124153</v>
      </c>
      <c r="AW502">
        <f t="shared" si="408"/>
        <v>6089.7364248598897</v>
      </c>
      <c r="AX502">
        <f t="shared" si="409"/>
        <v>-20527.667838999158</v>
      </c>
      <c r="AY502">
        <f t="shared" si="417"/>
        <v>-1.2824066301983799</v>
      </c>
      <c r="BA502">
        <f t="shared" si="398"/>
        <v>3.2038566366160945</v>
      </c>
      <c r="BB502">
        <f t="shared" si="410"/>
        <v>10.113461488321793</v>
      </c>
      <c r="BC502">
        <f t="shared" si="411"/>
        <v>-1.2791315178140354</v>
      </c>
      <c r="BD502">
        <f t="shared" si="399"/>
        <v>-253.28883749665201</v>
      </c>
      <c r="BF502">
        <f t="shared" si="400"/>
        <v>-38.312429527781035</v>
      </c>
      <c r="BG502">
        <f t="shared" si="401"/>
        <v>-193.75027450065303</v>
      </c>
      <c r="BH502">
        <f t="shared" si="412"/>
        <v>-13.750274500653035</v>
      </c>
      <c r="BI502">
        <f t="shared" si="413"/>
        <v>-13.750274500653035</v>
      </c>
      <c r="BJ502">
        <f t="shared" si="402"/>
        <v>0</v>
      </c>
      <c r="BK502">
        <f t="shared" si="414"/>
        <v>0</v>
      </c>
      <c r="BM502">
        <f t="shared" si="415"/>
        <v>-48.425891016102831</v>
      </c>
      <c r="BN502">
        <f t="shared" si="403"/>
        <v>-120.46143700400101</v>
      </c>
      <c r="BQ502" s="75">
        <f t="shared" si="416"/>
        <v>27.015422288606928</v>
      </c>
    </row>
    <row r="503" spans="1:69">
      <c r="A503">
        <f t="shared" si="420"/>
        <v>1445000</v>
      </c>
      <c r="B503">
        <f t="shared" si="404"/>
        <v>1445</v>
      </c>
      <c r="C503">
        <f t="shared" si="373"/>
        <v>1.962604086097216</v>
      </c>
      <c r="D503">
        <f t="shared" si="374"/>
        <v>1.0361612005152896</v>
      </c>
      <c r="F503">
        <f t="shared" si="375"/>
        <v>2.1366453839946351E-4</v>
      </c>
      <c r="G503">
        <f t="shared" si="376"/>
        <v>4.4881009393041172E-3</v>
      </c>
      <c r="H503">
        <f t="shared" si="377"/>
        <v>-3.1371045490606959</v>
      </c>
      <c r="J503">
        <f t="shared" si="378"/>
        <v>9</v>
      </c>
      <c r="M503">
        <f t="shared" si="379"/>
        <v>2.9209141098757488E-3</v>
      </c>
      <c r="N503">
        <f t="shared" si="380"/>
        <v>-1.5707963250000001</v>
      </c>
      <c r="O503">
        <f t="shared" si="381"/>
        <v>185.83581262751903</v>
      </c>
      <c r="P503">
        <f t="shared" si="382"/>
        <v>1.5654152066977911</v>
      </c>
      <c r="Q503">
        <f t="shared" si="383"/>
        <v>75.883756564970383</v>
      </c>
      <c r="R503">
        <f t="shared" si="384"/>
        <v>1.5576178945317316</v>
      </c>
      <c r="S503">
        <f t="shared" si="385"/>
        <v>0.71644959974114297</v>
      </c>
      <c r="T503">
        <f t="shared" si="386"/>
        <v>-0.77209656549368355</v>
      </c>
      <c r="U503">
        <f t="shared" si="387"/>
        <v>0.55014935168741608</v>
      </c>
      <c r="V503">
        <f t="shared" si="388"/>
        <v>-0.98825324936091508</v>
      </c>
      <c r="X503">
        <f t="shared" si="405"/>
        <v>-24.254581463449725</v>
      </c>
      <c r="Y503">
        <f t="shared" si="389"/>
        <v>-132.29918579376826</v>
      </c>
      <c r="Z503">
        <f t="shared" si="406"/>
        <v>47.70081420623174</v>
      </c>
      <c r="AC503">
        <v>1</v>
      </c>
      <c r="AD503">
        <f t="shared" si="390"/>
        <v>185.83312206097801</v>
      </c>
      <c r="AE503">
        <f t="shared" si="391"/>
        <v>-9.4484129288455142E-3</v>
      </c>
      <c r="AF503">
        <f t="shared" si="392"/>
        <v>6.2247014112276006E-3</v>
      </c>
      <c r="AG503">
        <f t="shared" si="421"/>
        <v>8961.9788404982992</v>
      </c>
      <c r="AH503">
        <f t="shared" si="422"/>
        <v>-13763.949639426548</v>
      </c>
      <c r="AJ503">
        <f t="shared" si="393"/>
        <v>55000</v>
      </c>
      <c r="AK503">
        <f t="shared" si="394"/>
        <v>53555.94727170188</v>
      </c>
      <c r="AL503">
        <v>1</v>
      </c>
      <c r="AM503">
        <f t="shared" si="395"/>
        <v>75.877167253474141</v>
      </c>
      <c r="AN503">
        <f t="shared" si="423"/>
        <v>715.25306641625446</v>
      </c>
      <c r="AO503">
        <f t="shared" si="424"/>
        <v>-715.42927732450698</v>
      </c>
      <c r="AQ503">
        <f t="shared" si="396"/>
        <v>5.4526069410827001E-3</v>
      </c>
      <c r="AR503">
        <f t="shared" si="397"/>
        <v>-4.152241974738593</v>
      </c>
      <c r="AT503">
        <f t="shared" si="418"/>
        <v>-57102.383282983501</v>
      </c>
      <c r="AU503">
        <f t="shared" si="419"/>
        <v>-37287.354125576792</v>
      </c>
      <c r="AV503">
        <f t="shared" si="407"/>
        <v>-2.5631175252383032</v>
      </c>
      <c r="AW503">
        <f t="shared" si="408"/>
        <v>6069.9553456194299</v>
      </c>
      <c r="AX503">
        <f t="shared" si="409"/>
        <v>-20482.779760260386</v>
      </c>
      <c r="AY503">
        <f t="shared" si="417"/>
        <v>-1.2826967366529372</v>
      </c>
      <c r="BA503">
        <f t="shared" si="398"/>
        <v>3.1923251248196363</v>
      </c>
      <c r="BB503">
        <f t="shared" si="410"/>
        <v>10.082142319767737</v>
      </c>
      <c r="BC503">
        <f t="shared" si="411"/>
        <v>-1.280420788585366</v>
      </c>
      <c r="BD503">
        <f t="shared" si="399"/>
        <v>-253.36270727058326</v>
      </c>
      <c r="BF503">
        <f t="shared" si="400"/>
        <v>-38.381704539321746</v>
      </c>
      <c r="BG503">
        <f t="shared" si="401"/>
        <v>-193.73789427586638</v>
      </c>
      <c r="BH503">
        <f t="shared" si="412"/>
        <v>-13.737894275866381</v>
      </c>
      <c r="BI503">
        <f t="shared" si="413"/>
        <v>-13.737894275866381</v>
      </c>
      <c r="BJ503">
        <f t="shared" si="402"/>
        <v>0</v>
      </c>
      <c r="BK503">
        <f t="shared" si="414"/>
        <v>0</v>
      </c>
      <c r="BM503">
        <f t="shared" si="415"/>
        <v>-48.463846859089479</v>
      </c>
      <c r="BN503">
        <f t="shared" si="403"/>
        <v>-120.37518700528317</v>
      </c>
      <c r="BQ503" s="75">
        <f t="shared" si="416"/>
        <v>26.984103120052872</v>
      </c>
    </row>
    <row r="504" spans="1:69">
      <c r="A504">
        <f t="shared" si="420"/>
        <v>1450000</v>
      </c>
      <c r="B504">
        <f t="shared" si="404"/>
        <v>1450</v>
      </c>
      <c r="C504">
        <f t="shared" si="373"/>
        <v>1.9676342867008614</v>
      </c>
      <c r="D504">
        <f t="shared" si="374"/>
        <v>1.0376743641717838</v>
      </c>
      <c r="F504">
        <f t="shared" si="375"/>
        <v>2.1219323259415128E-4</v>
      </c>
      <c r="G504">
        <f t="shared" si="376"/>
        <v>4.4726183473266382E-3</v>
      </c>
      <c r="H504">
        <f t="shared" si="377"/>
        <v>-3.1371200316526737</v>
      </c>
      <c r="J504">
        <f t="shared" si="378"/>
        <v>9</v>
      </c>
      <c r="M504">
        <f t="shared" si="379"/>
        <v>2.9108419922554874E-3</v>
      </c>
      <c r="N504">
        <f t="shared" si="380"/>
        <v>-1.5707963250000001</v>
      </c>
      <c r="O504">
        <f t="shared" si="381"/>
        <v>186.47882453343902</v>
      </c>
      <c r="P504">
        <f t="shared" si="382"/>
        <v>1.5654337619279828</v>
      </c>
      <c r="Q504">
        <f t="shared" si="383"/>
        <v>76.14628459691157</v>
      </c>
      <c r="R504">
        <f t="shared" si="384"/>
        <v>1.5576633321675573</v>
      </c>
      <c r="S504">
        <f t="shared" si="385"/>
        <v>0.71524400161799317</v>
      </c>
      <c r="T504">
        <f t="shared" si="386"/>
        <v>-0.77382314768659965</v>
      </c>
      <c r="U504">
        <f t="shared" si="387"/>
        <v>0.54882438713489012</v>
      </c>
      <c r="V504">
        <f t="shared" si="388"/>
        <v>-0.98983907957217332</v>
      </c>
      <c r="X504">
        <f t="shared" si="405"/>
        <v>-24.29794164775107</v>
      </c>
      <c r="Y504">
        <f t="shared" si="389"/>
        <v>-132.39949571945368</v>
      </c>
      <c r="Z504">
        <f t="shared" si="406"/>
        <v>47.600504280546318</v>
      </c>
      <c r="AC504">
        <v>1</v>
      </c>
      <c r="AD504">
        <f t="shared" si="390"/>
        <v>186.47614324458004</v>
      </c>
      <c r="AE504">
        <f t="shared" si="391"/>
        <v>-9.5139129957245213E-3</v>
      </c>
      <c r="AF504">
        <f t="shared" si="392"/>
        <v>6.2462401704360005E-3</v>
      </c>
      <c r="AG504">
        <f t="shared" si="421"/>
        <v>8918.8632560701571</v>
      </c>
      <c r="AH504">
        <f t="shared" si="422"/>
        <v>-13744.794739940819</v>
      </c>
      <c r="AJ504">
        <f t="shared" si="393"/>
        <v>55000</v>
      </c>
      <c r="AK504">
        <f t="shared" si="394"/>
        <v>53741.26196814375</v>
      </c>
      <c r="AL504">
        <v>1</v>
      </c>
      <c r="AM504">
        <f t="shared" si="395"/>
        <v>76.139718005216267</v>
      </c>
      <c r="AN504">
        <f t="shared" si="423"/>
        <v>715.18816364208783</v>
      </c>
      <c r="AO504">
        <f t="shared" si="424"/>
        <v>-712.96313223328332</v>
      </c>
      <c r="AQ504">
        <f t="shared" si="396"/>
        <v>5.415067654373067E-3</v>
      </c>
      <c r="AR504">
        <f t="shared" si="397"/>
        <v>-4.1379239480891785</v>
      </c>
      <c r="AT504">
        <f t="shared" si="418"/>
        <v>-56826.619068039567</v>
      </c>
      <c r="AU504">
        <f t="shared" si="419"/>
        <v>-36980.006850437581</v>
      </c>
      <c r="AV504">
        <f t="shared" si="407"/>
        <v>-2.5646893283901031</v>
      </c>
      <c r="AW504">
        <f t="shared" si="408"/>
        <v>6050.2118770851512</v>
      </c>
      <c r="AX504">
        <f t="shared" si="409"/>
        <v>-20438.041676862267</v>
      </c>
      <c r="AY504">
        <f t="shared" si="417"/>
        <v>-1.282988473204528</v>
      </c>
      <c r="BA504">
        <f t="shared" si="398"/>
        <v>3.1808768631907527</v>
      </c>
      <c r="BB504">
        <f t="shared" si="410"/>
        <v>10.05093714403432</v>
      </c>
      <c r="BC504">
        <f t="shared" si="411"/>
        <v>-1.2817008551855751</v>
      </c>
      <c r="BD504">
        <f t="shared" si="399"/>
        <v>-253.43604968435469</v>
      </c>
      <c r="BF504">
        <f t="shared" si="400"/>
        <v>-38.450694453884594</v>
      </c>
      <c r="BG504">
        <f t="shared" si="401"/>
        <v>-193.72542588548635</v>
      </c>
      <c r="BH504">
        <f t="shared" si="412"/>
        <v>-13.725425885486345</v>
      </c>
      <c r="BI504">
        <f t="shared" si="413"/>
        <v>-13.725425885486345</v>
      </c>
      <c r="BJ504">
        <f t="shared" si="402"/>
        <v>0</v>
      </c>
      <c r="BK504">
        <f t="shared" si="414"/>
        <v>0</v>
      </c>
      <c r="BM504">
        <f t="shared" si="415"/>
        <v>-48.501631597918916</v>
      </c>
      <c r="BN504">
        <f t="shared" si="403"/>
        <v>-120.28937620113166</v>
      </c>
      <c r="BQ504" s="75">
        <f t="shared" si="416"/>
        <v>26.95289794431946</v>
      </c>
    </row>
    <row r="505" spans="1:69">
      <c r="A505">
        <f t="shared" si="420"/>
        <v>1455000</v>
      </c>
      <c r="B505">
        <f t="shared" si="404"/>
        <v>1455</v>
      </c>
      <c r="C505">
        <f t="shared" si="373"/>
        <v>1.9726689695442419</v>
      </c>
      <c r="D505">
        <f t="shared" si="374"/>
        <v>1.0391798074111127</v>
      </c>
      <c r="F505">
        <f t="shared" si="375"/>
        <v>2.1073707287997209E-4</v>
      </c>
      <c r="G505">
        <f t="shared" si="376"/>
        <v>4.4572422303866778E-3</v>
      </c>
      <c r="H505">
        <f t="shared" si="377"/>
        <v>-3.1371354077696134</v>
      </c>
      <c r="J505">
        <f t="shared" si="378"/>
        <v>9</v>
      </c>
      <c r="M505">
        <f t="shared" si="379"/>
        <v>2.9008390988113104E-3</v>
      </c>
      <c r="N505">
        <f t="shared" si="380"/>
        <v>-1.5707963250000001</v>
      </c>
      <c r="O505">
        <f t="shared" si="381"/>
        <v>187.12183650312176</v>
      </c>
      <c r="P505">
        <f t="shared" si="382"/>
        <v>1.565452189634474</v>
      </c>
      <c r="Q505">
        <f t="shared" si="383"/>
        <v>76.408812784982459</v>
      </c>
      <c r="R505">
        <f t="shared" si="384"/>
        <v>1.5577084575709004</v>
      </c>
      <c r="S505">
        <f t="shared" si="385"/>
        <v>0.71404033619780083</v>
      </c>
      <c r="T505">
        <f t="shared" si="386"/>
        <v>-0.7755439237549171</v>
      </c>
      <c r="U505">
        <f t="shared" si="387"/>
        <v>0.5475044222801696</v>
      </c>
      <c r="V505">
        <f t="shared" si="388"/>
        <v>-0.99141728564929688</v>
      </c>
      <c r="X505">
        <f t="shared" si="405"/>
        <v>-24.341207868293296</v>
      </c>
      <c r="Y505">
        <f t="shared" si="389"/>
        <v>-132.49949759091814</v>
      </c>
      <c r="Z505">
        <f t="shared" si="406"/>
        <v>47.500502409081861</v>
      </c>
      <c r="AC505">
        <v>1</v>
      </c>
      <c r="AD505">
        <f t="shared" si="390"/>
        <v>187.11916442818202</v>
      </c>
      <c r="AE505">
        <f t="shared" si="391"/>
        <v>-9.5796393149934385E-3</v>
      </c>
      <c r="AF505">
        <f t="shared" si="392"/>
        <v>6.2677789296444004E-3</v>
      </c>
      <c r="AG505">
        <f t="shared" si="421"/>
        <v>8876.0137423446686</v>
      </c>
      <c r="AH505">
        <f t="shared" si="422"/>
        <v>-13725.59740416177</v>
      </c>
      <c r="AJ505">
        <f t="shared" si="393"/>
        <v>55000</v>
      </c>
      <c r="AK505">
        <f t="shared" si="394"/>
        <v>53926.576664585627</v>
      </c>
      <c r="AL505">
        <v>1</v>
      </c>
      <c r="AM505">
        <f t="shared" si="395"/>
        <v>76.402268756958378</v>
      </c>
      <c r="AN505">
        <f t="shared" si="423"/>
        <v>715.12392866555865</v>
      </c>
      <c r="AO505">
        <f t="shared" si="424"/>
        <v>-710.51392785231167</v>
      </c>
      <c r="AQ505">
        <f t="shared" si="396"/>
        <v>5.3779147044052296E-3</v>
      </c>
      <c r="AR505">
        <f t="shared" si="397"/>
        <v>-4.1237043266173643</v>
      </c>
      <c r="AT505">
        <f t="shared" si="418"/>
        <v>-56552.570956128497</v>
      </c>
      <c r="AU505">
        <f t="shared" si="419"/>
        <v>-36675.871364528481</v>
      </c>
      <c r="AV505">
        <f t="shared" si="407"/>
        <v>-2.5662536038100741</v>
      </c>
      <c r="AW505">
        <f t="shared" si="408"/>
        <v>6030.5073220822214</v>
      </c>
      <c r="AX505">
        <f t="shared" si="409"/>
        <v>-20393.45303399425</v>
      </c>
      <c r="AY505">
        <f t="shared" si="417"/>
        <v>-1.2832817784530248</v>
      </c>
      <c r="BA505">
        <f t="shared" si="398"/>
        <v>3.1695109560265955</v>
      </c>
      <c r="BB505">
        <f t="shared" si="410"/>
        <v>10.019845146666409</v>
      </c>
      <c r="BC505">
        <f t="shared" si="411"/>
        <v>-1.2829718253570492</v>
      </c>
      <c r="BD505">
        <f t="shared" si="399"/>
        <v>-253.50887091115038</v>
      </c>
      <c r="BF505">
        <f t="shared" si="400"/>
        <v>-38.519401533736414</v>
      </c>
      <c r="BG505">
        <f t="shared" si="401"/>
        <v>-193.71287255488036</v>
      </c>
      <c r="BH505">
        <f t="shared" si="412"/>
        <v>-13.712872554880363</v>
      </c>
      <c r="BI505">
        <f t="shared" si="413"/>
        <v>-13.712872554880363</v>
      </c>
      <c r="BJ505">
        <f t="shared" si="402"/>
        <v>0</v>
      </c>
      <c r="BK505">
        <f t="shared" si="414"/>
        <v>0</v>
      </c>
      <c r="BM505">
        <f t="shared" si="415"/>
        <v>-48.539246680402826</v>
      </c>
      <c r="BN505">
        <f t="shared" si="403"/>
        <v>-120.20400164373</v>
      </c>
      <c r="BQ505" s="75">
        <f t="shared" si="416"/>
        <v>26.921805946951544</v>
      </c>
    </row>
    <row r="506" spans="1:69">
      <c r="A506">
        <f t="shared" si="420"/>
        <v>1460000</v>
      </c>
      <c r="B506">
        <f t="shared" si="404"/>
        <v>1460</v>
      </c>
      <c r="C506">
        <f t="shared" si="373"/>
        <v>1.9777081003958321</v>
      </c>
      <c r="D506">
        <f t="shared" si="374"/>
        <v>1.040677582397433</v>
      </c>
      <c r="F506">
        <f t="shared" si="375"/>
        <v>2.0929585206272731E-4</v>
      </c>
      <c r="G506">
        <f t="shared" si="376"/>
        <v>4.4419714936700669E-3</v>
      </c>
      <c r="H506">
        <f t="shared" si="377"/>
        <v>-3.1371506785063303</v>
      </c>
      <c r="J506">
        <f t="shared" si="378"/>
        <v>9</v>
      </c>
      <c r="M506">
        <f t="shared" si="379"/>
        <v>2.8909047183359295E-3</v>
      </c>
      <c r="N506">
        <f t="shared" si="380"/>
        <v>-1.5707963250000001</v>
      </c>
      <c r="O506">
        <f t="shared" si="381"/>
        <v>187.76484853591219</v>
      </c>
      <c r="P506">
        <f t="shared" si="382"/>
        <v>1.5654704911273898</v>
      </c>
      <c r="Q506">
        <f t="shared" si="383"/>
        <v>76.671341127579254</v>
      </c>
      <c r="R506">
        <f t="shared" si="384"/>
        <v>1.5577532739488971</v>
      </c>
      <c r="S506">
        <f t="shared" si="385"/>
        <v>0.71283861507045654</v>
      </c>
      <c r="T506">
        <f t="shared" si="386"/>
        <v>-0.77725891279718262</v>
      </c>
      <c r="U506">
        <f t="shared" si="387"/>
        <v>0.54618944079123677</v>
      </c>
      <c r="V506">
        <f t="shared" si="388"/>
        <v>-0.99298791463644831</v>
      </c>
      <c r="X506">
        <f t="shared" si="405"/>
        <v>-24.38438060125765</v>
      </c>
      <c r="Y506">
        <f t="shared" si="389"/>
        <v>-132.59919201298214</v>
      </c>
      <c r="Z506">
        <f t="shared" si="406"/>
        <v>47.400807987017856</v>
      </c>
      <c r="AC506">
        <v>1</v>
      </c>
      <c r="AD506">
        <f t="shared" si="390"/>
        <v>187.76218561178402</v>
      </c>
      <c r="AE506">
        <f t="shared" si="391"/>
        <v>-9.6455918866522657E-3</v>
      </c>
      <c r="AF506">
        <f t="shared" si="392"/>
        <v>6.2893176888528003E-3</v>
      </c>
      <c r="AG506">
        <f t="shared" si="421"/>
        <v>8833.4285985864481</v>
      </c>
      <c r="AH506">
        <f t="shared" si="422"/>
        <v>-13706.359177027272</v>
      </c>
      <c r="AJ506">
        <f t="shared" si="393"/>
        <v>55000</v>
      </c>
      <c r="AK506">
        <f t="shared" si="394"/>
        <v>54111.891361027512</v>
      </c>
      <c r="AL506">
        <v>1</v>
      </c>
      <c r="AM506">
        <f t="shared" si="395"/>
        <v>76.664819508700504</v>
      </c>
      <c r="AN506">
        <f t="shared" si="423"/>
        <v>715.06035235703393</v>
      </c>
      <c r="AO506">
        <f t="shared" si="424"/>
        <v>-708.08149025228306</v>
      </c>
      <c r="AQ506">
        <f t="shared" si="396"/>
        <v>5.3411428079825291E-3</v>
      </c>
      <c r="AR506">
        <f t="shared" si="397"/>
        <v>-4.109582099317918</v>
      </c>
      <c r="AT506">
        <f t="shared" si="418"/>
        <v>-56280.227717103982</v>
      </c>
      <c r="AU506">
        <f t="shared" si="419"/>
        <v>-36374.907666095831</v>
      </c>
      <c r="AV506">
        <f t="shared" si="407"/>
        <v>-2.5678103975519928</v>
      </c>
      <c r="AW506">
        <f t="shared" si="408"/>
        <v>6010.8429400351524</v>
      </c>
      <c r="AX506">
        <f t="shared" si="409"/>
        <v>-20349.01328134456</v>
      </c>
      <c r="AY506">
        <f t="shared" si="417"/>
        <v>-1.2835765923988149</v>
      </c>
      <c r="BA506">
        <f t="shared" si="398"/>
        <v>3.1582265202287667</v>
      </c>
      <c r="BB506">
        <f t="shared" si="410"/>
        <v>9.9888655214083801</v>
      </c>
      <c r="BC506">
        <f t="shared" si="411"/>
        <v>-1.2842338051531779</v>
      </c>
      <c r="BD506">
        <f t="shared" si="399"/>
        <v>-253.58117702738195</v>
      </c>
      <c r="BF506">
        <f t="shared" si="400"/>
        <v>-38.587828016018129</v>
      </c>
      <c r="BG506">
        <f t="shared" si="401"/>
        <v>-193.7002374344024</v>
      </c>
      <c r="BH506">
        <f t="shared" si="412"/>
        <v>-13.700237434402396</v>
      </c>
      <c r="BI506">
        <f t="shared" si="413"/>
        <v>-13.700237434402396</v>
      </c>
      <c r="BJ506">
        <f t="shared" si="402"/>
        <v>0</v>
      </c>
      <c r="BK506">
        <f t="shared" si="414"/>
        <v>0</v>
      </c>
      <c r="BM506">
        <f t="shared" si="415"/>
        <v>-48.576693537426507</v>
      </c>
      <c r="BN506">
        <f t="shared" si="403"/>
        <v>-120.11906040702046</v>
      </c>
      <c r="BQ506" s="75">
        <f t="shared" si="416"/>
        <v>26.890826321693517</v>
      </c>
    </row>
    <row r="507" spans="1:69">
      <c r="A507">
        <f t="shared" si="420"/>
        <v>1465000</v>
      </c>
      <c r="B507">
        <f t="shared" si="404"/>
        <v>1465</v>
      </c>
      <c r="C507">
        <f t="shared" si="373"/>
        <v>1.9827516453420126</v>
      </c>
      <c r="D507">
        <f t="shared" si="374"/>
        <v>1.0421677409024623</v>
      </c>
      <c r="F507">
        <f t="shared" si="375"/>
        <v>2.0786936647931904E-4</v>
      </c>
      <c r="G507">
        <f t="shared" si="376"/>
        <v>4.426805057324068E-3</v>
      </c>
      <c r="H507">
        <f t="shared" si="377"/>
        <v>-3.1371658449426763</v>
      </c>
      <c r="J507">
        <f t="shared" si="378"/>
        <v>9</v>
      </c>
      <c r="M507">
        <f t="shared" si="379"/>
        <v>2.88103814933137E-3</v>
      </c>
      <c r="N507">
        <f t="shared" si="380"/>
        <v>-1.5707963250000001</v>
      </c>
      <c r="O507">
        <f t="shared" si="381"/>
        <v>188.40786063116417</v>
      </c>
      <c r="P507">
        <f t="shared" si="382"/>
        <v>1.5654886676989708</v>
      </c>
      <c r="Q507">
        <f t="shared" si="383"/>
        <v>76.933869623120046</v>
      </c>
      <c r="R507">
        <f t="shared" si="384"/>
        <v>1.5577977844649131</v>
      </c>
      <c r="S507">
        <f t="shared" si="385"/>
        <v>0.711638849589315</v>
      </c>
      <c r="T507">
        <f t="shared" si="386"/>
        <v>-0.77896813391986797</v>
      </c>
      <c r="U507">
        <f t="shared" si="387"/>
        <v>0.54487942624110286</v>
      </c>
      <c r="V507">
        <f t="shared" si="388"/>
        <v>-0.99455101327668716</v>
      </c>
      <c r="X507">
        <f t="shared" si="405"/>
        <v>-24.427460317562225</v>
      </c>
      <c r="Y507">
        <f t="shared" si="389"/>
        <v>-132.69857959882839</v>
      </c>
      <c r="Z507">
        <f t="shared" si="406"/>
        <v>47.301420401171612</v>
      </c>
      <c r="AC507">
        <v>1</v>
      </c>
      <c r="AD507">
        <f t="shared" si="390"/>
        <v>188.40520679538602</v>
      </c>
      <c r="AE507">
        <f t="shared" si="391"/>
        <v>-9.7117707107010048E-3</v>
      </c>
      <c r="AF507">
        <f t="shared" si="392"/>
        <v>6.3108564480612002E-3</v>
      </c>
      <c r="AG507">
        <f t="shared" si="421"/>
        <v>8791.1061305046187</v>
      </c>
      <c r="AH507">
        <f t="shared" si="422"/>
        <v>-13687.081578196145</v>
      </c>
      <c r="AJ507">
        <f t="shared" si="393"/>
        <v>55000</v>
      </c>
      <c r="AK507">
        <f t="shared" si="394"/>
        <v>54297.206057469382</v>
      </c>
      <c r="AL507">
        <v>1</v>
      </c>
      <c r="AM507">
        <f t="shared" si="395"/>
        <v>76.927370260442629</v>
      </c>
      <c r="AN507">
        <f t="shared" si="423"/>
        <v>714.99742574235813</v>
      </c>
      <c r="AO507">
        <f t="shared" si="424"/>
        <v>-705.66564787633104</v>
      </c>
      <c r="AQ507">
        <f t="shared" si="396"/>
        <v>5.3047467719108217E-3</v>
      </c>
      <c r="AR507">
        <f t="shared" si="397"/>
        <v>-4.0955562689876093</v>
      </c>
      <c r="AT507">
        <f t="shared" si="418"/>
        <v>-56009.578169858723</v>
      </c>
      <c r="AU507">
        <f t="shared" si="419"/>
        <v>-36077.076325942413</v>
      </c>
      <c r="AV507">
        <f t="shared" si="407"/>
        <v>-2.5693597553820524</v>
      </c>
      <c r="AW507">
        <f t="shared" si="408"/>
        <v>5991.2199480926902</v>
      </c>
      <c r="AX507">
        <f t="shared" si="409"/>
        <v>-20304.721872931892</v>
      </c>
      <c r="AY507">
        <f t="shared" si="417"/>
        <v>-1.2838728564107285</v>
      </c>
      <c r="BA507">
        <f t="shared" si="398"/>
        <v>3.147022685089151</v>
      </c>
      <c r="BB507">
        <f t="shared" si="410"/>
        <v>9.9579974701076281</v>
      </c>
      <c r="BC507">
        <f t="shared" si="411"/>
        <v>-1.285486898971324</v>
      </c>
      <c r="BD507">
        <f t="shared" si="399"/>
        <v>-253.65297401457769</v>
      </c>
      <c r="BF507">
        <f t="shared" si="400"/>
        <v>-38.655976113085828</v>
      </c>
      <c r="BG507">
        <f t="shared" si="401"/>
        <v>-193.68752360115076</v>
      </c>
      <c r="BH507">
        <f t="shared" si="412"/>
        <v>-13.687523601150758</v>
      </c>
      <c r="BI507">
        <f t="shared" si="413"/>
        <v>-13.687523601150758</v>
      </c>
      <c r="BJ507">
        <f t="shared" si="402"/>
        <v>0</v>
      </c>
      <c r="BK507">
        <f t="shared" si="414"/>
        <v>0</v>
      </c>
      <c r="BM507">
        <f t="shared" si="415"/>
        <v>-48.613973583193456</v>
      </c>
      <c r="BN507">
        <f t="shared" si="403"/>
        <v>-120.03454958657308</v>
      </c>
      <c r="BQ507" s="75">
        <f t="shared" si="416"/>
        <v>26.859958270392763</v>
      </c>
    </row>
    <row r="508" spans="1:69">
      <c r="A508">
        <f t="shared" si="420"/>
        <v>1470000</v>
      </c>
      <c r="B508">
        <f t="shared" si="404"/>
        <v>1470</v>
      </c>
      <c r="C508">
        <f t="shared" si="373"/>
        <v>1.987799570783795</v>
      </c>
      <c r="D508">
        <f t="shared" si="374"/>
        <v>1.0436503343080248</v>
      </c>
      <c r="F508">
        <f t="shared" si="375"/>
        <v>2.0645741592577595E-4</v>
      </c>
      <c r="G508">
        <f t="shared" si="376"/>
        <v>4.4117418562026169E-3</v>
      </c>
      <c r="H508">
        <f t="shared" si="377"/>
        <v>-3.1371809081437978</v>
      </c>
      <c r="J508">
        <f t="shared" si="378"/>
        <v>9</v>
      </c>
      <c r="M508">
        <f t="shared" si="379"/>
        <v>2.8712386998438482E-3</v>
      </c>
      <c r="N508">
        <f t="shared" si="380"/>
        <v>-1.5707963250000001</v>
      </c>
      <c r="O508">
        <f t="shared" si="381"/>
        <v>189.05087278824038</v>
      </c>
      <c r="P508">
        <f t="shared" si="382"/>
        <v>1.5655067206238762</v>
      </c>
      <c r="Q508">
        <f t="shared" si="383"/>
        <v>77.196398270044455</v>
      </c>
      <c r="R508">
        <f t="shared" si="384"/>
        <v>1.5578419922392872</v>
      </c>
      <c r="S508">
        <f t="shared" si="385"/>
        <v>0.71044105087371145</v>
      </c>
      <c r="T508">
        <f t="shared" si="386"/>
        <v>-0.78067160623594845</v>
      </c>
      <c r="U508">
        <f t="shared" si="387"/>
        <v>0.54357436211198573</v>
      </c>
      <c r="V508">
        <f t="shared" si="388"/>
        <v>-0.99610662801312333</v>
      </c>
      <c r="X508">
        <f t="shared" si="405"/>
        <v>-24.470447482952906</v>
      </c>
      <c r="Y508">
        <f t="shared" si="389"/>
        <v>-132.79766096979586</v>
      </c>
      <c r="Z508">
        <f t="shared" si="406"/>
        <v>47.202339030204143</v>
      </c>
      <c r="AC508">
        <v>1</v>
      </c>
      <c r="AD508">
        <f t="shared" si="390"/>
        <v>189.04822797898802</v>
      </c>
      <c r="AE508">
        <f t="shared" si="391"/>
        <v>-9.7781757871396521E-3</v>
      </c>
      <c r="AF508">
        <f t="shared" si="392"/>
        <v>6.3323952072696001E-3</v>
      </c>
      <c r="AG508">
        <f t="shared" si="421"/>
        <v>8749.0446503759049</v>
      </c>
      <c r="AH508">
        <f t="shared" si="422"/>
        <v>-13667.766102398376</v>
      </c>
      <c r="AJ508">
        <f t="shared" si="393"/>
        <v>55000</v>
      </c>
      <c r="AK508">
        <f t="shared" si="394"/>
        <v>54482.520753911253</v>
      </c>
      <c r="AL508">
        <v>1</v>
      </c>
      <c r="AM508">
        <f t="shared" si="395"/>
        <v>77.189921012184755</v>
      </c>
      <c r="AN508">
        <f t="shared" si="423"/>
        <v>714.93513999968548</v>
      </c>
      <c r="AO508">
        <f t="shared" si="424"/>
        <v>-703.26623149972113</v>
      </c>
      <c r="AQ508">
        <f t="shared" si="396"/>
        <v>5.2687214911648333E-3</v>
      </c>
      <c r="AR508">
        <f t="shared" si="397"/>
        <v>-4.0816258519904842</v>
      </c>
      <c r="AT508">
        <f t="shared" si="418"/>
        <v>-55740.61118293184</v>
      </c>
      <c r="AU508">
        <f t="shared" si="419"/>
        <v>-35782.338478193262</v>
      </c>
      <c r="AV508">
        <f t="shared" si="407"/>
        <v>-2.5709017227797881</v>
      </c>
      <c r="AW508">
        <f t="shared" si="408"/>
        <v>5971.6395222240044</v>
      </c>
      <c r="AX508">
        <f t="shared" si="409"/>
        <v>-20260.578266944009</v>
      </c>
      <c r="AY508">
        <f t="shared" si="417"/>
        <v>-1.2841705131947527</v>
      </c>
      <c r="BA508">
        <f t="shared" si="398"/>
        <v>3.1358985920798794</v>
      </c>
      <c r="BB508">
        <f t="shared" si="410"/>
        <v>9.9272402026191013</v>
      </c>
      <c r="BC508">
        <f t="shared" si="411"/>
        <v>-1.2867312095850354</v>
      </c>
      <c r="BD508">
        <f t="shared" si="399"/>
        <v>-253.72426776122816</v>
      </c>
      <c r="BF508">
        <f t="shared" si="400"/>
        <v>-38.72384801284673</v>
      </c>
      <c r="BG508">
        <f t="shared" si="401"/>
        <v>-193.67473406068268</v>
      </c>
      <c r="BH508">
        <f t="shared" si="412"/>
        <v>-13.674734060682681</v>
      </c>
      <c r="BI508">
        <f t="shared" si="413"/>
        <v>-13.674734060682681</v>
      </c>
      <c r="BJ508">
        <f t="shared" si="402"/>
        <v>0</v>
      </c>
      <c r="BK508">
        <f t="shared" si="414"/>
        <v>0</v>
      </c>
      <c r="BM508">
        <f t="shared" si="415"/>
        <v>-48.651088215465833</v>
      </c>
      <c r="BN508">
        <f t="shared" si="403"/>
        <v>-119.95046629945455</v>
      </c>
      <c r="BQ508" s="75">
        <f t="shared" si="416"/>
        <v>26.829201002904238</v>
      </c>
    </row>
    <row r="509" spans="1:69">
      <c r="A509">
        <f t="shared" si="420"/>
        <v>1475000</v>
      </c>
      <c r="B509">
        <f t="shared" si="404"/>
        <v>1475</v>
      </c>
      <c r="C509">
        <f t="shared" si="373"/>
        <v>1.9928518434335849</v>
      </c>
      <c r="D509">
        <f t="shared" si="374"/>
        <v>1.0451254136086006</v>
      </c>
      <c r="F509">
        <f t="shared" si="375"/>
        <v>2.0505980358698559E-4</v>
      </c>
      <c r="G509">
        <f t="shared" si="376"/>
        <v>4.3967808396167566E-3</v>
      </c>
      <c r="H509">
        <f t="shared" si="377"/>
        <v>-3.1371958691603834</v>
      </c>
      <c r="J509">
        <f t="shared" si="378"/>
        <v>9</v>
      </c>
      <c r="M509">
        <f t="shared" si="379"/>
        <v>2.8615056873020047E-3</v>
      </c>
      <c r="N509">
        <f t="shared" si="380"/>
        <v>-1.5707963250000001</v>
      </c>
      <c r="O509">
        <f t="shared" si="381"/>
        <v>189.69388500651206</v>
      </c>
      <c r="P509">
        <f t="shared" si="382"/>
        <v>1.5655246511594836</v>
      </c>
      <c r="Q509">
        <f t="shared" si="383"/>
        <v>77.458927066813231</v>
      </c>
      <c r="R509">
        <f t="shared" si="384"/>
        <v>1.5578859003500602</v>
      </c>
      <c r="S509">
        <f t="shared" si="385"/>
        <v>0.70924522981146654</v>
      </c>
      <c r="T509">
        <f t="shared" si="386"/>
        <v>-0.78236934886350307</v>
      </c>
      <c r="U509">
        <f t="shared" si="387"/>
        <v>0.54227423179939804</v>
      </c>
      <c r="V509">
        <f t="shared" si="388"/>
        <v>-0.99765480499009329</v>
      </c>
      <c r="X509">
        <f t="shared" si="405"/>
        <v>-24.51334255809239</v>
      </c>
      <c r="Y509">
        <f t="shared" si="389"/>
        <v>-132.89643675517584</v>
      </c>
      <c r="Z509">
        <f t="shared" si="406"/>
        <v>47.103563244824159</v>
      </c>
      <c r="AC509">
        <v>1</v>
      </c>
      <c r="AD509">
        <f t="shared" si="390"/>
        <v>189.69124916259003</v>
      </c>
      <c r="AE509">
        <f t="shared" si="391"/>
        <v>-9.8448071159682096E-3</v>
      </c>
      <c r="AF509">
        <f t="shared" si="392"/>
        <v>6.353933966478E-3</v>
      </c>
      <c r="AG509">
        <f t="shared" si="421"/>
        <v>8707.2424771625938</v>
      </c>
      <c r="AH509">
        <f t="shared" si="422"/>
        <v>-13648.414219781493</v>
      </c>
      <c r="AJ509">
        <f t="shared" si="393"/>
        <v>55000</v>
      </c>
      <c r="AK509">
        <f t="shared" si="394"/>
        <v>54667.83545035313</v>
      </c>
      <c r="AL509">
        <v>1</v>
      </c>
      <c r="AM509">
        <f t="shared" si="395"/>
        <v>77.45247176392688</v>
      </c>
      <c r="AN509">
        <f t="shared" si="423"/>
        <v>714.87348645638986</v>
      </c>
      <c r="AO509">
        <f t="shared" si="424"/>
        <v>-700.8830741903663</v>
      </c>
      <c r="AQ509">
        <f t="shared" si="396"/>
        <v>5.233061947097958E-3</v>
      </c>
      <c r="AR509">
        <f t="shared" si="397"/>
        <v>-4.06778987802792</v>
      </c>
      <c r="AT509">
        <f t="shared" si="418"/>
        <v>-55473.315675088088</v>
      </c>
      <c r="AU509">
        <f t="shared" si="419"/>
        <v>-35490.65581122852</v>
      </c>
      <c r="AV509">
        <f t="shared" si="407"/>
        <v>-2.5724363449390237</v>
      </c>
      <c r="AW509">
        <f t="shared" si="408"/>
        <v>5952.1027982868472</v>
      </c>
      <c r="AX509">
        <f t="shared" si="409"/>
        <v>-20216.581925582981</v>
      </c>
      <c r="AY509">
        <f t="shared" si="417"/>
        <v>-1.2844695067635206</v>
      </c>
      <c r="BA509">
        <f t="shared" si="398"/>
        <v>3.1248533946473369</v>
      </c>
      <c r="BB509">
        <f t="shared" si="410"/>
        <v>9.8965929367108636</v>
      </c>
      <c r="BC509">
        <f t="shared" si="411"/>
        <v>-1.2879668381755032</v>
      </c>
      <c r="BD509">
        <f t="shared" si="399"/>
        <v>-253.79506406458859</v>
      </c>
      <c r="BF509">
        <f t="shared" si="400"/>
        <v>-38.791445879089949</v>
      </c>
      <c r="BG509">
        <f t="shared" si="401"/>
        <v>-193.66187174868497</v>
      </c>
      <c r="BH509">
        <f t="shared" si="412"/>
        <v>-13.661871748684973</v>
      </c>
      <c r="BI509">
        <f t="shared" si="413"/>
        <v>-13.661871748684973</v>
      </c>
      <c r="BJ509">
        <f t="shared" si="402"/>
        <v>0</v>
      </c>
      <c r="BK509">
        <f t="shared" si="414"/>
        <v>0</v>
      </c>
      <c r="BM509">
        <f t="shared" si="415"/>
        <v>-48.688038815800809</v>
      </c>
      <c r="BN509">
        <f t="shared" si="403"/>
        <v>-119.86680768409643</v>
      </c>
      <c r="BQ509" s="75">
        <f t="shared" si="416"/>
        <v>26.798553736995999</v>
      </c>
    </row>
    <row r="510" spans="1:69">
      <c r="A510">
        <f t="shared" si="420"/>
        <v>1480000</v>
      </c>
      <c r="B510">
        <f t="shared" si="404"/>
        <v>1480</v>
      </c>
      <c r="C510">
        <f t="shared" si="373"/>
        <v>1.997908430311973</v>
      </c>
      <c r="D510">
        <f t="shared" si="374"/>
        <v>1.0465930294138786</v>
      </c>
      <c r="F510">
        <f t="shared" si="375"/>
        <v>2.0367633596808657E-4</v>
      </c>
      <c r="G510">
        <f t="shared" si="376"/>
        <v>4.3819209710901398E-3</v>
      </c>
      <c r="H510">
        <f t="shared" si="377"/>
        <v>-3.1372107290289102</v>
      </c>
      <c r="J510">
        <f t="shared" si="378"/>
        <v>9</v>
      </c>
      <c r="M510">
        <f t="shared" si="379"/>
        <v>2.8518384383584166E-3</v>
      </c>
      <c r="N510">
        <f t="shared" si="380"/>
        <v>-1.5707963250000001</v>
      </c>
      <c r="O510">
        <f t="shared" si="381"/>
        <v>190.33689728535904</v>
      </c>
      <c r="P510">
        <f t="shared" si="382"/>
        <v>1.5655424605461787</v>
      </c>
      <c r="Q510">
        <f t="shared" si="383"/>
        <v>77.721456011907932</v>
      </c>
      <c r="R510">
        <f t="shared" si="384"/>
        <v>1.5579295118336893</v>
      </c>
      <c r="S510">
        <f t="shared" si="385"/>
        <v>0.70805139706137665</v>
      </c>
      <c r="T510">
        <f t="shared" si="386"/>
        <v>-0.78406138092433941</v>
      </c>
      <c r="U510">
        <f t="shared" si="387"/>
        <v>0.5409790186161455</v>
      </c>
      <c r="V510">
        <f t="shared" si="388"/>
        <v>-0.99919559005435565</v>
      </c>
      <c r="X510">
        <f t="shared" si="405"/>
        <v>-24.556145998647434</v>
      </c>
      <c r="Y510">
        <f t="shared" si="389"/>
        <v>-132.99490759201211</v>
      </c>
      <c r="Z510">
        <f t="shared" si="406"/>
        <v>47.005092407987888</v>
      </c>
      <c r="AC510">
        <v>1</v>
      </c>
      <c r="AD510">
        <f t="shared" si="390"/>
        <v>190.33427034619203</v>
      </c>
      <c r="AE510">
        <f t="shared" si="391"/>
        <v>-9.9116646971866788E-3</v>
      </c>
      <c r="AF510">
        <f t="shared" si="392"/>
        <v>6.3754727256863999E-3</v>
      </c>
      <c r="AG510">
        <f t="shared" si="421"/>
        <v>8665.6979366255637</v>
      </c>
      <c r="AH510">
        <f t="shared" si="422"/>
        <v>-13629.02737625312</v>
      </c>
      <c r="AJ510">
        <f t="shared" si="393"/>
        <v>55000</v>
      </c>
      <c r="AK510">
        <f t="shared" si="394"/>
        <v>54853.150146795</v>
      </c>
      <c r="AL510">
        <v>1</v>
      </c>
      <c r="AM510">
        <f t="shared" si="395"/>
        <v>77.715022515669006</v>
      </c>
      <c r="AN510">
        <f t="shared" si="423"/>
        <v>714.81245658604462</v>
      </c>
      <c r="AO510">
        <f t="shared" si="424"/>
        <v>-698.51601127013635</v>
      </c>
      <c r="AQ510">
        <f t="shared" si="396"/>
        <v>5.1977632056942934E-3</v>
      </c>
      <c r="AR510">
        <f t="shared" si="397"/>
        <v>-4.0540473899133209</v>
      </c>
      <c r="AT510">
        <f t="shared" si="418"/>
        <v>-55207.680615869504</v>
      </c>
      <c r="AU510">
        <f t="shared" si="419"/>
        <v>-35201.990558779806</v>
      </c>
      <c r="AV510">
        <f t="shared" si="407"/>
        <v>-2.5739636667688517</v>
      </c>
      <c r="AW510">
        <f t="shared" si="408"/>
        <v>5932.6108730685391</v>
      </c>
      <c r="AX510">
        <f t="shared" si="409"/>
        <v>-20172.73231491687</v>
      </c>
      <c r="AY510">
        <f t="shared" si="417"/>
        <v>-1.284769782406546</v>
      </c>
      <c r="BA510">
        <f t="shared" si="398"/>
        <v>3.1138862580101123</v>
      </c>
      <c r="BB510">
        <f t="shared" si="410"/>
        <v>9.8660548979706224</v>
      </c>
      <c r="BC510">
        <f t="shared" si="411"/>
        <v>-1.2891938843623056</v>
      </c>
      <c r="BD510">
        <f t="shared" si="399"/>
        <v>-253.86536863244032</v>
      </c>
      <c r="BF510">
        <f t="shared" si="400"/>
        <v>-38.858771851812349</v>
      </c>
      <c r="BG510">
        <f t="shared" si="401"/>
        <v>-193.64893953260321</v>
      </c>
      <c r="BH510">
        <f t="shared" si="412"/>
        <v>-13.648939532603208</v>
      </c>
      <c r="BI510">
        <f t="shared" si="413"/>
        <v>-13.648939532603208</v>
      </c>
      <c r="BJ510">
        <f t="shared" si="402"/>
        <v>0</v>
      </c>
      <c r="BK510">
        <f t="shared" si="414"/>
        <v>0</v>
      </c>
      <c r="BM510">
        <f t="shared" si="415"/>
        <v>-48.724826749782977</v>
      </c>
      <c r="BN510">
        <f t="shared" si="403"/>
        <v>-119.7835709001629</v>
      </c>
      <c r="BQ510" s="75">
        <f t="shared" si="416"/>
        <v>26.768015698255759</v>
      </c>
    </row>
    <row r="511" spans="1:69">
      <c r="A511">
        <f t="shared" si="420"/>
        <v>1485000</v>
      </c>
      <c r="B511">
        <f t="shared" si="404"/>
        <v>1485</v>
      </c>
      <c r="C511">
        <f t="shared" si="373"/>
        <v>2.0029692987445618</v>
      </c>
      <c r="D511">
        <f t="shared" si="374"/>
        <v>1.0480532319513081</v>
      </c>
      <c r="F511">
        <f t="shared" si="375"/>
        <v>2.0230682282747518E-4</v>
      </c>
      <c r="G511">
        <f t="shared" si="376"/>
        <v>4.3671612281194752E-3</v>
      </c>
      <c r="H511">
        <f t="shared" si="377"/>
        <v>-3.1372254887718807</v>
      </c>
      <c r="J511">
        <f t="shared" si="378"/>
        <v>9</v>
      </c>
      <c r="M511">
        <f t="shared" si="379"/>
        <v>2.8422362887343148E-3</v>
      </c>
      <c r="N511">
        <f t="shared" si="380"/>
        <v>-1.5707963250000001</v>
      </c>
      <c r="O511">
        <f t="shared" si="381"/>
        <v>190.97990962416947</v>
      </c>
      <c r="P511">
        <f t="shared" si="382"/>
        <v>1.5655601500076433</v>
      </c>
      <c r="Q511">
        <f t="shared" si="383"/>
        <v>77.983985103830591</v>
      </c>
      <c r="R511">
        <f t="shared" si="384"/>
        <v>1.5579728296857485</v>
      </c>
      <c r="S511">
        <f t="shared" si="385"/>
        <v>0.70685956305569275</v>
      </c>
      <c r="T511">
        <f t="shared" si="386"/>
        <v>-0.78574772154263861</v>
      </c>
      <c r="U511">
        <f t="shared" si="387"/>
        <v>0.53968870579623818</v>
      </c>
      <c r="V511">
        <f t="shared" si="388"/>
        <v>-1.0007290287563064</v>
      </c>
      <c r="X511">
        <f t="shared" si="405"/>
        <v>-24.598858255374321</v>
      </c>
      <c r="Y511">
        <f t="shared" si="389"/>
        <v>-133.09307412490367</v>
      </c>
      <c r="Z511">
        <f t="shared" si="406"/>
        <v>46.906925875096334</v>
      </c>
      <c r="AC511">
        <v>1</v>
      </c>
      <c r="AD511">
        <f t="shared" si="390"/>
        <v>190.977291529794</v>
      </c>
      <c r="AE511">
        <f t="shared" si="391"/>
        <v>-9.978748530795058E-3</v>
      </c>
      <c r="AF511">
        <f t="shared" si="392"/>
        <v>6.3970114848947999E-3</v>
      </c>
      <c r="AG511">
        <f t="shared" si="421"/>
        <v>8624.4093614324483</v>
      </c>
      <c r="AH511">
        <f t="shared" si="422"/>
        <v>-13609.606993819696</v>
      </c>
      <c r="AJ511">
        <f t="shared" si="393"/>
        <v>55000</v>
      </c>
      <c r="AK511">
        <f t="shared" si="394"/>
        <v>55038.464843236885</v>
      </c>
      <c r="AL511">
        <v>1</v>
      </c>
      <c r="AM511">
        <f t="shared" si="395"/>
        <v>77.977573267411131</v>
      </c>
      <c r="AN511">
        <f t="shared" si="423"/>
        <v>714.75204200547739</v>
      </c>
      <c r="AO511">
        <f t="shared" si="424"/>
        <v>-696.16488027695198</v>
      </c>
      <c r="AQ511">
        <f t="shared" si="396"/>
        <v>5.1628204158618357E-3</v>
      </c>
      <c r="AR511">
        <f t="shared" si="397"/>
        <v>-4.0403974433513934</v>
      </c>
      <c r="AT511">
        <f t="shared" si="418"/>
        <v>-54943.695026120389</v>
      </c>
      <c r="AU511">
        <f t="shared" si="419"/>
        <v>-34916.305491187035</v>
      </c>
      <c r="AV511">
        <f t="shared" si="407"/>
        <v>-2.5754837328946283</v>
      </c>
      <c r="AW511">
        <f t="shared" si="408"/>
        <v>5913.1648053004265</v>
      </c>
      <c r="AX511">
        <f t="shared" si="409"/>
        <v>-20129.02890473753</v>
      </c>
      <c r="AY511">
        <f t="shared" si="417"/>
        <v>-1.28507128666119</v>
      </c>
      <c r="BA511">
        <f t="shared" si="398"/>
        <v>3.1029963589608434</v>
      </c>
      <c r="BB511">
        <f t="shared" si="410"/>
        <v>9.8356253197133388</v>
      </c>
      <c r="BC511">
        <f t="shared" si="411"/>
        <v>-1.2904124462334383</v>
      </c>
      <c r="BD511">
        <f t="shared" si="399"/>
        <v>-253.93518708481156</v>
      </c>
      <c r="BF511">
        <f t="shared" si="400"/>
        <v>-38.925828047539447</v>
      </c>
      <c r="BG511">
        <f t="shared" si="401"/>
        <v>-193.6359402132297</v>
      </c>
      <c r="BH511">
        <f t="shared" si="412"/>
        <v>-13.635940213229702</v>
      </c>
      <c r="BI511">
        <f t="shared" si="413"/>
        <v>-13.635940213229702</v>
      </c>
      <c r="BJ511">
        <f t="shared" si="402"/>
        <v>0</v>
      </c>
      <c r="BK511">
        <f t="shared" si="414"/>
        <v>0</v>
      </c>
      <c r="BM511">
        <f t="shared" si="415"/>
        <v>-48.761453367252791</v>
      </c>
      <c r="BN511">
        <f t="shared" si="403"/>
        <v>-119.70075312841817</v>
      </c>
      <c r="BQ511" s="75">
        <f t="shared" si="416"/>
        <v>26.737586119998475</v>
      </c>
    </row>
    <row r="512" spans="1:69">
      <c r="A512">
        <f t="shared" si="420"/>
        <v>1490000</v>
      </c>
      <c r="B512">
        <f t="shared" si="404"/>
        <v>1490</v>
      </c>
      <c r="C512">
        <f t="shared" si="373"/>
        <v>2.0080344163588251</v>
      </c>
      <c r="D512">
        <f t="shared" si="374"/>
        <v>1.0495060710686546</v>
      </c>
      <c r="F512">
        <f t="shared" si="375"/>
        <v>2.0095107711138441E-4</v>
      </c>
      <c r="G512">
        <f t="shared" si="376"/>
        <v>4.3525006019398049E-3</v>
      </c>
      <c r="H512">
        <f t="shared" si="377"/>
        <v>-3.1372401493980604</v>
      </c>
      <c r="J512">
        <f t="shared" si="378"/>
        <v>9</v>
      </c>
      <c r="M512">
        <f t="shared" si="379"/>
        <v>2.832698583067421E-3</v>
      </c>
      <c r="N512">
        <f t="shared" si="380"/>
        <v>-1.5707963250000001</v>
      </c>
      <c r="O512">
        <f t="shared" si="381"/>
        <v>191.62292202233971</v>
      </c>
      <c r="P512">
        <f t="shared" si="382"/>
        <v>1.5655777207511339</v>
      </c>
      <c r="Q512">
        <f t="shared" si="383"/>
        <v>78.246514341103278</v>
      </c>
      <c r="R512">
        <f t="shared" si="384"/>
        <v>1.5580158568616127</v>
      </c>
      <c r="S512">
        <f t="shared" si="385"/>
        <v>0.70566973800258448</v>
      </c>
      <c r="T512">
        <f t="shared" si="386"/>
        <v>-0.7874283898436254</v>
      </c>
      <c r="U512">
        <f t="shared" si="387"/>
        <v>0.53840327649871578</v>
      </c>
      <c r="V512">
        <f t="shared" si="388"/>
        <v>-1.0022551663512145</v>
      </c>
      <c r="X512">
        <f t="shared" si="405"/>
        <v>-24.641479774202594</v>
      </c>
      <c r="Y512">
        <f t="shared" si="389"/>
        <v>-133.19093700581132</v>
      </c>
      <c r="Z512">
        <f t="shared" si="406"/>
        <v>46.809062994188679</v>
      </c>
      <c r="AC512">
        <v>1</v>
      </c>
      <c r="AD512">
        <f t="shared" si="390"/>
        <v>191.62031271339603</v>
      </c>
      <c r="AE512">
        <f t="shared" si="391"/>
        <v>-1.0046058616793346E-2</v>
      </c>
      <c r="AF512">
        <f t="shared" si="392"/>
        <v>6.4185502441031998E-3</v>
      </c>
      <c r="AG512">
        <f t="shared" si="421"/>
        <v>8583.3750912610976</v>
      </c>
      <c r="AH512">
        <f t="shared" si="422"/>
        <v>-13590.154470921425</v>
      </c>
      <c r="AJ512">
        <f t="shared" si="393"/>
        <v>55000</v>
      </c>
      <c r="AK512">
        <f t="shared" si="394"/>
        <v>55223.779539678755</v>
      </c>
      <c r="AL512">
        <v>1</v>
      </c>
      <c r="AM512">
        <f t="shared" si="395"/>
        <v>78.240124019153257</v>
      </c>
      <c r="AN512">
        <f t="shared" si="423"/>
        <v>714.69223447188949</v>
      </c>
      <c r="AO512">
        <f t="shared" si="424"/>
        <v>-693.82952092763844</v>
      </c>
      <c r="AQ512">
        <f t="shared" si="396"/>
        <v>5.1282288077656767E-3</v>
      </c>
      <c r="AR512">
        <f t="shared" si="397"/>
        <v>-4.0268391067218419</v>
      </c>
      <c r="AT512">
        <f t="shared" si="418"/>
        <v>-54681.347978486214</v>
      </c>
      <c r="AU512">
        <f t="shared" si="419"/>
        <v>-34633.563906812109</v>
      </c>
      <c r="AV512">
        <f t="shared" si="407"/>
        <v>-2.5769965876589982</v>
      </c>
      <c r="AW512">
        <f t="shared" si="408"/>
        <v>5893.7656166465486</v>
      </c>
      <c r="AX512">
        <f t="shared" si="409"/>
        <v>-20085.471168424458</v>
      </c>
      <c r="AY512">
        <f t="shared" si="417"/>
        <v>-1.2853739672843358</v>
      </c>
      <c r="BA512">
        <f t="shared" si="398"/>
        <v>3.092182885671845</v>
      </c>
      <c r="BB512">
        <f t="shared" si="410"/>
        <v>9.8053034428897927</v>
      </c>
      <c r="BC512">
        <f t="shared" si="411"/>
        <v>-1.2916226203746624</v>
      </c>
      <c r="BD512">
        <f t="shared" si="399"/>
        <v>-254.00452495565878</v>
      </c>
      <c r="BF512">
        <f t="shared" si="400"/>
        <v>-38.992616559641412</v>
      </c>
      <c r="BG512">
        <f t="shared" si="401"/>
        <v>-193.62287652625244</v>
      </c>
      <c r="BH512">
        <f t="shared" si="412"/>
        <v>-13.62287652625244</v>
      </c>
      <c r="BI512">
        <f t="shared" si="413"/>
        <v>-13.62287652625244</v>
      </c>
      <c r="BJ512">
        <f t="shared" si="402"/>
        <v>0</v>
      </c>
      <c r="BK512">
        <f t="shared" si="414"/>
        <v>0</v>
      </c>
      <c r="BM512">
        <f t="shared" si="415"/>
        <v>-48.7979200025312</v>
      </c>
      <c r="BN512">
        <f t="shared" si="403"/>
        <v>-119.61835157059366</v>
      </c>
      <c r="BQ512" s="75">
        <f t="shared" si="416"/>
        <v>26.707264243174929</v>
      </c>
    </row>
    <row r="513" spans="1:69">
      <c r="A513">
        <f t="shared" si="420"/>
        <v>1495000</v>
      </c>
      <c r="B513">
        <f t="shared" si="404"/>
        <v>1495</v>
      </c>
      <c r="C513">
        <f t="shared" si="373"/>
        <v>2.0131037510809993</v>
      </c>
      <c r="D513">
        <f t="shared" si="374"/>
        <v>1.0509515962365532</v>
      </c>
      <c r="F513">
        <f t="shared" si="375"/>
        <v>1.9960891488999272E-4</v>
      </c>
      <c r="G513">
        <f t="shared" si="376"/>
        <v>4.3379380972944923E-3</v>
      </c>
      <c r="H513">
        <f t="shared" si="377"/>
        <v>-3.1372547119027057</v>
      </c>
      <c r="J513">
        <f t="shared" si="378"/>
        <v>9</v>
      </c>
      <c r="M513">
        <f t="shared" si="379"/>
        <v>2.8232246747628476E-3</v>
      </c>
      <c r="N513">
        <f t="shared" si="380"/>
        <v>-1.5707963250000001</v>
      </c>
      <c r="O513">
        <f t="shared" si="381"/>
        <v>192.26593447927419</v>
      </c>
      <c r="P513">
        <f t="shared" si="382"/>
        <v>1.5655951739677578</v>
      </c>
      <c r="Q513">
        <f t="shared" si="383"/>
        <v>78.509043722267904</v>
      </c>
      <c r="R513">
        <f t="shared" si="384"/>
        <v>1.5580585962771316</v>
      </c>
      <c r="S513">
        <f t="shared" si="385"/>
        <v>0.70448193188859087</v>
      </c>
      <c r="T513">
        <f t="shared" si="386"/>
        <v>-0.78910340495225784</v>
      </c>
      <c r="U513">
        <f t="shared" si="387"/>
        <v>0.5371227138113891</v>
      </c>
      <c r="V513">
        <f t="shared" si="388"/>
        <v>-1.0037740478004724</v>
      </c>
      <c r="X513">
        <f t="shared" si="405"/>
        <v>-24.684010996317085</v>
      </c>
      <c r="Y513">
        <f t="shared" si="389"/>
        <v>-133.28849689386647</v>
      </c>
      <c r="Z513">
        <f t="shared" si="406"/>
        <v>46.711503106133534</v>
      </c>
      <c r="AC513">
        <v>1</v>
      </c>
      <c r="AD513">
        <f t="shared" si="390"/>
        <v>192.26333389699801</v>
      </c>
      <c r="AE513">
        <f t="shared" si="391"/>
        <v>-1.0113594955181545E-2</v>
      </c>
      <c r="AF513">
        <f t="shared" si="392"/>
        <v>6.4400890033116005E-3</v>
      </c>
      <c r="AG513">
        <f t="shared" si="421"/>
        <v>8542.5934728984121</v>
      </c>
      <c r="AH513">
        <f t="shared" si="422"/>
        <v>-13570.671182763397</v>
      </c>
      <c r="AJ513">
        <f t="shared" si="393"/>
        <v>55000</v>
      </c>
      <c r="AK513">
        <f t="shared" si="394"/>
        <v>55409.094236120633</v>
      </c>
      <c r="AL513">
        <v>1</v>
      </c>
      <c r="AM513">
        <f t="shared" si="395"/>
        <v>78.502674770895382</v>
      </c>
      <c r="AN513">
        <f t="shared" si="423"/>
        <v>714.63302588004672</v>
      </c>
      <c r="AO513">
        <f t="shared" si="424"/>
        <v>-691.50977508152471</v>
      </c>
      <c r="AQ513">
        <f t="shared" si="396"/>
        <v>5.0939836912001655E-3</v>
      </c>
      <c r="AR513">
        <f t="shared" si="397"/>
        <v>-4.0133714608674183</v>
      </c>
      <c r="AT513">
        <f t="shared" si="418"/>
        <v>-54420.628597887007</v>
      </c>
      <c r="AU513">
        <f t="shared" si="419"/>
        <v>-34353.729623606414</v>
      </c>
      <c r="AV513">
        <f t="shared" si="407"/>
        <v>-2.5785022751229394</v>
      </c>
      <c r="AW513">
        <f t="shared" si="408"/>
        <v>5874.4142926671821</v>
      </c>
      <c r="AX513">
        <f t="shared" si="409"/>
        <v>-20042.058582814294</v>
      </c>
      <c r="AY513">
        <f t="shared" si="417"/>
        <v>-1.2856777732247568</v>
      </c>
      <c r="BA513">
        <f t="shared" si="398"/>
        <v>3.0814450375044684</v>
      </c>
      <c r="BB513">
        <f t="shared" si="410"/>
        <v>9.7750885159962326</v>
      </c>
      <c r="BC513">
        <f t="shared" si="411"/>
        <v>-1.2928245018981825</v>
      </c>
      <c r="BD513">
        <f t="shared" si="399"/>
        <v>-254.07338769450993</v>
      </c>
      <c r="BF513">
        <f t="shared" si="400"/>
        <v>-39.059139458644331</v>
      </c>
      <c r="BG513">
        <f t="shared" si="401"/>
        <v>-193.60975114376467</v>
      </c>
      <c r="BH513">
        <f t="shared" si="412"/>
        <v>-13.609751143764669</v>
      </c>
      <c r="BI513">
        <f t="shared" si="413"/>
        <v>-13.609751143764669</v>
      </c>
      <c r="BJ513">
        <f t="shared" si="402"/>
        <v>0</v>
      </c>
      <c r="BK513">
        <f t="shared" si="414"/>
        <v>0</v>
      </c>
      <c r="BM513">
        <f t="shared" si="415"/>
        <v>-48.834227974640562</v>
      </c>
      <c r="BN513">
        <f t="shared" si="403"/>
        <v>-119.53636344925476</v>
      </c>
      <c r="BQ513" s="75">
        <f t="shared" si="416"/>
        <v>26.677049316281369</v>
      </c>
    </row>
    <row r="514" spans="1:69">
      <c r="A514">
        <f t="shared" si="420"/>
        <v>1500000</v>
      </c>
      <c r="B514">
        <f t="shared" si="404"/>
        <v>1500</v>
      </c>
      <c r="C514">
        <f t="shared" si="373"/>
        <v>2.0181772711330059</v>
      </c>
      <c r="D514">
        <f t="shared" si="374"/>
        <v>1.0523898565510639</v>
      </c>
      <c r="F514">
        <f t="shared" si="375"/>
        <v>1.9828015529502164E-4</v>
      </c>
      <c r="G514">
        <f t="shared" si="376"/>
        <v>4.323472732209831E-3</v>
      </c>
      <c r="H514">
        <f t="shared" si="377"/>
        <v>-3.1372691772677905</v>
      </c>
      <c r="J514">
        <f t="shared" si="378"/>
        <v>9</v>
      </c>
      <c r="M514">
        <f t="shared" si="379"/>
        <v>2.8138139258469712E-3</v>
      </c>
      <c r="N514">
        <f t="shared" si="380"/>
        <v>-1.5707963250000001</v>
      </c>
      <c r="O514">
        <f t="shared" si="381"/>
        <v>192.90894699438527</v>
      </c>
      <c r="P514">
        <f t="shared" si="382"/>
        <v>1.5656125108327414</v>
      </c>
      <c r="Q514">
        <f t="shared" si="383"/>
        <v>78.771573245885776</v>
      </c>
      <c r="R514">
        <f t="shared" si="384"/>
        <v>1.5581010508092874</v>
      </c>
      <c r="S514">
        <f t="shared" si="385"/>
        <v>0.70329615448105776</v>
      </c>
      <c r="T514">
        <f t="shared" si="386"/>
        <v>-0.79077278599194045</v>
      </c>
      <c r="U514">
        <f t="shared" si="387"/>
        <v>0.53584700075449776</v>
      </c>
      <c r="V514">
        <f t="shared" si="388"/>
        <v>-1.0052857177728671</v>
      </c>
      <c r="X514">
        <f t="shared" si="405"/>
        <v>-24.72645235823828</v>
      </c>
      <c r="Y514">
        <f t="shared" si="389"/>
        <v>-133.38575445518404</v>
      </c>
      <c r="Z514">
        <f t="shared" si="406"/>
        <v>46.614245544815958</v>
      </c>
      <c r="AC514">
        <v>1</v>
      </c>
      <c r="AD514">
        <f t="shared" si="390"/>
        <v>192.90635508060004</v>
      </c>
      <c r="AE514">
        <f t="shared" si="391"/>
        <v>-1.0181357545959654E-2</v>
      </c>
      <c r="AF514">
        <f t="shared" si="392"/>
        <v>6.4616277625200004E-3</v>
      </c>
      <c r="AG514">
        <f t="shared" si="421"/>
        <v>8502.0628603347523</v>
      </c>
      <c r="AH514">
        <f t="shared" si="422"/>
        <v>-13551.158481642964</v>
      </c>
      <c r="AJ514">
        <f t="shared" si="393"/>
        <v>55000</v>
      </c>
      <c r="AK514">
        <f t="shared" si="394"/>
        <v>55594.408932562503</v>
      </c>
      <c r="AL514">
        <v>1</v>
      </c>
      <c r="AM514">
        <f t="shared" si="395"/>
        <v>78.765225522637508</v>
      </c>
      <c r="AN514">
        <f t="shared" si="423"/>
        <v>714.57440825953188</v>
      </c>
      <c r="AO514">
        <f t="shared" si="424"/>
        <v>-689.20548670477137</v>
      </c>
      <c r="AQ514">
        <f t="shared" si="396"/>
        <v>5.0600804539989962E-3</v>
      </c>
      <c r="AR514">
        <f t="shared" si="397"/>
        <v>-3.9999935988862063</v>
      </c>
      <c r="AT514">
        <f t="shared" si="418"/>
        <v>-54161.526061966128</v>
      </c>
      <c r="AU514">
        <f t="shared" si="419"/>
        <v>-34076.766970829165</v>
      </c>
      <c r="AV514">
        <f t="shared" si="407"/>
        <v>-2.5800008390668276</v>
      </c>
      <c r="AW514">
        <f t="shared" si="408"/>
        <v>5855.1117837579604</v>
      </c>
      <c r="AX514">
        <f t="shared" si="409"/>
        <v>-19998.790628075876</v>
      </c>
      <c r="AY514">
        <f t="shared" si="417"/>
        <v>-1.2859826545961528</v>
      </c>
      <c r="BA514">
        <f t="shared" si="398"/>
        <v>3.0707820248221021</v>
      </c>
      <c r="BB514">
        <f t="shared" si="410"/>
        <v>9.7449797949849888</v>
      </c>
      <c r="BC514">
        <f t="shared" si="411"/>
        <v>-1.2940181844706748</v>
      </c>
      <c r="BD514">
        <f t="shared" si="399"/>
        <v>-254.14178066807023</v>
      </c>
      <c r="BF514">
        <f t="shared" si="400"/>
        <v>-39.125398792536743</v>
      </c>
      <c r="BG514">
        <f t="shared" si="401"/>
        <v>-193.59656667573762</v>
      </c>
      <c r="BH514">
        <f t="shared" si="412"/>
        <v>-13.59656667573762</v>
      </c>
      <c r="BI514">
        <f t="shared" si="413"/>
        <v>-13.59656667573762</v>
      </c>
      <c r="BJ514">
        <f t="shared" si="402"/>
        <v>0</v>
      </c>
      <c r="BK514">
        <f t="shared" si="414"/>
        <v>0</v>
      </c>
      <c r="BM514">
        <f t="shared" si="415"/>
        <v>-48.870378587521728</v>
      </c>
      <c r="BN514">
        <f t="shared" si="403"/>
        <v>-119.45478600766742</v>
      </c>
      <c r="BQ514" s="75">
        <f t="shared" si="416"/>
        <v>26.646940595270124</v>
      </c>
    </row>
    <row r="515" spans="1:69">
      <c r="A515">
        <f t="shared" si="420"/>
        <v>1505000</v>
      </c>
      <c r="B515">
        <f t="shared" si="404"/>
        <v>1505</v>
      </c>
      <c r="C515">
        <f t="shared" si="373"/>
        <v>2.0232549450294099</v>
      </c>
      <c r="D515">
        <f t="shared" si="374"/>
        <v>1.053820900736224</v>
      </c>
      <c r="F515">
        <f t="shared" si="375"/>
        <v>1.9696462045878303E-4</v>
      </c>
      <c r="G515">
        <f t="shared" si="376"/>
        <v>4.309103537774135E-3</v>
      </c>
      <c r="H515">
        <f t="shared" si="377"/>
        <v>-3.1372835464622262</v>
      </c>
      <c r="J515">
        <f t="shared" si="378"/>
        <v>9</v>
      </c>
      <c r="M515">
        <f t="shared" si="379"/>
        <v>2.8044657068242236E-3</v>
      </c>
      <c r="N515">
        <f t="shared" si="380"/>
        <v>-1.5707963250000001</v>
      </c>
      <c r="O515">
        <f t="shared" si="381"/>
        <v>193.55195956709315</v>
      </c>
      <c r="P515">
        <f t="shared" si="382"/>
        <v>1.5656297325056943</v>
      </c>
      <c r="Q515">
        <f t="shared" si="383"/>
        <v>79.0341029105373</v>
      </c>
      <c r="R515">
        <f t="shared" si="384"/>
        <v>1.5581432232968397</v>
      </c>
      <c r="S515">
        <f t="shared" si="385"/>
        <v>0.70211241533056068</v>
      </c>
      <c r="T515">
        <f t="shared" si="386"/>
        <v>-0.79243655208325869</v>
      </c>
      <c r="U515">
        <f t="shared" si="387"/>
        <v>0.5345761202842878</v>
      </c>
      <c r="V515">
        <f t="shared" si="388"/>
        <v>-1.0067902206458645</v>
      </c>
      <c r="X515">
        <f t="shared" si="405"/>
        <v>-24.768804291901077</v>
      </c>
      <c r="Y515">
        <f t="shared" si="389"/>
        <v>-133.48271036267749</v>
      </c>
      <c r="Z515">
        <f t="shared" si="406"/>
        <v>46.517289637322506</v>
      </c>
      <c r="AC515">
        <v>1</v>
      </c>
      <c r="AD515">
        <f t="shared" si="390"/>
        <v>193.54937626420204</v>
      </c>
      <c r="AE515">
        <f t="shared" si="391"/>
        <v>-1.0249346389127676E-2</v>
      </c>
      <c r="AF515">
        <f t="shared" si="392"/>
        <v>6.4831665217284003E-3</v>
      </c>
      <c r="AG515">
        <f t="shared" si="421"/>
        <v>8461.7816148539077</v>
      </c>
      <c r="AH515">
        <f t="shared" si="422"/>
        <v>-13531.617697273306</v>
      </c>
      <c r="AJ515">
        <f t="shared" si="393"/>
        <v>55000</v>
      </c>
      <c r="AK515">
        <f t="shared" si="394"/>
        <v>55779.723629004373</v>
      </c>
      <c r="AL515">
        <v>1</v>
      </c>
      <c r="AM515">
        <f t="shared" si="395"/>
        <v>79.027776274379633</v>
      </c>
      <c r="AN515">
        <f t="shared" si="423"/>
        <v>714.51637377206509</v>
      </c>
      <c r="AO515">
        <f t="shared" si="424"/>
        <v>-686.91650183540571</v>
      </c>
      <c r="AQ515">
        <f t="shared" si="396"/>
        <v>5.0265145604821938E-3</v>
      </c>
      <c r="AR515">
        <f t="shared" si="397"/>
        <v>-3.9867046259280445</v>
      </c>
      <c r="AT515">
        <f t="shared" si="418"/>
        <v>-53904.029601514601</v>
      </c>
      <c r="AU515">
        <f t="shared" si="419"/>
        <v>-33802.640780913171</v>
      </c>
      <c r="AV515">
        <f t="shared" si="407"/>
        <v>-2.5814923229915245</v>
      </c>
      <c r="AW515">
        <f t="shared" si="408"/>
        <v>5835.8590060651541</v>
      </c>
      <c r="AX515">
        <f t="shared" si="409"/>
        <v>-19955.666787590653</v>
      </c>
      <c r="AY515">
        <f t="shared" si="417"/>
        <v>-1.2862885626508451</v>
      </c>
      <c r="BA515">
        <f t="shared" si="398"/>
        <v>3.0601930688067247</v>
      </c>
      <c r="BB515">
        <f t="shared" si="410"/>
        <v>9.7149765431760962</v>
      </c>
      <c r="BC515">
        <f t="shared" si="411"/>
        <v>-1.2952037603406794</v>
      </c>
      <c r="BD515">
        <f t="shared" si="399"/>
        <v>-254.20970916179164</v>
      </c>
      <c r="BF515">
        <f t="shared" si="400"/>
        <v>-39.191396587071566</v>
      </c>
      <c r="BG515">
        <f t="shared" si="401"/>
        <v>-193.58332567145604</v>
      </c>
      <c r="BH515">
        <f t="shared" si="412"/>
        <v>-13.583325671456038</v>
      </c>
      <c r="BI515">
        <f t="shared" si="413"/>
        <v>-13.583325671456038</v>
      </c>
      <c r="BJ515">
        <f t="shared" si="402"/>
        <v>0</v>
      </c>
      <c r="BK515">
        <f t="shared" si="414"/>
        <v>0</v>
      </c>
      <c r="BM515">
        <f t="shared" si="415"/>
        <v>-48.906373130247658</v>
      </c>
      <c r="BN515">
        <f t="shared" si="403"/>
        <v>-119.37361650966443</v>
      </c>
      <c r="BQ515" s="75">
        <f t="shared" si="416"/>
        <v>26.616937343461231</v>
      </c>
    </row>
    <row r="516" spans="1:69">
      <c r="A516">
        <f t="shared" si="420"/>
        <v>1510000</v>
      </c>
      <c r="B516">
        <f t="shared" si="404"/>
        <v>1510</v>
      </c>
      <c r="C516">
        <f t="shared" si="373"/>
        <v>2.028336741574404</v>
      </c>
      <c r="D516">
        <f t="shared" si="374"/>
        <v>1.0552447771466003</v>
      </c>
      <c r="F516">
        <f t="shared" si="375"/>
        <v>1.9566213545463786E-4</v>
      </c>
      <c r="G516">
        <f t="shared" si="376"/>
        <v>4.2948295579212361E-3</v>
      </c>
      <c r="H516">
        <f t="shared" si="377"/>
        <v>-3.1372978204420789</v>
      </c>
      <c r="J516">
        <f t="shared" si="378"/>
        <v>9</v>
      </c>
      <c r="M516">
        <f t="shared" si="379"/>
        <v>2.7951793965367263E-3</v>
      </c>
      <c r="N516">
        <f t="shared" si="380"/>
        <v>-1.5707963250000001</v>
      </c>
      <c r="O516">
        <f t="shared" si="381"/>
        <v>194.19497219682566</v>
      </c>
      <c r="P516">
        <f t="shared" si="382"/>
        <v>1.565646840130867</v>
      </c>
      <c r="Q516">
        <f t="shared" si="383"/>
        <v>79.296632714821726</v>
      </c>
      <c r="R516">
        <f t="shared" si="384"/>
        <v>1.5581851165409593</v>
      </c>
      <c r="S516">
        <f t="shared" si="385"/>
        <v>0.70093072377331311</v>
      </c>
      <c r="T516">
        <f t="shared" si="386"/>
        <v>-0.79409472234273448</v>
      </c>
      <c r="U516">
        <f t="shared" si="387"/>
        <v>0.53331005529650832</v>
      </c>
      <c r="V516">
        <f t="shared" si="388"/>
        <v>-1.0082876005069124</v>
      </c>
      <c r="X516">
        <f t="shared" si="405"/>
        <v>-24.81106722473195</v>
      </c>
      <c r="Y516">
        <f t="shared" si="389"/>
        <v>-133.57936529587747</v>
      </c>
      <c r="Z516">
        <f t="shared" si="406"/>
        <v>46.420634704122534</v>
      </c>
      <c r="AC516">
        <v>1</v>
      </c>
      <c r="AD516">
        <f t="shared" si="390"/>
        <v>194.19239744780401</v>
      </c>
      <c r="AE516">
        <f t="shared" si="391"/>
        <v>-1.0317561484685604E-2</v>
      </c>
      <c r="AF516">
        <f t="shared" si="392"/>
        <v>6.5047052809368002E-3</v>
      </c>
      <c r="AG516">
        <f t="shared" si="421"/>
        <v>8421.7481051188843</v>
      </c>
      <c r="AH516">
        <f t="shared" si="422"/>
        <v>-13512.050137103288</v>
      </c>
      <c r="AJ516">
        <f t="shared" si="393"/>
        <v>55000</v>
      </c>
      <c r="AK516">
        <f t="shared" si="394"/>
        <v>55965.038325446258</v>
      </c>
      <c r="AL516">
        <v>1</v>
      </c>
      <c r="AM516">
        <f t="shared" si="395"/>
        <v>79.290327026121759</v>
      </c>
      <c r="AN516">
        <f t="shared" si="423"/>
        <v>714.45891470888228</v>
      </c>
      <c r="AO516">
        <f t="shared" si="424"/>
        <v>-684.64266854905327</v>
      </c>
      <c r="AQ516">
        <f t="shared" si="396"/>
        <v>4.9932815499390514E-3</v>
      </c>
      <c r="AR516">
        <f t="shared" si="397"/>
        <v>-3.973503658994999</v>
      </c>
      <c r="AT516">
        <f t="shared" si="418"/>
        <v>-53648.12850087227</v>
      </c>
      <c r="AU516">
        <f t="shared" si="419"/>
        <v>-33531.316381475539</v>
      </c>
      <c r="AV516">
        <f t="shared" si="407"/>
        <v>-2.5829767701194819</v>
      </c>
      <c r="AW516">
        <f t="shared" si="408"/>
        <v>5816.6568423777935</v>
      </c>
      <c r="AX516">
        <f t="shared" si="409"/>
        <v>-19912.686547838108</v>
      </c>
      <c r="AY516">
        <f t="shared" si="417"/>
        <v>-1.2865954497541066</v>
      </c>
      <c r="BA516">
        <f t="shared" si="398"/>
        <v>3.0496774012789905</v>
      </c>
      <c r="BB516">
        <f t="shared" si="410"/>
        <v>9.6850780311700131</v>
      </c>
      <c r="BC516">
        <f t="shared" si="411"/>
        <v>-1.2963813203653753</v>
      </c>
      <c r="BD516">
        <f t="shared" si="399"/>
        <v>-254.27717838140714</v>
      </c>
      <c r="BF516">
        <f t="shared" si="400"/>
        <v>-39.25713484606338</v>
      </c>
      <c r="BG516">
        <f t="shared" si="401"/>
        <v>-193.57003062091886</v>
      </c>
      <c r="BH516">
        <f t="shared" si="412"/>
        <v>-13.570030620918857</v>
      </c>
      <c r="BI516">
        <f t="shared" si="413"/>
        <v>-13.570030620918857</v>
      </c>
      <c r="BJ516">
        <f t="shared" si="402"/>
        <v>0</v>
      </c>
      <c r="BK516">
        <f t="shared" si="414"/>
        <v>0</v>
      </c>
      <c r="BM516">
        <f t="shared" si="415"/>
        <v>-48.942212877233388</v>
      </c>
      <c r="BN516">
        <f t="shared" si="403"/>
        <v>-119.29285223951173</v>
      </c>
      <c r="BQ516" s="75">
        <f t="shared" si="416"/>
        <v>26.58703883145515</v>
      </c>
    </row>
    <row r="517" spans="1:69">
      <c r="A517">
        <f t="shared" si="420"/>
        <v>1515000</v>
      </c>
      <c r="B517">
        <f t="shared" si="404"/>
        <v>1515</v>
      </c>
      <c r="C517">
        <f t="shared" si="373"/>
        <v>2.0334226298588289</v>
      </c>
      <c r="D517">
        <f t="shared" si="374"/>
        <v>1.0566615337698377</v>
      </c>
      <c r="F517">
        <f t="shared" si="375"/>
        <v>1.9437252823882806E-4</v>
      </c>
      <c r="G517">
        <f t="shared" si="376"/>
        <v>4.280649849218273E-3</v>
      </c>
      <c r="H517">
        <f t="shared" si="377"/>
        <v>-3.1373120001507822</v>
      </c>
      <c r="J517">
        <f t="shared" si="378"/>
        <v>9</v>
      </c>
      <c r="M517">
        <f t="shared" si="379"/>
        <v>2.7859543820267043E-3</v>
      </c>
      <c r="N517">
        <f t="shared" si="380"/>
        <v>-1.5707963250000001</v>
      </c>
      <c r="O517">
        <f t="shared" si="381"/>
        <v>194.83798488301824</v>
      </c>
      <c r="P517">
        <f t="shared" si="382"/>
        <v>1.5656638348374059</v>
      </c>
      <c r="Q517">
        <f t="shared" si="383"/>
        <v>79.559162657356751</v>
      </c>
      <c r="R517">
        <f t="shared" si="384"/>
        <v>1.5582267333058473</v>
      </c>
      <c r="S517">
        <f t="shared" si="385"/>
        <v>0.69975108893356119</v>
      </c>
      <c r="T517">
        <f t="shared" si="386"/>
        <v>-0.7957473158816033</v>
      </c>
      <c r="U517">
        <f t="shared" si="387"/>
        <v>0.53204878862983018</v>
      </c>
      <c r="V517">
        <f t="shared" si="388"/>
        <v>-1.009777901154755</v>
      </c>
      <c r="X517">
        <f t="shared" si="405"/>
        <v>-24.853241579724546</v>
      </c>
      <c r="Y517">
        <f t="shared" si="389"/>
        <v>-133.67571994075325</v>
      </c>
      <c r="Z517">
        <f t="shared" si="406"/>
        <v>46.324280059246746</v>
      </c>
      <c r="AC517">
        <v>1</v>
      </c>
      <c r="AD517">
        <f t="shared" si="390"/>
        <v>194.83541863140604</v>
      </c>
      <c r="AE517">
        <f t="shared" si="391"/>
        <v>-1.0386002832633445E-2</v>
      </c>
      <c r="AF517">
        <f t="shared" si="392"/>
        <v>6.5262440401452002E-3</v>
      </c>
      <c r="AG517">
        <f t="shared" si="421"/>
        <v>8381.9607072535164</v>
      </c>
      <c r="AH517">
        <f t="shared" si="422"/>
        <v>-13492.457086633578</v>
      </c>
      <c r="AJ517">
        <f t="shared" si="393"/>
        <v>55000</v>
      </c>
      <c r="AK517">
        <f t="shared" si="394"/>
        <v>56150.353021888135</v>
      </c>
      <c r="AL517">
        <v>1</v>
      </c>
      <c r="AM517">
        <f t="shared" si="395"/>
        <v>79.552877777863884</v>
      </c>
      <c r="AN517">
        <f t="shared" si="423"/>
        <v>714.4020234881757</v>
      </c>
      <c r="AO517">
        <f t="shared" si="424"/>
        <v>-682.3838369253458</v>
      </c>
      <c r="AQ517">
        <f t="shared" si="396"/>
        <v>4.9603770351460486E-3</v>
      </c>
      <c r="AR517">
        <f t="shared" si="397"/>
        <v>-3.9603898267457804</v>
      </c>
      <c r="AT517">
        <f t="shared" si="418"/>
        <v>-53393.812098305876</v>
      </c>
      <c r="AU517">
        <f t="shared" si="419"/>
        <v>-33262.759587469925</v>
      </c>
      <c r="AV517">
        <f t="shared" si="407"/>
        <v>-2.5844542233958676</v>
      </c>
      <c r="AW517">
        <f t="shared" si="408"/>
        <v>5797.5061429972484</v>
      </c>
      <c r="AX517">
        <f t="shared" si="409"/>
        <v>-19869.849398286267</v>
      </c>
      <c r="AY517">
        <f t="shared" si="417"/>
        <v>-1.2869032693591114</v>
      </c>
      <c r="BA517">
        <f t="shared" si="398"/>
        <v>3.039234264521701</v>
      </c>
      <c r="BB517">
        <f t="shared" si="410"/>
        <v>9.65528353676123</v>
      </c>
      <c r="BC517">
        <f t="shared" si="411"/>
        <v>-1.2975509540367562</v>
      </c>
      <c r="BD517">
        <f t="shared" si="399"/>
        <v>-254.34419345443024</v>
      </c>
      <c r="BF517">
        <f t="shared" si="400"/>
        <v>-39.322615551681331</v>
      </c>
      <c r="BG517">
        <f t="shared" si="401"/>
        <v>-193.55668395620484</v>
      </c>
      <c r="BH517">
        <f t="shared" si="412"/>
        <v>-13.556683956204836</v>
      </c>
      <c r="BI517">
        <f t="shared" si="413"/>
        <v>-13.556683956204836</v>
      </c>
      <c r="BJ517">
        <f t="shared" si="402"/>
        <v>0</v>
      </c>
      <c r="BK517">
        <f t="shared" si="414"/>
        <v>0</v>
      </c>
      <c r="BM517">
        <f t="shared" si="415"/>
        <v>-48.977899088442555</v>
      </c>
      <c r="BN517">
        <f t="shared" si="403"/>
        <v>-119.21249050177462</v>
      </c>
      <c r="BQ517" s="75">
        <f t="shared" si="416"/>
        <v>26.557244337046363</v>
      </c>
    </row>
    <row r="518" spans="1:69">
      <c r="A518">
        <f>A517+5000</f>
        <v>1520000</v>
      </c>
      <c r="B518">
        <f t="shared" si="404"/>
        <v>1520</v>
      </c>
      <c r="C518">
        <f t="shared" si="373"/>
        <v>2.0385125792572238</v>
      </c>
      <c r="D518">
        <f t="shared" si="374"/>
        <v>1.0580712182292074</v>
      </c>
      <c r="F518">
        <f t="shared" si="375"/>
        <v>1.9309562959364711E-4</v>
      </c>
      <c r="G518">
        <f t="shared" si="376"/>
        <v>4.2665634806576631E-3</v>
      </c>
      <c r="H518">
        <f t="shared" si="377"/>
        <v>-3.1373260865193426</v>
      </c>
      <c r="J518">
        <f t="shared" si="378"/>
        <v>9</v>
      </c>
      <c r="M518">
        <f t="shared" si="379"/>
        <v>2.7767900584016163E-3</v>
      </c>
      <c r="N518">
        <f t="shared" si="380"/>
        <v>-1.5707963250000001</v>
      </c>
      <c r="O518">
        <f t="shared" si="381"/>
        <v>195.48099762511373</v>
      </c>
      <c r="P518">
        <f t="shared" si="382"/>
        <v>1.5656807177396006</v>
      </c>
      <c r="Q518">
        <f t="shared" si="383"/>
        <v>79.821692736778289</v>
      </c>
      <c r="R518">
        <f t="shared" si="384"/>
        <v>1.5582680763193431</v>
      </c>
      <c r="S518">
        <f t="shared" si="385"/>
        <v>0.69857351972596349</v>
      </c>
      <c r="T518">
        <f t="shared" si="386"/>
        <v>-0.7973943518046126</v>
      </c>
      <c r="U518">
        <f t="shared" si="387"/>
        <v>0.53079230306918834</v>
      </c>
      <c r="V518">
        <f t="shared" si="388"/>
        <v>-1.0112611661007642</v>
      </c>
      <c r="X518">
        <f t="shared" si="405"/>
        <v>-24.895327775513785</v>
      </c>
      <c r="Y518">
        <f t="shared" si="389"/>
        <v>-133.77177498953668</v>
      </c>
      <c r="Z518">
        <f t="shared" si="406"/>
        <v>46.228225010463319</v>
      </c>
      <c r="AC518">
        <v>1</v>
      </c>
      <c r="AD518">
        <f t="shared" si="390"/>
        <v>195.47843981500802</v>
      </c>
      <c r="AE518">
        <f t="shared" si="391"/>
        <v>-1.0454670432971195E-2</v>
      </c>
      <c r="AF518">
        <f t="shared" si="392"/>
        <v>6.5477827993536001E-3</v>
      </c>
      <c r="AG518">
        <f t="shared" si="421"/>
        <v>8342.4178049200509</v>
      </c>
      <c r="AH518">
        <f t="shared" si="422"/>
        <v>-13472.839809729023</v>
      </c>
      <c r="AJ518">
        <f t="shared" si="393"/>
        <v>55000</v>
      </c>
      <c r="AK518">
        <f t="shared" si="394"/>
        <v>56335.667718330005</v>
      </c>
      <c r="AL518">
        <v>1</v>
      </c>
      <c r="AM518">
        <f t="shared" si="395"/>
        <v>79.81542852960601</v>
      </c>
      <c r="AN518">
        <f t="shared" si="423"/>
        <v>714.34569265259381</v>
      </c>
      <c r="AO518">
        <f t="shared" si="424"/>
        <v>-680.13985901499211</v>
      </c>
      <c r="AQ518">
        <f t="shared" si="396"/>
        <v>4.927796700918842E-3</v>
      </c>
      <c r="AR518">
        <f t="shared" si="397"/>
        <v>-3.9473622693040289</v>
      </c>
      <c r="AT518">
        <f t="shared" si="418"/>
        <v>-53141.069786364846</v>
      </c>
      <c r="AU518">
        <f t="shared" si="419"/>
        <v>-32996.936693477932</v>
      </c>
      <c r="AV518">
        <f t="shared" si="407"/>
        <v>-2.5859247254897082</v>
      </c>
      <c r="AW518">
        <f t="shared" si="408"/>
        <v>5778.4077265847773</v>
      </c>
      <c r="AX518">
        <f t="shared" si="409"/>
        <v>-19827.154831286825</v>
      </c>
      <c r="AY518">
        <f t="shared" si="417"/>
        <v>-1.2872119759824912</v>
      </c>
      <c r="BA518">
        <f t="shared" si="398"/>
        <v>3.0288629111066578</v>
      </c>
      <c r="BB518">
        <f t="shared" si="410"/>
        <v>9.6255923448529899</v>
      </c>
      <c r="BC518">
        <f t="shared" si="411"/>
        <v>-1.298712749507217</v>
      </c>
      <c r="BD518">
        <f t="shared" si="399"/>
        <v>-254.4107594316211</v>
      </c>
      <c r="BF518">
        <f t="shared" si="400"/>
        <v>-39.387840664737503</v>
      </c>
      <c r="BG518">
        <f t="shared" si="401"/>
        <v>-193.54328805280448</v>
      </c>
      <c r="BH518">
        <f t="shared" si="412"/>
        <v>-13.543288052804485</v>
      </c>
      <c r="BI518">
        <f t="shared" si="413"/>
        <v>-13.543288052804485</v>
      </c>
      <c r="BJ518">
        <f t="shared" si="402"/>
        <v>0</v>
      </c>
      <c r="BK518">
        <f t="shared" si="414"/>
        <v>0</v>
      </c>
      <c r="BM518">
        <f t="shared" si="415"/>
        <v>-49.013433009590486</v>
      </c>
      <c r="BN518">
        <f t="shared" si="403"/>
        <v>-119.13252862118338</v>
      </c>
      <c r="BQ518" s="75">
        <f t="shared" si="416"/>
        <v>26.527553145138128</v>
      </c>
    </row>
    <row r="519" spans="1:69">
      <c r="A519">
        <f t="shared" si="420"/>
        <v>1525000</v>
      </c>
      <c r="B519">
        <f t="shared" si="404"/>
        <v>1525</v>
      </c>
      <c r="C519">
        <f t="shared" si="373"/>
        <v>2.0436065594249047</v>
      </c>
      <c r="D519">
        <f t="shared" si="374"/>
        <v>1.0594738777861477</v>
      </c>
      <c r="F519">
        <f t="shared" si="375"/>
        <v>1.9183127307191306E-4</v>
      </c>
      <c r="G519">
        <f t="shared" si="376"/>
        <v>4.2525695334531891E-3</v>
      </c>
      <c r="H519">
        <f t="shared" si="377"/>
        <v>-3.1373400804665472</v>
      </c>
      <c r="J519">
        <f t="shared" si="378"/>
        <v>9</v>
      </c>
      <c r="M519">
        <f t="shared" si="379"/>
        <v>2.7676858287019389E-3</v>
      </c>
      <c r="N519">
        <f t="shared" si="380"/>
        <v>-1.5707963250000001</v>
      </c>
      <c r="O519">
        <f t="shared" si="381"/>
        <v>196.12401042256229</v>
      </c>
      <c r="P519">
        <f t="shared" si="382"/>
        <v>1.5656974899371277</v>
      </c>
      <c r="Q519">
        <f t="shared" si="383"/>
        <v>80.084222951740131</v>
      </c>
      <c r="R519">
        <f t="shared" si="384"/>
        <v>1.5583091482735212</v>
      </c>
      <c r="S519">
        <f t="shared" si="385"/>
        <v>0.69739802485795588</v>
      </c>
      <c r="T519">
        <f t="shared" si="386"/>
        <v>-0.7990358492088403</v>
      </c>
      <c r="U519">
        <f t="shared" si="387"/>
        <v>0.52954058134904713</v>
      </c>
      <c r="V519">
        <f t="shared" si="388"/>
        <v>-1.0127374385702836</v>
      </c>
      <c r="X519">
        <f t="shared" si="405"/>
        <v>-24.937326226448459</v>
      </c>
      <c r="Y519">
        <f t="shared" si="389"/>
        <v>-133.86753114054983</v>
      </c>
      <c r="Z519">
        <f t="shared" si="406"/>
        <v>46.132468859450171</v>
      </c>
      <c r="AC519">
        <v>1</v>
      </c>
      <c r="AD519">
        <f t="shared" si="390"/>
        <v>196.12146099861002</v>
      </c>
      <c r="AE519">
        <f t="shared" si="391"/>
        <v>-1.0523564285698854E-2</v>
      </c>
      <c r="AF519">
        <f t="shared" si="392"/>
        <v>6.569321558562E-3</v>
      </c>
      <c r="AG519">
        <f t="shared" si="421"/>
        <v>8303.117789392827</v>
      </c>
      <c r="AH519">
        <f t="shared" si="422"/>
        <v>-13453.199548927376</v>
      </c>
      <c r="AJ519">
        <f t="shared" si="393"/>
        <v>55000</v>
      </c>
      <c r="AK519">
        <f t="shared" si="394"/>
        <v>56520.982414771875</v>
      </c>
      <c r="AL519">
        <v>1</v>
      </c>
      <c r="AM519">
        <f t="shared" si="395"/>
        <v>80.077979281348135</v>
      </c>
      <c r="AN519">
        <f t="shared" si="423"/>
        <v>714.28991486679786</v>
      </c>
      <c r="AO519">
        <f t="shared" si="424"/>
        <v>-677.91058880749631</v>
      </c>
      <c r="AQ519">
        <f t="shared" si="396"/>
        <v>4.8955363026974355E-3</v>
      </c>
      <c r="AR519">
        <f t="shared" si="397"/>
        <v>-3.9344201380703616</v>
      </c>
      <c r="AT519">
        <f t="shared" si="418"/>
        <v>-52889.891012215427</v>
      </c>
      <c r="AU519">
        <f t="shared" si="419"/>
        <v>-32733.81446613661</v>
      </c>
      <c r="AV519">
        <f t="shared" si="407"/>
        <v>-2.587388318795047</v>
      </c>
      <c r="AW519">
        <f t="shared" si="408"/>
        <v>5759.362380987739</v>
      </c>
      <c r="AX519">
        <f t="shared" si="409"/>
        <v>-19784.602341974954</v>
      </c>
      <c r="AY519">
        <f t="shared" si="417"/>
        <v>-1.2875215251804764</v>
      </c>
      <c r="BA519">
        <f t="shared" si="398"/>
        <v>3.0185626037247801</v>
      </c>
      <c r="BB519">
        <f t="shared" si="410"/>
        <v>9.5960037473729258</v>
      </c>
      <c r="BC519">
        <f t="shared" si="411"/>
        <v>-1.2998667936145707</v>
      </c>
      <c r="BD519">
        <f t="shared" si="399"/>
        <v>-254.47688128841997</v>
      </c>
      <c r="BF519">
        <f t="shared" si="400"/>
        <v>-39.452812124971018</v>
      </c>
      <c r="BG519">
        <f t="shared" si="401"/>
        <v>-193.52984523091962</v>
      </c>
      <c r="BH519">
        <f t="shared" si="412"/>
        <v>-13.529845230919619</v>
      </c>
      <c r="BI519">
        <f t="shared" si="413"/>
        <v>-13.529845230919619</v>
      </c>
      <c r="BJ519">
        <f t="shared" si="402"/>
        <v>0</v>
      </c>
      <c r="BK519">
        <f t="shared" si="414"/>
        <v>0</v>
      </c>
      <c r="BM519">
        <f t="shared" si="415"/>
        <v>-49.048815872343937</v>
      </c>
      <c r="BN519">
        <f t="shared" si="403"/>
        <v>-119.05296394249964</v>
      </c>
      <c r="BQ519" s="75">
        <f t="shared" si="416"/>
        <v>26.497964547658061</v>
      </c>
    </row>
    <row r="520" spans="1:69">
      <c r="A520">
        <f t="shared" si="420"/>
        <v>1530000</v>
      </c>
      <c r="B520">
        <f t="shared" si="404"/>
        <v>1530</v>
      </c>
      <c r="C520">
        <f t="shared" si="373"/>
        <v>2.0487045402950783</v>
      </c>
      <c r="D520">
        <f t="shared" si="374"/>
        <v>1.0608695593428064</v>
      </c>
      <c r="F520">
        <f t="shared" si="375"/>
        <v>1.905792949427103E-4</v>
      </c>
      <c r="G520">
        <f t="shared" si="376"/>
        <v>4.2386671008400731E-3</v>
      </c>
      <c r="H520">
        <f t="shared" si="377"/>
        <v>-3.1373539828991603</v>
      </c>
      <c r="J520">
        <f t="shared" si="378"/>
        <v>9</v>
      </c>
      <c r="M520">
        <f t="shared" si="379"/>
        <v>2.7586411037715405E-3</v>
      </c>
      <c r="N520">
        <f t="shared" si="380"/>
        <v>-1.5707963250000001</v>
      </c>
      <c r="O520">
        <f t="shared" si="381"/>
        <v>196.76702327482124</v>
      </c>
      <c r="P520">
        <f t="shared" si="382"/>
        <v>1.5657141525152891</v>
      </c>
      <c r="Q520">
        <f t="shared" si="383"/>
        <v>80.346753300913647</v>
      </c>
      <c r="R520">
        <f t="shared" si="384"/>
        <v>1.5583499518252739</v>
      </c>
      <c r="S520">
        <f t="shared" si="385"/>
        <v>0.69622461283210157</v>
      </c>
      <c r="T520">
        <f t="shared" si="386"/>
        <v>-0.80067182718253449</v>
      </c>
      <c r="U520">
        <f t="shared" si="387"/>
        <v>0.52829360615659304</v>
      </c>
      <c r="V520">
        <f t="shared" si="388"/>
        <v>-1.014206761503984</v>
      </c>
      <c r="X520">
        <f t="shared" si="405"/>
        <v>-24.97923734266238</v>
      </c>
      <c r="Y520">
        <f t="shared" si="389"/>
        <v>-133.9629890980346</v>
      </c>
      <c r="Z520">
        <f t="shared" si="406"/>
        <v>46.037010901965402</v>
      </c>
      <c r="AC520">
        <v>1</v>
      </c>
      <c r="AD520">
        <f t="shared" si="390"/>
        <v>196.76448218221202</v>
      </c>
      <c r="AE520">
        <f t="shared" si="391"/>
        <v>-1.0592684390816426E-2</v>
      </c>
      <c r="AF520">
        <f t="shared" si="392"/>
        <v>6.5908603177703999E-3</v>
      </c>
      <c r="AG520">
        <f t="shared" si="421"/>
        <v>8264.0590596280945</v>
      </c>
      <c r="AH520">
        <f t="shared" si="422"/>
        <v>-13433.53752574429</v>
      </c>
      <c r="AJ520">
        <f t="shared" si="393"/>
        <v>55000</v>
      </c>
      <c r="AK520">
        <f t="shared" si="394"/>
        <v>56706.297111213753</v>
      </c>
      <c r="AL520">
        <v>1</v>
      </c>
      <c r="AM520">
        <f t="shared" si="395"/>
        <v>80.340530033090261</v>
      </c>
      <c r="AN520">
        <f t="shared" si="423"/>
        <v>714.23468291507481</v>
      </c>
      <c r="AO520">
        <f t="shared" si="424"/>
        <v>-675.6958821995072</v>
      </c>
      <c r="AQ520">
        <f t="shared" si="396"/>
        <v>4.8635916651636616E-3</v>
      </c>
      <c r="AR520">
        <f t="shared" si="397"/>
        <v>-3.9215625955381124</v>
      </c>
      <c r="AT520">
        <f t="shared" si="418"/>
        <v>-52640.265277953586</v>
      </c>
      <c r="AU520">
        <f t="shared" si="419"/>
        <v>-32473.360136699273</v>
      </c>
      <c r="AV520">
        <f t="shared" si="407"/>
        <v>-2.5888450454321212</v>
      </c>
      <c r="AW520">
        <f t="shared" si="408"/>
        <v>5740.3708640449113</v>
      </c>
      <c r="AX520">
        <f t="shared" si="409"/>
        <v>-19742.191428173384</v>
      </c>
      <c r="AY520">
        <f t="shared" si="417"/>
        <v>-1.287831873525612</v>
      </c>
      <c r="BA520">
        <f t="shared" si="398"/>
        <v>3.0083326150194618</v>
      </c>
      <c r="BB520">
        <f t="shared" si="410"/>
        <v>9.5665170431897728</v>
      </c>
      <c r="BC520">
        <f t="shared" si="411"/>
        <v>-1.3010131719065092</v>
      </c>
      <c r="BD520">
        <f t="shared" si="399"/>
        <v>-254.54256392634852</v>
      </c>
      <c r="BF520">
        <f t="shared" si="400"/>
        <v>-39.517531851327774</v>
      </c>
      <c r="BG520">
        <f t="shared" si="401"/>
        <v>-193.5163577567306</v>
      </c>
      <c r="BH520">
        <f t="shared" si="412"/>
        <v>-13.516357756730599</v>
      </c>
      <c r="BI520">
        <f t="shared" si="413"/>
        <v>-13.516357756730599</v>
      </c>
      <c r="BJ520">
        <f t="shared" si="402"/>
        <v>0</v>
      </c>
      <c r="BK520">
        <f t="shared" si="414"/>
        <v>0</v>
      </c>
      <c r="BM520">
        <f t="shared" si="415"/>
        <v>-49.084048894517551</v>
      </c>
      <c r="BN520">
        <f t="shared" si="403"/>
        <v>-118.97379383038209</v>
      </c>
      <c r="BQ520" s="75">
        <f t="shared" si="416"/>
        <v>26.468477843474911</v>
      </c>
    </row>
    <row r="521" spans="1:69">
      <c r="A521">
        <f t="shared" si="420"/>
        <v>1535000</v>
      </c>
      <c r="B521">
        <f t="shared" si="404"/>
        <v>1535</v>
      </c>
      <c r="C521">
        <f t="shared" ref="C521:C584" si="425">SQRT((A521/Fesr)^2+1)</f>
        <v>2.0538064920759838</v>
      </c>
      <c r="D521">
        <f t="shared" ref="D521:D584" si="426">ATAN(A521/Fesr)</f>
        <v>1.0622583094445739</v>
      </c>
      <c r="F521">
        <f t="shared" ref="F521:F584" si="427">(Ro/(Ro+Rdcr))/SQRT((A521/(Q*Fo))^2+(1-(A521^2/Fo^2))^2)</f>
        <v>1.8933953413836682E-4</v>
      </c>
      <c r="G521">
        <f t="shared" ref="G521:G584" si="428">-ATAN(A521*Fo/(Q*(Fo^2-A521^2)))</f>
        <v>4.2248552878789781E-3</v>
      </c>
      <c r="H521">
        <f t="shared" ref="H521:H584" si="429">IF(G521&gt;0,G521-Pi,G521)</f>
        <v>-3.1373677947121212</v>
      </c>
      <c r="J521">
        <f t="shared" ref="J521:J584" si="430">Vin/Vramp</f>
        <v>9</v>
      </c>
      <c r="M521">
        <f t="shared" ref="M521:M584" si="431">1/(2*Pi*_Rfb1*(Cc1ea_u+Cc2ea_u)*A521)</f>
        <v>2.7496553021305907E-3</v>
      </c>
      <c r="N521">
        <f t="shared" ref="N521:N584" si="432">-Pi/2</f>
        <v>-1.5707963250000001</v>
      </c>
      <c r="O521">
        <f t="shared" ref="O521:O584" si="433">SQRT(1+(A521/Fz1_u)^2)</f>
        <v>197.410036181355</v>
      </c>
      <c r="P521">
        <f t="shared" ref="P521:P584" si="434">ATAN2(Fz1_u,A521)</f>
        <v>1.5657307065452475</v>
      </c>
      <c r="Q521">
        <f t="shared" ref="Q521:Q584" si="435">SQRT(1+(A521/Fz2_u)^2)</f>
        <v>80.609283782987518</v>
      </c>
      <c r="R521">
        <f t="shared" ref="R521:R584" si="436">ATAN2(Fz2_u,A521)</f>
        <v>1.5583904895968856</v>
      </c>
      <c r="S521">
        <f t="shared" ref="S521:S584" si="437">1/SQRT(1+(A521/Fp1_u)^2)</f>
        <v>0.69505329194842613</v>
      </c>
      <c r="T521">
        <f t="shared" ref="T521:T584" si="438">-ATAN2(Fp1_u,A521)</f>
        <v>-0.80230230480397302</v>
      </c>
      <c r="U521">
        <f t="shared" ref="U521:U584" si="439">1/SQRT(1+(A521/Fp2_u)^2)</f>
        <v>0.52705136013485343</v>
      </c>
      <c r="V521">
        <f t="shared" ref="V521:V584" si="440">-ATAN2(Fp2_u,A521)</f>
        <v>-1.015669177559233</v>
      </c>
      <c r="X521">
        <f t="shared" si="405"/>
        <v>-25.021061530144117</v>
      </c>
      <c r="Y521">
        <f t="shared" ref="Y521:Y584" si="441">(180/Pi)*(D521+H521+N521+P521+R521+T521+V521)</f>
        <v>-134.05814957198592</v>
      </c>
      <c r="Z521">
        <f t="shared" si="406"/>
        <v>45.941850428014078</v>
      </c>
      <c r="AC521">
        <v>1</v>
      </c>
      <c r="AD521">
        <f t="shared" ref="AD521:AD584" si="442">Rcea1_u*Cc1ea_u*A521*2*Pi</f>
        <v>197.40750336581402</v>
      </c>
      <c r="AE521">
        <f t="shared" ref="AE521:AE584" si="443">-Rcea1_u*Cc1ea_u*Cc2ea_u*(A521*2*Pi)^2</f>
        <v>-1.0662030748323907E-2</v>
      </c>
      <c r="AF521">
        <f t="shared" ref="AF521:AF584" si="444">(Cc2ea_u+Cc1ea_u)*A521*2*Pi</f>
        <v>6.6123990769787998E-3</v>
      </c>
      <c r="AG521">
        <f t="shared" si="421"/>
        <v>8225.2400223301665</v>
      </c>
      <c r="AH521">
        <f t="shared" si="422"/>
        <v>-13413.854940974708</v>
      </c>
      <c r="AJ521">
        <f t="shared" ref="AJ521:AJ584" si="445">_Rfb1</f>
        <v>55000</v>
      </c>
      <c r="AK521">
        <f t="shared" ref="AK521:AK584" si="446">_Rfb1*Rcea2_u*Cc3ea_u*A521*2*Pi</f>
        <v>56891.611807655638</v>
      </c>
      <c r="AL521">
        <v>1</v>
      </c>
      <c r="AM521">
        <f t="shared" ref="AM521:AM584" si="447">(_Rfb1+Rcea2_u)*Cc3ea_u*A521*2*Pi</f>
        <v>80.603080784832386</v>
      </c>
      <c r="AN521">
        <f t="shared" si="423"/>
        <v>714.17998969900202</v>
      </c>
      <c r="AO521">
        <f t="shared" si="424"/>
        <v>-673.49559696378651</v>
      </c>
      <c r="AQ521">
        <f t="shared" ref="AQ521:AQ584" si="448">Eadcg/(1+(Eadcg*A521/GBP)^2)</f>
        <v>4.8319586808901341E-3</v>
      </c>
      <c r="AR521">
        <f t="shared" ref="AR521:AR584" si="449">-(A521*Eadcg*Eadcg/GBP)/(1+(Eadcg*A521/GBP)^2)</f>
        <v>-3.9087888151126693</v>
      </c>
      <c r="AT521">
        <f t="shared" si="418"/>
        <v>-52392.182140897457</v>
      </c>
      <c r="AU521">
        <f t="shared" si="419"/>
        <v>-32215.541393727483</v>
      </c>
      <c r="AV521">
        <f t="shared" si="407"/>
        <v>-2.5902949472485548</v>
      </c>
      <c r="AW521">
        <f t="shared" si="408"/>
        <v>5721.4339043715654</v>
      </c>
      <c r="AX521">
        <f t="shared" si="409"/>
        <v>-19699.921590300866</v>
      </c>
      <c r="AY521">
        <f t="shared" si="417"/>
        <v>-1.2881429785840299</v>
      </c>
      <c r="BA521">
        <f t="shared" ref="BA521:BA584" si="450">SQRT(AT521^2+AU521^2)/SQRT(AW521^2+AX521^2)</f>
        <v>2.9981722274230571</v>
      </c>
      <c r="BB521">
        <f t="shared" si="410"/>
        <v>9.5371315380309927</v>
      </c>
      <c r="BC521">
        <f t="shared" si="411"/>
        <v>-1.3021519686645249</v>
      </c>
      <c r="BD521">
        <f t="shared" ref="BD521:BD584" si="451">BC521*180/Pi-180</f>
        <v>-254.60781217438057</v>
      </c>
      <c r="BF521">
        <f t="shared" ref="BF521:BF584" si="452">20*LOG(BA521*J521*F521*C521)</f>
        <v>-39.582001742236031</v>
      </c>
      <c r="BG521">
        <f t="shared" ref="BG521:BG584" si="453">(180/Pi)*(D521+H521+BC521)</f>
        <v>-193.50282784363304</v>
      </c>
      <c r="BH521">
        <f t="shared" si="412"/>
        <v>-13.502827843633042</v>
      </c>
      <c r="BI521">
        <f t="shared" si="413"/>
        <v>-13.502827843633042</v>
      </c>
      <c r="BJ521">
        <f t="shared" ref="BJ521:BJ584" si="454">SUM((BF522&lt;0)*(BF521&gt;0))*A521</f>
        <v>0</v>
      </c>
      <c r="BK521">
        <f t="shared" si="414"/>
        <v>0</v>
      </c>
      <c r="BM521">
        <f t="shared" si="415"/>
        <v>-49.119133280267022</v>
      </c>
      <c r="BN521">
        <f t="shared" ref="BN521:BN584" si="455">(H521+D521)*180/Pi</f>
        <v>-118.8950156692525</v>
      </c>
      <c r="BQ521" s="75">
        <f t="shared" si="416"/>
        <v>26.439092338316129</v>
      </c>
    </row>
    <row r="522" spans="1:69">
      <c r="A522">
        <f t="shared" si="420"/>
        <v>1540000</v>
      </c>
      <c r="B522">
        <f t="shared" ref="B522:B585" si="456">A522/1000</f>
        <v>1540</v>
      </c>
      <c r="C522">
        <f t="shared" si="425"/>
        <v>2.0589123852480617</v>
      </c>
      <c r="D522">
        <f t="shared" si="426"/>
        <v>1.0636401742826145</v>
      </c>
      <c r="F522">
        <f t="shared" si="427"/>
        <v>1.881118322026358E-4</v>
      </c>
      <c r="G522">
        <f t="shared" si="428"/>
        <v>4.2111332112638178E-3</v>
      </c>
      <c r="H522">
        <f t="shared" si="429"/>
        <v>-3.1373815167887362</v>
      </c>
      <c r="J522">
        <f t="shared" si="430"/>
        <v>9</v>
      </c>
      <c r="M522">
        <f t="shared" si="431"/>
        <v>2.7407278498509462E-3</v>
      </c>
      <c r="N522">
        <f t="shared" si="432"/>
        <v>-1.5707963250000001</v>
      </c>
      <c r="O522">
        <f t="shared" si="433"/>
        <v>198.05304914163492</v>
      </c>
      <c r="P522">
        <f t="shared" si="434"/>
        <v>1.5657471530842544</v>
      </c>
      <c r="Q522">
        <f t="shared" si="435"/>
        <v>80.871814396667489</v>
      </c>
      <c r="R522">
        <f t="shared" si="436"/>
        <v>1.5584307641765935</v>
      </c>
      <c r="S522">
        <f t="shared" si="437"/>
        <v>0.69388407030673849</v>
      </c>
      <c r="T522">
        <f t="shared" si="438"/>
        <v>-0.8039273011403435</v>
      </c>
      <c r="U522">
        <f t="shared" si="439"/>
        <v>0.52581382588574455</v>
      </c>
      <c r="V522">
        <f t="shared" si="440"/>
        <v>-1.0171247291114736</v>
      </c>
      <c r="X522">
        <f t="shared" ref="X522:X585" si="457">20*LOG(C522*J522*O522*Q522*F522*M522*S522*U522)</f>
        <v>-25.0627991908053</v>
      </c>
      <c r="Y522">
        <f t="shared" si="441"/>
        <v>-134.15301327798699</v>
      </c>
      <c r="Z522">
        <f t="shared" ref="Z522:Z585" si="458">Y522+180</f>
        <v>45.846986722013014</v>
      </c>
      <c r="AC522">
        <v>1</v>
      </c>
      <c r="AD522">
        <f t="shared" si="442"/>
        <v>198.05052454941602</v>
      </c>
      <c r="AE522">
        <f t="shared" si="443"/>
        <v>-1.0731603358221294E-2</v>
      </c>
      <c r="AF522">
        <f t="shared" si="444"/>
        <v>6.6339378361871997E-3</v>
      </c>
      <c r="AG522">
        <f t="shared" si="421"/>
        <v>8186.6590920139251</v>
      </c>
      <c r="AH522">
        <f t="shared" si="422"/>
        <v>-13394.152974990604</v>
      </c>
      <c r="AJ522">
        <f t="shared" si="445"/>
        <v>55000</v>
      </c>
      <c r="AK522">
        <f t="shared" si="446"/>
        <v>57076.926504097508</v>
      </c>
      <c r="AL522">
        <v>1</v>
      </c>
      <c r="AM522">
        <f t="shared" si="447"/>
        <v>80.865631536574512</v>
      </c>
      <c r="AN522">
        <f t="shared" si="423"/>
        <v>714.12582823516914</v>
      </c>
      <c r="AO522">
        <f t="shared" si="424"/>
        <v>-671.30959271878078</v>
      </c>
      <c r="AQ522">
        <f t="shared" si="448"/>
        <v>4.8006333090198612E-3</v>
      </c>
      <c r="AR522">
        <f t="shared" si="449"/>
        <v>-3.8960979809343388</v>
      </c>
      <c r="AT522">
        <f t="shared" si="418"/>
        <v>-52145.631213859851</v>
      </c>
      <c r="AU522">
        <f t="shared" si="419"/>
        <v>-31960.326375911045</v>
      </c>
      <c r="AV522">
        <f t="shared" ref="AV522:AV585" si="459">ATAN2(AT522,AU522)</f>
        <v>-2.5917380658205609</v>
      </c>
      <c r="AW522">
        <f t="shared" ref="AW522:AW585" si="460">AG522-AH522*AO522/_Rfb2+AG522*AN522/_Rfb2+AN522-AO522*AR522+AQ522*AN522</f>
        <v>5702.5522021247589</v>
      </c>
      <c r="AX522">
        <f t="shared" ref="AX522:AX585" si="461">AH522+AH522*AN522/_Rfb2+AG522*AO522/_Rfb2+AO522+AO522*AQ522+AN522*AR522</f>
        <v>-19657.792331284618</v>
      </c>
      <c r="AY522">
        <f t="shared" si="417"/>
        <v>-1.2884547988932646</v>
      </c>
      <c r="BA522">
        <f t="shared" si="450"/>
        <v>2.9880807329964747</v>
      </c>
      <c r="BB522">
        <f t="shared" ref="BB522:BB585" si="462">20*LOG(BA522)</f>
        <v>9.5078465444014597</v>
      </c>
      <c r="BC522">
        <f t="shared" ref="BC522:BC585" si="463">AV522-AY522</f>
        <v>-1.3032832669272962</v>
      </c>
      <c r="BD522">
        <f t="shared" si="451"/>
        <v>-254.67263079028191</v>
      </c>
      <c r="BF522">
        <f t="shared" si="452"/>
        <v>-39.646223675877785</v>
      </c>
      <c r="BG522">
        <f t="shared" si="453"/>
        <v>-193.48925765344376</v>
      </c>
      <c r="BH522">
        <f t="shared" ref="BH522:BH585" si="464">IF(BG522&gt;180,BG522-180,BG522+180)</f>
        <v>-13.489257653443758</v>
      </c>
      <c r="BI522">
        <f t="shared" ref="BI522:BI585" si="465">IF(BH522&gt;180,BH522-360,BH522)</f>
        <v>-13.489257653443758</v>
      </c>
      <c r="BJ522">
        <f t="shared" si="454"/>
        <v>0</v>
      </c>
      <c r="BK522">
        <f t="shared" ref="BK522:BK585" si="466">IF(BJ522&gt;0,BI522,0)</f>
        <v>0</v>
      </c>
      <c r="BM522">
        <f t="shared" ref="BM522:BM585" si="467">20*LOG(J522*F522*C522)</f>
        <v>-49.154070220279245</v>
      </c>
      <c r="BN522">
        <f t="shared" si="455"/>
        <v>-118.81662686316187</v>
      </c>
      <c r="BQ522" s="75">
        <f t="shared" ref="BQ522:BQ585" si="468">20*LOG(BA522*7)</f>
        <v>26.409807344686595</v>
      </c>
    </row>
    <row r="523" spans="1:69">
      <c r="A523">
        <f t="shared" si="420"/>
        <v>1545000</v>
      </c>
      <c r="B523">
        <f t="shared" si="456"/>
        <v>1545</v>
      </c>
      <c r="C523">
        <f t="shared" si="425"/>
        <v>2.0640221905611589</v>
      </c>
      <c r="D523">
        <f t="shared" si="426"/>
        <v>1.0650151996963912</v>
      </c>
      <c r="F523">
        <f t="shared" si="427"/>
        <v>1.8689603324004918E-4</v>
      </c>
      <c r="G523">
        <f t="shared" si="428"/>
        <v>4.1974999991333146E-3</v>
      </c>
      <c r="H523">
        <f t="shared" si="429"/>
        <v>-3.137395150000867</v>
      </c>
      <c r="J523">
        <f t="shared" si="430"/>
        <v>9</v>
      </c>
      <c r="M523">
        <f t="shared" si="431"/>
        <v>2.7318581804339527E-3</v>
      </c>
      <c r="N523">
        <f t="shared" si="432"/>
        <v>-1.5707963250000001</v>
      </c>
      <c r="O523">
        <f t="shared" si="433"/>
        <v>198.6960621551392</v>
      </c>
      <c r="P523">
        <f t="shared" si="434"/>
        <v>1.5657634931758755</v>
      </c>
      <c r="Q523">
        <f t="shared" si="435"/>
        <v>81.13434514067599</v>
      </c>
      <c r="R523">
        <f t="shared" si="436"/>
        <v>1.5584707781191389</v>
      </c>
      <c r="S523">
        <f t="shared" si="437"/>
        <v>0.69271695580893355</v>
      </c>
      <c r="T523">
        <f t="shared" si="438"/>
        <v>-0.80554683524664317</v>
      </c>
      <c r="U523">
        <f t="shared" si="439"/>
        <v>0.52458098597304859</v>
      </c>
      <c r="V523">
        <f t="shared" si="440"/>
        <v>-1.0185734582556163</v>
      </c>
      <c r="X523">
        <f t="shared" si="457"/>
        <v>-25.104450722547647</v>
      </c>
      <c r="Y523">
        <f t="shared" si="441"/>
        <v>-134.24758093704787</v>
      </c>
      <c r="Z523">
        <f t="shared" si="458"/>
        <v>45.752419062952129</v>
      </c>
      <c r="AC523">
        <v>1</v>
      </c>
      <c r="AD523">
        <f t="shared" si="442"/>
        <v>198.69354573301803</v>
      </c>
      <c r="AE523">
        <f t="shared" si="443"/>
        <v>-1.0801402220508596E-2</v>
      </c>
      <c r="AF523">
        <f t="shared" si="444"/>
        <v>6.6554765953955996E-3</v>
      </c>
      <c r="AG523">
        <f t="shared" si="421"/>
        <v>8148.3146910637624</v>
      </c>
      <c r="AH523">
        <f t="shared" si="422"/>
        <v>-13374.432788035074</v>
      </c>
      <c r="AJ523">
        <f t="shared" si="445"/>
        <v>55000</v>
      </c>
      <c r="AK523">
        <f t="shared" si="446"/>
        <v>57262.241200539378</v>
      </c>
      <c r="AL523">
        <v>1</v>
      </c>
      <c r="AM523">
        <f t="shared" si="447"/>
        <v>81.128182288316637</v>
      </c>
      <c r="AN523">
        <f t="shared" si="423"/>
        <v>714.07219165294828</v>
      </c>
      <c r="AO523">
        <f t="shared" si="424"/>
        <v>-669.13773089878327</v>
      </c>
      <c r="AQ523">
        <f t="shared" si="448"/>
        <v>4.7696115739757072E-3</v>
      </c>
      <c r="AR523">
        <f t="shared" si="449"/>
        <v>-3.8834892877046308</v>
      </c>
      <c r="AT523">
        <f t="shared" si="418"/>
        <v>-51900.602165400895</v>
      </c>
      <c r="AU523">
        <f t="shared" si="419"/>
        <v>-31707.683665013563</v>
      </c>
      <c r="AV523">
        <f t="shared" si="459"/>
        <v>-2.5931744424541678</v>
      </c>
      <c r="AW523">
        <f t="shared" si="460"/>
        <v>5683.7264297493157</v>
      </c>
      <c r="AX523">
        <f t="shared" si="461"/>
        <v>-19615.803156476682</v>
      </c>
      <c r="AY523">
        <f t="shared" ref="AY523:AY586" si="469">ATAN2(AW523,AX523)</f>
        <v>-1.2887672939405994</v>
      </c>
      <c r="BA523">
        <f t="shared" si="450"/>
        <v>2.9780574332717786</v>
      </c>
      <c r="BB523">
        <f t="shared" si="462"/>
        <v>9.4786613815030734</v>
      </c>
      <c r="BC523">
        <f t="shared" si="463"/>
        <v>-1.3044071485135684</v>
      </c>
      <c r="BD523">
        <f t="shared" si="451"/>
        <v>-254.73702446192135</v>
      </c>
      <c r="BF523">
        <f t="shared" si="452"/>
        <v>-39.710199510456107</v>
      </c>
      <c r="BG523">
        <f t="shared" si="453"/>
        <v>-193.47564929757775</v>
      </c>
      <c r="BH523">
        <f t="shared" si="464"/>
        <v>-13.475649297577746</v>
      </c>
      <c r="BI523">
        <f t="shared" si="465"/>
        <v>-13.475649297577746</v>
      </c>
      <c r="BJ523">
        <f t="shared" si="454"/>
        <v>0</v>
      </c>
      <c r="BK523">
        <f t="shared" si="466"/>
        <v>0</v>
      </c>
      <c r="BM523">
        <f t="shared" si="467"/>
        <v>-49.18886089195918</v>
      </c>
      <c r="BN523">
        <f t="shared" si="455"/>
        <v>-118.73862483565641</v>
      </c>
      <c r="BQ523" s="75">
        <f t="shared" si="468"/>
        <v>26.380622181788208</v>
      </c>
    </row>
    <row r="524" spans="1:69">
      <c r="A524">
        <f t="shared" si="420"/>
        <v>1550000</v>
      </c>
      <c r="B524">
        <f t="shared" si="456"/>
        <v>1550</v>
      </c>
      <c r="C524">
        <f t="shared" si="425"/>
        <v>2.0691358790317573</v>
      </c>
      <c r="D524">
        <f t="shared" si="426"/>
        <v>1.0663834311761846</v>
      </c>
      <c r="F524">
        <f t="shared" si="427"/>
        <v>1.8569198386641367E-4</v>
      </c>
      <c r="G524">
        <f t="shared" si="428"/>
        <v>4.1839547908862048E-3</v>
      </c>
      <c r="H524">
        <f t="shared" si="429"/>
        <v>-3.137408695209114</v>
      </c>
      <c r="J524">
        <f t="shared" si="430"/>
        <v>9</v>
      </c>
      <c r="M524">
        <f t="shared" si="431"/>
        <v>2.7230457346906173E-3</v>
      </c>
      <c r="N524">
        <f t="shared" si="432"/>
        <v>-1.5707963250000001</v>
      </c>
      <c r="O524">
        <f t="shared" si="433"/>
        <v>199.3390752213528</v>
      </c>
      <c r="P524">
        <f t="shared" si="434"/>
        <v>1.5657797278502121</v>
      </c>
      <c r="Q524">
        <f t="shared" si="435"/>
        <v>81.396876013751992</v>
      </c>
      <c r="R524">
        <f t="shared" si="436"/>
        <v>1.5585105339463066</v>
      </c>
      <c r="S524">
        <f t="shared" si="437"/>
        <v>0.69155195616128329</v>
      </c>
      <c r="T524">
        <f t="shared" si="438"/>
        <v>-0.80716092616459834</v>
      </c>
      <c r="U524">
        <f t="shared" si="439"/>
        <v>0.5233528229253227</v>
      </c>
      <c r="V524">
        <f t="shared" si="440"/>
        <v>-1.0200154068074394</v>
      </c>
      <c r="X524">
        <f t="shared" si="457"/>
        <v>-25.146016519328548</v>
      </c>
      <c r="Y524">
        <f t="shared" si="441"/>
        <v>-134.34185327544634</v>
      </c>
      <c r="Z524">
        <f t="shared" si="458"/>
        <v>45.65814672455366</v>
      </c>
      <c r="AC524">
        <v>1</v>
      </c>
      <c r="AD524">
        <f t="shared" si="442"/>
        <v>199.33656691662003</v>
      </c>
      <c r="AE524">
        <f t="shared" si="443"/>
        <v>-1.0871427335185807E-2</v>
      </c>
      <c r="AF524">
        <f t="shared" si="444"/>
        <v>6.6770153546040012E-3</v>
      </c>
      <c r="AG524">
        <f t="shared" si="421"/>
        <v>8110.2052497892182</v>
      </c>
      <c r="AH524">
        <f t="shared" si="422"/>
        <v>-13354.695520512905</v>
      </c>
      <c r="AJ524">
        <f t="shared" si="445"/>
        <v>55000</v>
      </c>
      <c r="AK524">
        <f t="shared" si="446"/>
        <v>57447.555896981256</v>
      </c>
      <c r="AL524">
        <v>1</v>
      </c>
      <c r="AM524">
        <f t="shared" si="447"/>
        <v>81.390733040058763</v>
      </c>
      <c r="AN524">
        <f t="shared" si="423"/>
        <v>714.01907319231543</v>
      </c>
      <c r="AO524">
        <f t="shared" si="424"/>
        <v>-666.97987472467287</v>
      </c>
      <c r="AQ524">
        <f t="shared" si="448"/>
        <v>4.7388895641989693E-3</v>
      </c>
      <c r="AR524">
        <f t="shared" si="449"/>
        <v>-3.8709619405159286</v>
      </c>
      <c r="AT524">
        <f t="shared" si="418"/>
        <v>-51657.084720062274</v>
      </c>
      <c r="AU524">
        <f t="shared" si="419"/>
        <v>-31457.582278941754</v>
      </c>
      <c r="AV524">
        <f t="shared" si="459"/>
        <v>-2.5946041181864485</v>
      </c>
      <c r="AW524">
        <f t="shared" si="460"/>
        <v>5664.9572327051974</v>
      </c>
      <c r="AX524">
        <f t="shared" si="461"/>
        <v>-19573.953573574159</v>
      </c>
      <c r="AY524">
        <f t="shared" si="469"/>
        <v>-1.2890804241419234</v>
      </c>
      <c r="BA524">
        <f t="shared" si="450"/>
        <v>2.9681016390977599</v>
      </c>
      <c r="BB524">
        <f t="shared" si="462"/>
        <v>9.4495753751553622</v>
      </c>
      <c r="BC524">
        <f t="shared" si="463"/>
        <v>-1.3055236940445252</v>
      </c>
      <c r="BD524">
        <f t="shared" si="451"/>
        <v>-254.80099780855247</v>
      </c>
      <c r="BF524">
        <f t="shared" si="452"/>
        <v>-39.773931084458397</v>
      </c>
      <c r="BG524">
        <f t="shared" si="453"/>
        <v>-193.46200483819624</v>
      </c>
      <c r="BH524">
        <f t="shared" si="464"/>
        <v>-13.462004838196236</v>
      </c>
      <c r="BI524">
        <f t="shared" si="465"/>
        <v>-13.462004838196236</v>
      </c>
      <c r="BJ524">
        <f t="shared" si="454"/>
        <v>0</v>
      </c>
      <c r="BK524">
        <f t="shared" si="466"/>
        <v>0</v>
      </c>
      <c r="BM524">
        <f t="shared" si="467"/>
        <v>-49.223506459613766</v>
      </c>
      <c r="BN524">
        <f t="shared" si="455"/>
        <v>-118.66100702964378</v>
      </c>
      <c r="BQ524" s="75">
        <f t="shared" si="468"/>
        <v>26.351536175440501</v>
      </c>
    </row>
    <row r="525" spans="1:69">
      <c r="A525">
        <f t="shared" si="420"/>
        <v>1555000</v>
      </c>
      <c r="B525">
        <f t="shared" si="456"/>
        <v>1555</v>
      </c>
      <c r="C525">
        <f t="shared" si="425"/>
        <v>2.0742534219402353</v>
      </c>
      <c r="D525">
        <f t="shared" si="426"/>
        <v>1.0677449138656072</v>
      </c>
      <c r="F525">
        <f t="shared" si="427"/>
        <v>1.8449953316041978E-4</v>
      </c>
      <c r="G525">
        <f t="shared" si="428"/>
        <v>4.1704967370000097E-3</v>
      </c>
      <c r="H525">
        <f t="shared" si="429"/>
        <v>-3.137422153263</v>
      </c>
      <c r="J525">
        <f t="shared" si="430"/>
        <v>9</v>
      </c>
      <c r="M525">
        <f t="shared" si="431"/>
        <v>2.714289960624088E-3</v>
      </c>
      <c r="N525">
        <f t="shared" si="432"/>
        <v>-1.5707963250000001</v>
      </c>
      <c r="O525">
        <f t="shared" si="433"/>
        <v>199.98208833976724</v>
      </c>
      <c r="P525">
        <f t="shared" si="434"/>
        <v>1.5657958581241176</v>
      </c>
      <c r="Q525">
        <f t="shared" si="435"/>
        <v>81.65940701465064</v>
      </c>
      <c r="R525">
        <f t="shared" si="436"/>
        <v>1.5585500341474552</v>
      </c>
      <c r="S525">
        <f t="shared" si="437"/>
        <v>0.69038907887670986</v>
      </c>
      <c r="T525">
        <f t="shared" si="438"/>
        <v>-0.80876959292160366</v>
      </c>
      <c r="U525">
        <f t="shared" si="439"/>
        <v>0.5221293192387404</v>
      </c>
      <c r="V525">
        <f t="shared" si="440"/>
        <v>-1.021450616304999</v>
      </c>
      <c r="X525">
        <f t="shared" si="457"/>
        <v>-25.18749697122545</v>
      </c>
      <c r="Y525">
        <f t="shared" si="441"/>
        <v>-134.43583102457157</v>
      </c>
      <c r="Z525">
        <f t="shared" si="458"/>
        <v>45.56416897542843</v>
      </c>
      <c r="AC525">
        <v>1</v>
      </c>
      <c r="AD525">
        <f t="shared" si="442"/>
        <v>199.97958810022203</v>
      </c>
      <c r="AE525">
        <f t="shared" si="443"/>
        <v>-1.0941678702252929E-2</v>
      </c>
      <c r="AF525">
        <f t="shared" si="444"/>
        <v>6.6985541138124011E-3</v>
      </c>
      <c r="AG525">
        <f t="shared" si="421"/>
        <v>8072.3292064771358</v>
      </c>
      <c r="AH525">
        <f t="shared" si="422"/>
        <v>-13334.942293277529</v>
      </c>
      <c r="AJ525">
        <f t="shared" si="445"/>
        <v>55000</v>
      </c>
      <c r="AK525">
        <f t="shared" si="446"/>
        <v>57632.870593423126</v>
      </c>
      <c r="AL525">
        <v>1</v>
      </c>
      <c r="AM525">
        <f t="shared" si="447"/>
        <v>81.653283791800888</v>
      </c>
      <c r="AN525">
        <f t="shared" si="423"/>
        <v>713.966466201721</v>
      </c>
      <c r="AO525">
        <f t="shared" si="424"/>
        <v>-664.83588917521706</v>
      </c>
      <c r="AQ525">
        <f t="shared" si="448"/>
        <v>4.7084634309162814E-3</v>
      </c>
      <c r="AR525">
        <f t="shared" si="449"/>
        <v>-3.8585151546844285</v>
      </c>
      <c r="AT525">
        <f t="shared" si="418"/>
        <v>-51415.068658582655</v>
      </c>
      <c r="AU525">
        <f t="shared" si="419"/>
        <v>-31209.991664935031</v>
      </c>
      <c r="AV525">
        <f t="shared" si="459"/>
        <v>-2.5960271337867695</v>
      </c>
      <c r="AW525">
        <f t="shared" si="460"/>
        <v>5646.2452301764515</v>
      </c>
      <c r="AX525">
        <f t="shared" si="461"/>
        <v>-19532.243092542951</v>
      </c>
      <c r="AY525">
        <f t="shared" si="469"/>
        <v>-1.2893941508210949</v>
      </c>
      <c r="BA525">
        <f t="shared" si="450"/>
        <v>2.9582126704884066</v>
      </c>
      <c r="BB525">
        <f t="shared" si="462"/>
        <v>9.420587857717063</v>
      </c>
      <c r="BC525">
        <f t="shared" si="463"/>
        <v>-1.3066329829656746</v>
      </c>
      <c r="BD525">
        <f t="shared" si="451"/>
        <v>-254.86455538206758</v>
      </c>
      <c r="BF525">
        <f t="shared" si="452"/>
        <v>-39.837420216915767</v>
      </c>
      <c r="BG525">
        <f t="shared" si="453"/>
        <v>-193.44832628932721</v>
      </c>
      <c r="BH525">
        <f t="shared" si="464"/>
        <v>-13.448326289327213</v>
      </c>
      <c r="BI525">
        <f t="shared" si="465"/>
        <v>-13.448326289327213</v>
      </c>
      <c r="BJ525">
        <f t="shared" si="454"/>
        <v>0</v>
      </c>
      <c r="BK525">
        <f t="shared" si="466"/>
        <v>0</v>
      </c>
      <c r="BM525">
        <f t="shared" si="467"/>
        <v>-49.258008074632833</v>
      </c>
      <c r="BN525">
        <f t="shared" si="455"/>
        <v>-118.58377090725963</v>
      </c>
      <c r="BQ525" s="75">
        <f t="shared" si="468"/>
        <v>26.322548658002198</v>
      </c>
    </row>
    <row r="526" spans="1:69">
      <c r="A526">
        <f t="shared" si="420"/>
        <v>1560000</v>
      </c>
      <c r="B526">
        <f t="shared" si="456"/>
        <v>1560</v>
      </c>
      <c r="C526">
        <f t="shared" si="425"/>
        <v>2.0793747908281581</v>
      </c>
      <c r="D526">
        <f t="shared" si="426"/>
        <v>1.0690996925641088</v>
      </c>
      <c r="F526">
        <f t="shared" si="427"/>
        <v>1.8331853261633555E-4</v>
      </c>
      <c r="G526">
        <f t="shared" si="428"/>
        <v>4.1571249988533064E-3</v>
      </c>
      <c r="H526">
        <f t="shared" si="429"/>
        <v>-3.137435525001147</v>
      </c>
      <c r="J526">
        <f t="shared" si="430"/>
        <v>9</v>
      </c>
      <c r="M526">
        <f t="shared" si="431"/>
        <v>2.7055903133143952E-3</v>
      </c>
      <c r="N526">
        <f t="shared" si="432"/>
        <v>-1.5707963250000001</v>
      </c>
      <c r="O526">
        <f t="shared" si="433"/>
        <v>200.62510150988066</v>
      </c>
      <c r="P526">
        <f t="shared" si="434"/>
        <v>1.5658118850014084</v>
      </c>
      <c r="Q526">
        <f t="shared" si="435"/>
        <v>81.921938142143063</v>
      </c>
      <c r="R526">
        <f t="shared" si="436"/>
        <v>1.5585892811800368</v>
      </c>
      <c r="S526">
        <f t="shared" si="437"/>
        <v>0.68922833127704319</v>
      </c>
      <c r="T526">
        <f t="shared" si="438"/>
        <v>-0.81037285452968</v>
      </c>
      <c r="U526">
        <f t="shared" si="439"/>
        <v>0.52091045737986541</v>
      </c>
      <c r="V526">
        <f t="shared" si="440"/>
        <v>-1.0228791280100489</v>
      </c>
      <c r="X526">
        <f t="shared" si="457"/>
        <v>-25.228892464498898</v>
      </c>
      <c r="Y526">
        <f t="shared" si="441"/>
        <v>-134.52951492077054</v>
      </c>
      <c r="Z526">
        <f t="shared" si="458"/>
        <v>45.470485079229462</v>
      </c>
      <c r="AC526">
        <v>1</v>
      </c>
      <c r="AD526">
        <f t="shared" si="442"/>
        <v>200.622609283824</v>
      </c>
      <c r="AE526">
        <f t="shared" si="443"/>
        <v>-1.1012156321709961E-2</v>
      </c>
      <c r="AF526">
        <f t="shared" si="444"/>
        <v>6.720092873020801E-3</v>
      </c>
      <c r="AG526">
        <f t="shared" si="421"/>
        <v>8034.6850074407021</v>
      </c>
      <c r="AH526">
        <f t="shared" si="422"/>
        <v>-13315.174207914461</v>
      </c>
      <c r="AJ526">
        <f t="shared" si="445"/>
        <v>55000</v>
      </c>
      <c r="AK526">
        <f t="shared" si="446"/>
        <v>57818.18528986501</v>
      </c>
      <c r="AL526">
        <v>1</v>
      </c>
      <c r="AM526">
        <f t="shared" si="447"/>
        <v>81.915834543542999</v>
      </c>
      <c r="AN526">
        <f t="shared" si="423"/>
        <v>713.91436413600786</v>
      </c>
      <c r="AO526">
        <f t="shared" si="424"/>
        <v>-662.70564095892598</v>
      </c>
      <c r="AQ526">
        <f t="shared" si="448"/>
        <v>4.6783293869341516E-3</v>
      </c>
      <c r="AR526">
        <f t="shared" si="449"/>
        <v>-3.8461481555863046</v>
      </c>
      <c r="AT526">
        <f t="shared" si="418"/>
        <v>-51174.543818095473</v>
      </c>
      <c r="AU526">
        <f t="shared" si="419"/>
        <v>-30964.881692874023</v>
      </c>
      <c r="AV526">
        <f t="shared" si="459"/>
        <v>-2.5974435297580487</v>
      </c>
      <c r="AW526">
        <f t="shared" si="460"/>
        <v>5627.5910157624876</v>
      </c>
      <c r="AX526">
        <f t="shared" si="461"/>
        <v>-19490.671225545113</v>
      </c>
      <c r="AY526">
        <f t="shared" si="469"/>
        <v>-1.2897084361897913</v>
      </c>
      <c r="BA526">
        <f t="shared" si="450"/>
        <v>2.948389856474217</v>
      </c>
      <c r="BB526">
        <f t="shared" si="462"/>
        <v>9.3916981680086504</v>
      </c>
      <c r="BC526">
        <f t="shared" si="463"/>
        <v>-1.3077350935682575</v>
      </c>
      <c r="BD526">
        <f t="shared" si="451"/>
        <v>-254.92770166822436</v>
      </c>
      <c r="BF526">
        <f t="shared" si="452"/>
        <v>-39.900668707658411</v>
      </c>
      <c r="BG526">
        <f t="shared" si="453"/>
        <v>-193.43461561795837</v>
      </c>
      <c r="BH526">
        <f t="shared" si="464"/>
        <v>-13.434615617958372</v>
      </c>
      <c r="BI526">
        <f t="shared" si="465"/>
        <v>-13.434615617958372</v>
      </c>
      <c r="BJ526">
        <f t="shared" si="454"/>
        <v>0</v>
      </c>
      <c r="BK526">
        <f t="shared" si="466"/>
        <v>0</v>
      </c>
      <c r="BM526">
        <f t="shared" si="467"/>
        <v>-49.292366875667057</v>
      </c>
      <c r="BN526">
        <f t="shared" si="455"/>
        <v>-118.50691394973403</v>
      </c>
      <c r="BQ526" s="75">
        <f t="shared" si="468"/>
        <v>26.293658968293787</v>
      </c>
    </row>
    <row r="527" spans="1:69">
      <c r="A527">
        <f t="shared" si="420"/>
        <v>1565000</v>
      </c>
      <c r="B527">
        <f t="shared" si="456"/>
        <v>1565</v>
      </c>
      <c r="C527">
        <f t="shared" si="425"/>
        <v>2.0844999574955931</v>
      </c>
      <c r="D527">
        <f t="shared" si="426"/>
        <v>1.0704478117294767</v>
      </c>
      <c r="F527">
        <f t="shared" si="427"/>
        <v>1.8214883609775641E-4</v>
      </c>
      <c r="G527">
        <f t="shared" si="428"/>
        <v>4.1438387485513966E-3</v>
      </c>
      <c r="H527">
        <f t="shared" si="429"/>
        <v>-3.1374488112514487</v>
      </c>
      <c r="J527">
        <f t="shared" si="430"/>
        <v>9</v>
      </c>
      <c r="M527">
        <f t="shared" si="431"/>
        <v>2.6969462548054038E-3</v>
      </c>
      <c r="N527">
        <f t="shared" si="432"/>
        <v>-1.5707963250000001</v>
      </c>
      <c r="O527">
        <f t="shared" si="433"/>
        <v>201.26811473119753</v>
      </c>
      <c r="P527">
        <f t="shared" si="434"/>
        <v>1.5658278094730738</v>
      </c>
      <c r="Q527">
        <f t="shared" si="435"/>
        <v>82.184469395016094</v>
      </c>
      <c r="R527">
        <f t="shared" si="436"/>
        <v>1.5586282774701057</v>
      </c>
      <c r="S527">
        <f t="shared" si="437"/>
        <v>0.68806972049526427</v>
      </c>
      <c r="T527">
        <f t="shared" si="438"/>
        <v>-0.81197072998445208</v>
      </c>
      <c r="U527">
        <f t="shared" si="439"/>
        <v>0.51969621978836267</v>
      </c>
      <c r="V527">
        <f t="shared" si="440"/>
        <v>-1.0243009829094682</v>
      </c>
      <c r="X527">
        <f t="shared" si="457"/>
        <v>-25.270203381654369</v>
      </c>
      <c r="Y527">
        <f t="shared" si="441"/>
        <v>-134.62290570519644</v>
      </c>
      <c r="Z527">
        <f t="shared" si="458"/>
        <v>45.377094294803555</v>
      </c>
      <c r="AC527">
        <v>1</v>
      </c>
      <c r="AD527">
        <f t="shared" si="442"/>
        <v>201.26563046742604</v>
      </c>
      <c r="AE527">
        <f t="shared" si="443"/>
        <v>-1.1082860193556903E-2</v>
      </c>
      <c r="AF527">
        <f t="shared" si="444"/>
        <v>6.7416316322292009E-3</v>
      </c>
      <c r="AG527">
        <f t="shared" si="421"/>
        <v>7997.2711070652449</v>
      </c>
      <c r="AH527">
        <f t="shared" si="422"/>
        <v>-13295.392347021199</v>
      </c>
      <c r="AJ527">
        <f t="shared" si="445"/>
        <v>55000</v>
      </c>
      <c r="AK527">
        <f t="shared" si="446"/>
        <v>58003.499986306881</v>
      </c>
      <c r="AL527">
        <v>1</v>
      </c>
      <c r="AM527">
        <f t="shared" si="447"/>
        <v>82.178385295285139</v>
      </c>
      <c r="AN527">
        <f t="shared" si="423"/>
        <v>713.86276055437531</v>
      </c>
      <c r="AO527">
        <f t="shared" si="424"/>
        <v>-660.58899848644512</v>
      </c>
      <c r="AQ527">
        <f t="shared" si="448"/>
        <v>4.6484837054604116E-3</v>
      </c>
      <c r="AR527">
        <f t="shared" si="449"/>
        <v>-3.8338601784970017</v>
      </c>
      <c r="AT527">
        <f t="shared" si="418"/>
        <v>-50935.500092309027</v>
      </c>
      <c r="AU527">
        <f t="shared" si="419"/>
        <v>-30722.222648704905</v>
      </c>
      <c r="AV527">
        <f t="shared" si="459"/>
        <v>-2.5988533463380277</v>
      </c>
      <c r="AW527">
        <f t="shared" si="460"/>
        <v>5608.9951581519508</v>
      </c>
      <c r="AX527">
        <f t="shared" si="461"/>
        <v>-19449.23748686945</v>
      </c>
      <c r="AY527">
        <f t="shared" si="469"/>
        <v>-1.2900232433278351</v>
      </c>
      <c r="BA527">
        <f t="shared" si="450"/>
        <v>2.9386325349562878</v>
      </c>
      <c r="BB527">
        <f t="shared" si="462"/>
        <v>9.3629056512358151</v>
      </c>
      <c r="BC527">
        <f t="shared" si="463"/>
        <v>-1.3088301030101925</v>
      </c>
      <c r="BD527">
        <f t="shared" si="451"/>
        <v>-254.99044108784588</v>
      </c>
      <c r="BF527">
        <f t="shared" si="452"/>
        <v>-39.963678337567224</v>
      </c>
      <c r="BG527">
        <f t="shared" si="453"/>
        <v>-193.42087474510407</v>
      </c>
      <c r="BH527">
        <f t="shared" si="464"/>
        <v>-13.420874745104072</v>
      </c>
      <c r="BI527">
        <f t="shared" si="465"/>
        <v>-13.420874745104072</v>
      </c>
      <c r="BJ527">
        <f t="shared" si="454"/>
        <v>0</v>
      </c>
      <c r="BK527">
        <f t="shared" si="466"/>
        <v>0</v>
      </c>
      <c r="BM527">
        <f t="shared" si="467"/>
        <v>-49.32658398880303</v>
      </c>
      <c r="BN527">
        <f t="shared" si="455"/>
        <v>-118.43043365725819</v>
      </c>
      <c r="BQ527" s="75">
        <f t="shared" si="468"/>
        <v>26.264866451520952</v>
      </c>
    </row>
    <row r="528" spans="1:69">
      <c r="A528">
        <f t="shared" si="420"/>
        <v>1570000</v>
      </c>
      <c r="B528">
        <f t="shared" si="456"/>
        <v>1570</v>
      </c>
      <c r="C528">
        <f t="shared" si="425"/>
        <v>2.0896288939984609</v>
      </c>
      <c r="D528">
        <f t="shared" si="426"/>
        <v>1.0717893154803273</v>
      </c>
      <c r="F528">
        <f t="shared" si="427"/>
        <v>1.8099029979238584E-4</v>
      </c>
      <c r="G528">
        <f t="shared" si="428"/>
        <v>4.1306371687553252E-3</v>
      </c>
      <c r="H528">
        <f t="shared" si="429"/>
        <v>-3.1374620128312447</v>
      </c>
      <c r="J528">
        <f t="shared" si="430"/>
        <v>9</v>
      </c>
      <c r="M528">
        <f t="shared" si="431"/>
        <v>2.6883572539939215E-3</v>
      </c>
      <c r="N528">
        <f t="shared" si="432"/>
        <v>-1.5707963250000001</v>
      </c>
      <c r="O528">
        <f t="shared" si="433"/>
        <v>201.91112800322864</v>
      </c>
      <c r="P528">
        <f t="shared" si="434"/>
        <v>1.5658436325174794</v>
      </c>
      <c r="Q528">
        <f t="shared" si="435"/>
        <v>82.447000772071974</v>
      </c>
      <c r="R528">
        <f t="shared" si="436"/>
        <v>1.5586670254128188</v>
      </c>
      <c r="S528">
        <f t="shared" si="437"/>
        <v>0.68691325347773124</v>
      </c>
      <c r="T528">
        <f t="shared" si="438"/>
        <v>-0.81356323826414445</v>
      </c>
      <c r="U528">
        <f t="shared" si="439"/>
        <v>0.51848658887964338</v>
      </c>
      <c r="V528">
        <f t="shared" si="440"/>
        <v>-1.0257162217166973</v>
      </c>
      <c r="X528">
        <f t="shared" si="457"/>
        <v>-25.311430101502811</v>
      </c>
      <c r="Y528">
        <f t="shared" si="441"/>
        <v>-134.71600412366095</v>
      </c>
      <c r="Z528">
        <f t="shared" si="458"/>
        <v>45.283995876339048</v>
      </c>
      <c r="AC528">
        <v>1</v>
      </c>
      <c r="AD528">
        <f t="shared" si="442"/>
        <v>201.90865165102801</v>
      </c>
      <c r="AE528">
        <f t="shared" si="443"/>
        <v>-1.1153790317793755E-2</v>
      </c>
      <c r="AF528">
        <f t="shared" si="444"/>
        <v>6.7631703914376009E-3</v>
      </c>
      <c r="AG528">
        <f t="shared" si="421"/>
        <v>7960.0859678510251</v>
      </c>
      <c r="AH528">
        <f t="shared" si="422"/>
        <v>-13275.597774483647</v>
      </c>
      <c r="AJ528">
        <f t="shared" si="445"/>
        <v>55000</v>
      </c>
      <c r="AK528">
        <f t="shared" si="446"/>
        <v>58188.814682748758</v>
      </c>
      <c r="AL528">
        <v>1</v>
      </c>
      <c r="AM528">
        <f t="shared" si="447"/>
        <v>82.440936047027265</v>
      </c>
      <c r="AN528">
        <f t="shared" si="423"/>
        <v>713.81164911838971</v>
      </c>
      <c r="AO528">
        <f t="shared" si="424"/>
        <v>-658.4858318434766</v>
      </c>
      <c r="AQ528">
        <f t="shared" si="448"/>
        <v>4.6189227189518921E-3</v>
      </c>
      <c r="AR528">
        <f t="shared" si="449"/>
        <v>-3.8216504684336061</v>
      </c>
      <c r="AT528">
        <f t="shared" si="418"/>
        <v>-50697.92743166985</v>
      </c>
      <c r="AU528">
        <f t="shared" si="419"/>
        <v>-30481.985227977872</v>
      </c>
      <c r="AV528">
        <f t="shared" si="459"/>
        <v>-2.6002566235005502</v>
      </c>
      <c r="AW528">
        <f t="shared" si="460"/>
        <v>5590.4582017797502</v>
      </c>
      <c r="AX528">
        <f t="shared" si="461"/>
        <v>-19407.941392865436</v>
      </c>
      <c r="AY528">
        <f t="shared" si="469"/>
        <v>-1.2903385361639848</v>
      </c>
      <c r="BA528">
        <f t="shared" si="450"/>
        <v>2.9289400525631422</v>
      </c>
      <c r="BB528">
        <f t="shared" si="462"/>
        <v>9.3342096589139061</v>
      </c>
      <c r="BC528">
        <f t="shared" si="463"/>
        <v>-1.3099180873365655</v>
      </c>
      <c r="BD528">
        <f t="shared" si="451"/>
        <v>-255.05277799799467</v>
      </c>
      <c r="BF528">
        <f t="shared" si="452"/>
        <v>-40.026450868821613</v>
      </c>
      <c r="BG528">
        <f t="shared" si="453"/>
        <v>-193.4071055468464</v>
      </c>
      <c r="BH528">
        <f t="shared" si="464"/>
        <v>-13.407105546846395</v>
      </c>
      <c r="BI528">
        <f t="shared" si="465"/>
        <v>-13.407105546846395</v>
      </c>
      <c r="BJ528">
        <f t="shared" si="454"/>
        <v>0</v>
      </c>
      <c r="BK528">
        <f t="shared" si="466"/>
        <v>0</v>
      </c>
      <c r="BM528">
        <f t="shared" si="467"/>
        <v>-49.360660527735519</v>
      </c>
      <c r="BN528">
        <f t="shared" si="455"/>
        <v>-118.35432754885174</v>
      </c>
      <c r="BQ528" s="75">
        <f t="shared" si="468"/>
        <v>26.236170459199041</v>
      </c>
    </row>
    <row r="529" spans="1:69">
      <c r="A529">
        <f t="shared" si="420"/>
        <v>1575000</v>
      </c>
      <c r="B529">
        <f t="shared" si="456"/>
        <v>1575</v>
      </c>
      <c r="C529">
        <f t="shared" si="425"/>
        <v>2.0947615726459059</v>
      </c>
      <c r="D529">
        <f t="shared" si="426"/>
        <v>1.0731242475985918</v>
      </c>
      <c r="F529">
        <f t="shared" si="427"/>
        <v>1.798427821678186E-4</v>
      </c>
      <c r="G529">
        <f t="shared" si="428"/>
        <v>4.117519452514146E-3</v>
      </c>
      <c r="H529">
        <f t="shared" si="429"/>
        <v>-3.1374751305474859</v>
      </c>
      <c r="J529">
        <f t="shared" si="430"/>
        <v>9</v>
      </c>
      <c r="M529">
        <f t="shared" si="431"/>
        <v>2.6798227865209249E-3</v>
      </c>
      <c r="N529">
        <f t="shared" si="432"/>
        <v>-1.5707963250000001</v>
      </c>
      <c r="O529">
        <f t="shared" si="433"/>
        <v>202.55414132549106</v>
      </c>
      <c r="P529">
        <f t="shared" si="434"/>
        <v>1.5658593551005673</v>
      </c>
      <c r="Q529">
        <f t="shared" si="435"/>
        <v>82.709532272128229</v>
      </c>
      <c r="R529">
        <f t="shared" si="436"/>
        <v>1.5587055273729258</v>
      </c>
      <c r="S529">
        <f t="shared" si="437"/>
        <v>0.6857589369863899</v>
      </c>
      <c r="T529">
        <f t="shared" si="438"/>
        <v>-0.81515039832859626</v>
      </c>
      <c r="U529">
        <f t="shared" si="439"/>
        <v>0.51728154704744844</v>
      </c>
      <c r="V529">
        <f t="shared" si="440"/>
        <v>-1.0271248848731804</v>
      </c>
      <c r="X529">
        <f t="shared" si="457"/>
        <v>-25.352572999220151</v>
      </c>
      <c r="Y529">
        <f t="shared" si="441"/>
        <v>-134.80881092648724</v>
      </c>
      <c r="Z529">
        <f t="shared" si="458"/>
        <v>45.19118907351276</v>
      </c>
      <c r="AC529">
        <v>1</v>
      </c>
      <c r="AD529">
        <f t="shared" si="442"/>
        <v>202.55167283463004</v>
      </c>
      <c r="AE529">
        <f t="shared" si="443"/>
        <v>-1.1224946694420517E-2</v>
      </c>
      <c r="AF529">
        <f t="shared" si="444"/>
        <v>6.7847091506460008E-3</v>
      </c>
      <c r="AG529">
        <f t="shared" si="421"/>
        <v>7923.1280604530293</v>
      </c>
      <c r="AH529">
        <f t="shared" si="422"/>
        <v>-13255.791535749095</v>
      </c>
      <c r="AJ529">
        <f t="shared" si="445"/>
        <v>55000</v>
      </c>
      <c r="AK529">
        <f t="shared" si="446"/>
        <v>58374.129379190628</v>
      </c>
      <c r="AL529">
        <v>1</v>
      </c>
      <c r="AM529">
        <f t="shared" si="447"/>
        <v>82.703486798769376</v>
      </c>
      <c r="AN529">
        <f t="shared" si="423"/>
        <v>713.76102359003823</v>
      </c>
      <c r="AO529">
        <f t="shared" si="424"/>
        <v>-656.3960127642132</v>
      </c>
      <c r="AQ529">
        <f t="shared" si="448"/>
        <v>4.5896428179876747E-3</v>
      </c>
      <c r="AR529">
        <f t="shared" si="449"/>
        <v>-3.8095182800002192</v>
      </c>
      <c r="AT529">
        <f t="shared" si="418"/>
        <v>-50461.815843509699</v>
      </c>
      <c r="AU529">
        <f t="shared" si="419"/>
        <v>-30244.140529497286</v>
      </c>
      <c r="AV529">
        <f t="shared" si="459"/>
        <v>-2.6016534009568568</v>
      </c>
      <c r="AW529">
        <f t="shared" si="460"/>
        <v>5571.980667467622</v>
      </c>
      <c r="AX529">
        <f t="shared" si="461"/>
        <v>-19366.782461880226</v>
      </c>
      <c r="AY529">
        <f t="shared" si="469"/>
        <v>-1.2906542794571763</v>
      </c>
      <c r="BA529">
        <f t="shared" si="450"/>
        <v>2.9193117645102111</v>
      </c>
      <c r="BB529">
        <f t="shared" si="462"/>
        <v>9.3056095487932815</v>
      </c>
      <c r="BC529">
        <f t="shared" si="463"/>
        <v>-1.3109991214996806</v>
      </c>
      <c r="BD529">
        <f t="shared" si="451"/>
        <v>-255.11471669312141</v>
      </c>
      <c r="BF529">
        <f t="shared" si="452"/>
        <v>-40.088988045143637</v>
      </c>
      <c r="BG529">
        <f t="shared" si="453"/>
        <v>-193.39330985535105</v>
      </c>
      <c r="BH529">
        <f t="shared" si="464"/>
        <v>-13.393309855351049</v>
      </c>
      <c r="BI529">
        <f t="shared" si="465"/>
        <v>-13.393309855351049</v>
      </c>
      <c r="BJ529">
        <f t="shared" si="454"/>
        <v>0</v>
      </c>
      <c r="BK529">
        <f t="shared" si="466"/>
        <v>0</v>
      </c>
      <c r="BM529">
        <f t="shared" si="467"/>
        <v>-49.394597593936922</v>
      </c>
      <c r="BN529">
        <f t="shared" si="455"/>
        <v>-118.27859316222965</v>
      </c>
      <c r="BQ529" s="75">
        <f t="shared" si="468"/>
        <v>26.207570349078416</v>
      </c>
    </row>
    <row r="530" spans="1:69">
      <c r="A530">
        <f t="shared" si="420"/>
        <v>1580000</v>
      </c>
      <c r="B530">
        <f t="shared" si="456"/>
        <v>1580</v>
      </c>
      <c r="C530">
        <f t="shared" si="425"/>
        <v>2.0998979659977008</v>
      </c>
      <c r="D530">
        <f t="shared" si="426"/>
        <v>1.0744526515319912</v>
      </c>
      <c r="F530">
        <f t="shared" si="427"/>
        <v>1.7870614392830368E-4</v>
      </c>
      <c r="G530">
        <f t="shared" si="428"/>
        <v>4.1044848031003877E-3</v>
      </c>
      <c r="H530">
        <f t="shared" si="429"/>
        <v>-3.1374881651969</v>
      </c>
      <c r="J530">
        <f t="shared" si="430"/>
        <v>9</v>
      </c>
      <c r="M530">
        <f t="shared" si="431"/>
        <v>2.6713423346648459E-3</v>
      </c>
      <c r="N530">
        <f t="shared" si="432"/>
        <v>-1.5707963250000001</v>
      </c>
      <c r="O530">
        <f t="shared" si="433"/>
        <v>203.19715469750787</v>
      </c>
      <c r="P530">
        <f t="shared" si="434"/>
        <v>1.5658749781760535</v>
      </c>
      <c r="Q530">
        <f t="shared" si="435"/>
        <v>82.972063894017268</v>
      </c>
      <c r="R530">
        <f t="shared" si="436"/>
        <v>1.5587437856852502</v>
      </c>
      <c r="S530">
        <f t="shared" si="437"/>
        <v>0.68460677760096866</v>
      </c>
      <c r="T530">
        <f t="shared" si="438"/>
        <v>-0.81673222911829457</v>
      </c>
      <c r="U530">
        <f t="shared" si="439"/>
        <v>0.5160810766663706</v>
      </c>
      <c r="V530">
        <f t="shared" si="440"/>
        <v>-1.0285270125498154</v>
      </c>
      <c r="X530">
        <f t="shared" si="457"/>
        <v>-25.393632446405423</v>
      </c>
      <c r="Y530">
        <f t="shared" si="441"/>
        <v>-134.90132686836679</v>
      </c>
      <c r="Z530">
        <f t="shared" si="458"/>
        <v>45.098673131633205</v>
      </c>
      <c r="AC530">
        <v>1</v>
      </c>
      <c r="AD530">
        <f t="shared" si="442"/>
        <v>203.19469401823204</v>
      </c>
      <c r="AE530">
        <f t="shared" si="443"/>
        <v>-1.1296329323437191E-2</v>
      </c>
      <c r="AF530">
        <f t="shared" si="444"/>
        <v>6.8062479098544007E-3</v>
      </c>
      <c r="AG530">
        <f t="shared" si="421"/>
        <v>7886.3958637178466</v>
      </c>
      <c r="AH530">
        <f t="shared" si="422"/>
        <v>-13235.974658095702</v>
      </c>
      <c r="AJ530">
        <f t="shared" si="445"/>
        <v>55000</v>
      </c>
      <c r="AK530">
        <f t="shared" si="446"/>
        <v>58559.444075632513</v>
      </c>
      <c r="AL530">
        <v>1</v>
      </c>
      <c r="AM530">
        <f t="shared" si="447"/>
        <v>82.966037550511516</v>
      </c>
      <c r="AN530">
        <f t="shared" si="423"/>
        <v>713.71087782982477</v>
      </c>
      <c r="AO530">
        <f t="shared" si="424"/>
        <v>-654.31941460527764</v>
      </c>
      <c r="AQ530">
        <f t="shared" si="448"/>
        <v>4.5606404501672554E-3</v>
      </c>
      <c r="AR530">
        <f t="shared" si="449"/>
        <v>-3.7974628772362666</v>
      </c>
      <c r="AT530">
        <f t="shared" si="418"/>
        <v>-50227.155392176312</v>
      </c>
      <c r="AU530">
        <f t="shared" si="419"/>
        <v>-30008.660049081267</v>
      </c>
      <c r="AV530">
        <f t="shared" si="459"/>
        <v>-2.6030437181568828</v>
      </c>
      <c r="AW530">
        <f t="shared" si="460"/>
        <v>5553.5630530486633</v>
      </c>
      <c r="AX530">
        <f t="shared" si="461"/>
        <v>-19325.760214198577</v>
      </c>
      <c r="AY530">
        <f t="shared" si="469"/>
        <v>-1.2909704387782068</v>
      </c>
      <c r="BA530">
        <f t="shared" si="450"/>
        <v>2.9097470344619483</v>
      </c>
      <c r="BB530">
        <f t="shared" si="462"/>
        <v>9.2771046847856269</v>
      </c>
      <c r="BC530">
        <f t="shared" si="463"/>
        <v>-1.312073279378676</v>
      </c>
      <c r="BD530">
        <f t="shared" si="451"/>
        <v>-255.17626140618887</v>
      </c>
      <c r="BF530">
        <f t="shared" si="452"/>
        <v>-40.151291592038412</v>
      </c>
      <c r="BG530">
        <f t="shared" si="453"/>
        <v>-193.37948945985892</v>
      </c>
      <c r="BH530">
        <f t="shared" si="464"/>
        <v>-13.379489459858917</v>
      </c>
      <c r="BI530">
        <f t="shared" si="465"/>
        <v>-13.379489459858917</v>
      </c>
      <c r="BJ530">
        <f t="shared" si="454"/>
        <v>0</v>
      </c>
      <c r="BK530">
        <f t="shared" si="466"/>
        <v>0</v>
      </c>
      <c r="BM530">
        <f t="shared" si="467"/>
        <v>-49.428396276824031</v>
      </c>
      <c r="BN530">
        <f t="shared" si="455"/>
        <v>-118.20322805367003</v>
      </c>
      <c r="BQ530" s="75">
        <f t="shared" si="468"/>
        <v>26.179065485070762</v>
      </c>
    </row>
    <row r="531" spans="1:69">
      <c r="A531">
        <f t="shared" si="420"/>
        <v>1585000</v>
      </c>
      <c r="B531">
        <f t="shared" si="456"/>
        <v>1585</v>
      </c>
      <c r="C531">
        <f t="shared" si="425"/>
        <v>2.1050380468616785</v>
      </c>
      <c r="D531">
        <f t="shared" si="426"/>
        <v>1.0757745703965047</v>
      </c>
      <c r="F531">
        <f t="shared" si="427"/>
        <v>1.7758024797245964E-4</v>
      </c>
      <c r="G531">
        <f t="shared" si="428"/>
        <v>4.0915324338486273E-3</v>
      </c>
      <c r="H531">
        <f t="shared" si="429"/>
        <v>-3.1375011175661518</v>
      </c>
      <c r="J531">
        <f t="shared" si="430"/>
        <v>9</v>
      </c>
      <c r="M531">
        <f t="shared" si="431"/>
        <v>2.6629153872368811E-3</v>
      </c>
      <c r="N531">
        <f t="shared" si="432"/>
        <v>-1.5707963250000001</v>
      </c>
      <c r="O531">
        <f t="shared" si="433"/>
        <v>203.84016811880824</v>
      </c>
      <c r="P531">
        <f t="shared" si="434"/>
        <v>1.5658905026856198</v>
      </c>
      <c r="Q531">
        <f t="shared" si="435"/>
        <v>83.234595636586292</v>
      </c>
      <c r="R531">
        <f t="shared" si="436"/>
        <v>1.5587818026551612</v>
      </c>
      <c r="S531">
        <f t="shared" si="437"/>
        <v>0.68345678172115731</v>
      </c>
      <c r="T531">
        <f t="shared" si="438"/>
        <v>-0.81830874955342536</v>
      </c>
      <c r="U531">
        <f t="shared" si="439"/>
        <v>0.51488516009431573</v>
      </c>
      <c r="V531">
        <f t="shared" si="440"/>
        <v>-1.0299226446484104</v>
      </c>
      <c r="X531">
        <f t="shared" si="457"/>
        <v>-25.434608811137913</v>
      </c>
      <c r="Y531">
        <f t="shared" si="441"/>
        <v>-134.99355270821835</v>
      </c>
      <c r="Z531">
        <f t="shared" si="458"/>
        <v>45.006447291781654</v>
      </c>
      <c r="AC531">
        <v>1</v>
      </c>
      <c r="AD531">
        <f t="shared" si="442"/>
        <v>203.83771520183402</v>
      </c>
      <c r="AE531">
        <f t="shared" si="443"/>
        <v>-1.1367938204843773E-2</v>
      </c>
      <c r="AF531">
        <f t="shared" si="444"/>
        <v>6.8277866690628006E-3</v>
      </c>
      <c r="AG531">
        <f t="shared" si="421"/>
        <v>7849.8878647177798</v>
      </c>
      <c r="AH531">
        <f t="shared" si="422"/>
        <v>-13216.148150898645</v>
      </c>
      <c r="AJ531">
        <f t="shared" si="445"/>
        <v>55000</v>
      </c>
      <c r="AK531">
        <f t="shared" si="446"/>
        <v>58744.758772074383</v>
      </c>
      <c r="AL531">
        <v>1</v>
      </c>
      <c r="AM531">
        <f t="shared" si="447"/>
        <v>83.228588302253641</v>
      </c>
      <c r="AN531">
        <f t="shared" si="423"/>
        <v>713.66120579491076</v>
      </c>
      <c r="AO531">
        <f t="shared" si="424"/>
        <v>-652.25591232015574</v>
      </c>
      <c r="AQ531">
        <f t="shared" si="448"/>
        <v>4.5319121190330056E-3</v>
      </c>
      <c r="AR531">
        <f t="shared" si="449"/>
        <v>-3.7854835334676746</v>
      </c>
      <c r="AT531">
        <f t="shared" si="418"/>
        <v>-49993.936199148913</v>
      </c>
      <c r="AU531">
        <f t="shared" si="419"/>
        <v>-29775.515673428872</v>
      </c>
      <c r="AV531">
        <f t="shared" si="459"/>
        <v>-2.604427614290572</v>
      </c>
      <c r="AW531">
        <f t="shared" si="460"/>
        <v>5535.2058339762789</v>
      </c>
      <c r="AX531">
        <f t="shared" si="461"/>
        <v>-19284.874171985801</v>
      </c>
      <c r="AY531">
        <f t="shared" si="469"/>
        <v>-1.2912869804918463</v>
      </c>
      <c r="BA531">
        <f t="shared" si="450"/>
        <v>2.9002452343964866</v>
      </c>
      <c r="BB531">
        <f t="shared" si="462"/>
        <v>9.2486944368911441</v>
      </c>
      <c r="BC531">
        <f t="shared" si="463"/>
        <v>-1.3131406337987257</v>
      </c>
      <c r="BD531">
        <f t="shared" si="451"/>
        <v>-255.23741630977224</v>
      </c>
      <c r="BF531">
        <f t="shared" si="452"/>
        <v>-40.213363217030974</v>
      </c>
      <c r="BG531">
        <f t="shared" si="453"/>
        <v>-193.36564610765404</v>
      </c>
      <c r="BH531">
        <f t="shared" si="464"/>
        <v>-13.365646107654044</v>
      </c>
      <c r="BI531">
        <f t="shared" si="465"/>
        <v>-13.365646107654044</v>
      </c>
      <c r="BJ531">
        <f t="shared" si="454"/>
        <v>0</v>
      </c>
      <c r="BK531">
        <f t="shared" si="466"/>
        <v>0</v>
      </c>
      <c r="BM531">
        <f t="shared" si="467"/>
        <v>-49.462057653922116</v>
      </c>
      <c r="BN531">
        <f t="shared" si="455"/>
        <v>-118.1282297978818</v>
      </c>
      <c r="BQ531" s="75">
        <f t="shared" si="468"/>
        <v>26.150655237176281</v>
      </c>
    </row>
    <row r="532" spans="1:69">
      <c r="A532">
        <f t="shared" si="420"/>
        <v>1590000</v>
      </c>
      <c r="B532">
        <f t="shared" si="456"/>
        <v>1590</v>
      </c>
      <c r="C532">
        <f t="shared" si="425"/>
        <v>2.1101817882911877</v>
      </c>
      <c r="D532">
        <f t="shared" si="426"/>
        <v>1.0770900469788296</v>
      </c>
      <c r="F532">
        <f t="shared" si="427"/>
        <v>1.764649593519208E-4</v>
      </c>
      <c r="G532">
        <f t="shared" si="428"/>
        <v>4.0786615679971223E-3</v>
      </c>
      <c r="H532">
        <f t="shared" si="429"/>
        <v>-3.1375139884320031</v>
      </c>
      <c r="J532">
        <f t="shared" si="430"/>
        <v>9</v>
      </c>
      <c r="M532">
        <f t="shared" si="431"/>
        <v>2.6545414394782748E-3</v>
      </c>
      <c r="N532">
        <f t="shared" si="432"/>
        <v>-1.5707963250000001</v>
      </c>
      <c r="O532">
        <f t="shared" si="433"/>
        <v>204.48318158892724</v>
      </c>
      <c r="P532">
        <f t="shared" si="434"/>
        <v>1.5659059295591036</v>
      </c>
      <c r="Q532">
        <f t="shared" si="435"/>
        <v>83.497127498696955</v>
      </c>
      <c r="R532">
        <f t="shared" si="436"/>
        <v>1.5588195805590364</v>
      </c>
      <c r="S532">
        <f t="shared" si="437"/>
        <v>0.68230895556876903</v>
      </c>
      <c r="T532">
        <f t="shared" si="438"/>
        <v>-0.81987997853294292</v>
      </c>
      <c r="U532">
        <f t="shared" si="439"/>
        <v>0.51369377967490559</v>
      </c>
      <c r="V532">
        <f t="shared" si="440"/>
        <v>-1.0313118208031451</v>
      </c>
      <c r="X532">
        <f t="shared" si="457"/>
        <v>-25.475502458033116</v>
      </c>
      <c r="Y532">
        <f t="shared" si="441"/>
        <v>-135.08548920904875</v>
      </c>
      <c r="Z532">
        <f t="shared" si="458"/>
        <v>44.914510790951255</v>
      </c>
      <c r="AC532">
        <v>1</v>
      </c>
      <c r="AD532">
        <f t="shared" si="442"/>
        <v>204.48073638543602</v>
      </c>
      <c r="AE532">
        <f t="shared" si="443"/>
        <v>-1.1439773338640267E-2</v>
      </c>
      <c r="AF532">
        <f t="shared" si="444"/>
        <v>6.8493254282712005E-3</v>
      </c>
      <c r="AG532">
        <f t="shared" si="421"/>
        <v>7813.6025587821678</v>
      </c>
      <c r="AH532">
        <f t="shared" si="422"/>
        <v>-13196.313005892815</v>
      </c>
      <c r="AJ532">
        <f t="shared" si="445"/>
        <v>55000</v>
      </c>
      <c r="AK532">
        <f t="shared" si="446"/>
        <v>58930.073468516261</v>
      </c>
      <c r="AL532">
        <v>1</v>
      </c>
      <c r="AM532">
        <f t="shared" si="447"/>
        <v>83.491139053995752</v>
      </c>
      <c r="AN532">
        <f t="shared" si="423"/>
        <v>713.61200153729305</v>
      </c>
      <c r="AO532">
        <f t="shared" si="424"/>
        <v>-650.20538243410931</v>
      </c>
      <c r="AQ532">
        <f t="shared" si="448"/>
        <v>4.503454383016311E-3</v>
      </c>
      <c r="AR532">
        <f t="shared" si="449"/>
        <v>-3.7735795311608578</v>
      </c>
      <c r="AT532">
        <f t="shared" si="418"/>
        <v>-49762.148443138445</v>
      </c>
      <c r="AU532">
        <f t="shared" si="419"/>
        <v>-29544.679674092535</v>
      </c>
      <c r="AV532">
        <f t="shared" si="459"/>
        <v>-2.6058051282891923</v>
      </c>
      <c r="AW532">
        <f t="shared" si="460"/>
        <v>5516.909463917862</v>
      </c>
      <c r="AX532">
        <f t="shared" si="461"/>
        <v>-19244.123859233281</v>
      </c>
      <c r="AY532">
        <f t="shared" si="469"/>
        <v>-1.2916038717393681</v>
      </c>
      <c r="BA532">
        <f t="shared" si="450"/>
        <v>2.8908057444728223</v>
      </c>
      <c r="BB532">
        <f t="shared" si="462"/>
        <v>9.2203781811267067</v>
      </c>
      <c r="BC532">
        <f t="shared" si="463"/>
        <v>-1.3142012565498242</v>
      </c>
      <c r="BD532">
        <f t="shared" si="451"/>
        <v>-255.29818551713518</v>
      </c>
      <c r="BF532">
        <f t="shared" si="452"/>
        <v>-40.275204609899603</v>
      </c>
      <c r="BG532">
        <f t="shared" si="453"/>
        <v>-193.35178150500812</v>
      </c>
      <c r="BH532">
        <f t="shared" si="464"/>
        <v>-13.35178150500812</v>
      </c>
      <c r="BI532">
        <f t="shared" si="465"/>
        <v>-13.35178150500812</v>
      </c>
      <c r="BJ532">
        <f t="shared" si="454"/>
        <v>0</v>
      </c>
      <c r="BK532">
        <f t="shared" si="466"/>
        <v>0</v>
      </c>
      <c r="BM532">
        <f t="shared" si="467"/>
        <v>-49.495582791026315</v>
      </c>
      <c r="BN532">
        <f t="shared" si="455"/>
        <v>-118.05359598787295</v>
      </c>
      <c r="BQ532" s="75">
        <f t="shared" si="468"/>
        <v>26.122338981411843</v>
      </c>
    </row>
    <row r="533" spans="1:69">
      <c r="A533">
        <f t="shared" si="420"/>
        <v>1595000</v>
      </c>
      <c r="B533">
        <f t="shared" si="456"/>
        <v>1595</v>
      </c>
      <c r="C533">
        <f t="shared" si="425"/>
        <v>2.1153291635825799</v>
      </c>
      <c r="D533">
        <f t="shared" si="426"/>
        <v>1.0783991237388302</v>
      </c>
      <c r="F533">
        <f t="shared" si="427"/>
        <v>1.7536014523088908E-4</v>
      </c>
      <c r="G533">
        <f t="shared" si="428"/>
        <v>4.0658714385324165E-3</v>
      </c>
      <c r="H533">
        <f t="shared" si="429"/>
        <v>-3.137526778561468</v>
      </c>
      <c r="J533">
        <f t="shared" si="430"/>
        <v>9</v>
      </c>
      <c r="M533">
        <f t="shared" si="431"/>
        <v>2.646219992959534E-3</v>
      </c>
      <c r="N533">
        <f t="shared" si="432"/>
        <v>-1.5707963250000001</v>
      </c>
      <c r="O533">
        <f t="shared" si="433"/>
        <v>205.12619510740575</v>
      </c>
      <c r="P533">
        <f t="shared" si="434"/>
        <v>1.5659212597146834</v>
      </c>
      <c r="Q533">
        <f t="shared" si="435"/>
        <v>83.759659479225206</v>
      </c>
      <c r="R533">
        <f t="shared" si="436"/>
        <v>1.5588571216447165</v>
      </c>
      <c r="S533">
        <f t="shared" si="437"/>
        <v>0.68116330518988755</v>
      </c>
      <c r="T533">
        <f t="shared" si="438"/>
        <v>-0.82144593493365714</v>
      </c>
      <c r="U533">
        <f t="shared" si="439"/>
        <v>0.51250691773982182</v>
      </c>
      <c r="V533">
        <f t="shared" si="440"/>
        <v>-1.0326945803820378</v>
      </c>
      <c r="X533">
        <f t="shared" si="457"/>
        <v>-25.516313748297598</v>
      </c>
      <c r="Y533">
        <f t="shared" si="441"/>
        <v>-135.177137137817</v>
      </c>
      <c r="Z533">
        <f t="shared" si="458"/>
        <v>44.822862862183001</v>
      </c>
      <c r="AC533">
        <v>1</v>
      </c>
      <c r="AD533">
        <f t="shared" si="442"/>
        <v>205.12375756903805</v>
      </c>
      <c r="AE533">
        <f t="shared" si="443"/>
        <v>-1.1511834724826671E-2</v>
      </c>
      <c r="AF533">
        <f t="shared" si="444"/>
        <v>6.8708641874796004E-3</v>
      </c>
      <c r="AG533">
        <f t="shared" si="421"/>
        <v>7777.5384495260932</v>
      </c>
      <c r="AH533">
        <f t="shared" si="422"/>
        <v>-13176.470197432185</v>
      </c>
      <c r="AJ533">
        <f t="shared" si="445"/>
        <v>55000</v>
      </c>
      <c r="AK533">
        <f t="shared" si="446"/>
        <v>59115.388164958131</v>
      </c>
      <c r="AL533">
        <v>1</v>
      </c>
      <c r="AM533">
        <f t="shared" si="447"/>
        <v>83.753689805737892</v>
      </c>
      <c r="AN533">
        <f t="shared" si="423"/>
        <v>713.56325920202448</v>
      </c>
      <c r="AO533">
        <f t="shared" si="424"/>
        <v>-648.16770301956137</v>
      </c>
      <c r="AQ533">
        <f t="shared" si="448"/>
        <v>4.4752638544068007E-3</v>
      </c>
      <c r="AR533">
        <f t="shared" si="449"/>
        <v>-3.7617501617794522</v>
      </c>
      <c r="AT533">
        <f t="shared" si="418"/>
        <v>-49531.782360173231</v>
      </c>
      <c r="AU533">
        <f t="shared" si="419"/>
        <v>-29316.124701553927</v>
      </c>
      <c r="AV533">
        <f t="shared" si="459"/>
        <v>-2.6071762988266647</v>
      </c>
      <c r="AW533">
        <f t="shared" si="460"/>
        <v>5498.6743753337187</v>
      </c>
      <c r="AX533">
        <f t="shared" si="461"/>
        <v>-19203.508801706761</v>
      </c>
      <c r="AY533">
        <f t="shared" si="469"/>
        <v>-1.2919210804214845</v>
      </c>
      <c r="BA533">
        <f t="shared" si="450"/>
        <v>2.8814279529004483</v>
      </c>
      <c r="BB533">
        <f t="shared" si="462"/>
        <v>9.1921552994548943</v>
      </c>
      <c r="BC533">
        <f t="shared" si="463"/>
        <v>-1.3152552184051802</v>
      </c>
      <c r="BD533">
        <f t="shared" si="451"/>
        <v>-255.35857308328389</v>
      </c>
      <c r="BF533">
        <f t="shared" si="452"/>
        <v>-40.336817442905627</v>
      </c>
      <c r="BG533">
        <f t="shared" si="453"/>
        <v>-193.33789731810305</v>
      </c>
      <c r="BH533">
        <f t="shared" si="464"/>
        <v>-13.337897318103046</v>
      </c>
      <c r="BI533">
        <f t="shared" si="465"/>
        <v>-13.337897318103046</v>
      </c>
      <c r="BJ533">
        <f t="shared" si="454"/>
        <v>0</v>
      </c>
      <c r="BK533">
        <f t="shared" si="466"/>
        <v>0</v>
      </c>
      <c r="BM533">
        <f t="shared" si="467"/>
        <v>-49.528972742360523</v>
      </c>
      <c r="BN533">
        <f t="shared" si="455"/>
        <v>-117.97932423481919</v>
      </c>
      <c r="BQ533" s="75">
        <f t="shared" si="468"/>
        <v>26.094116099740031</v>
      </c>
    </row>
    <row r="534" spans="1:69">
      <c r="A534">
        <f t="shared" si="420"/>
        <v>1600000</v>
      </c>
      <c r="B534">
        <f t="shared" si="456"/>
        <v>1600</v>
      </c>
      <c r="C534">
        <f t="shared" si="425"/>
        <v>2.1204801462727194</v>
      </c>
      <c r="D534">
        <f t="shared" si="426"/>
        <v>1.0797018428119791</v>
      </c>
      <c r="F534">
        <f t="shared" si="427"/>
        <v>1.7426567484657001E-4</v>
      </c>
      <c r="G534">
        <f t="shared" si="428"/>
        <v>4.053161288036876E-3</v>
      </c>
      <c r="H534">
        <f t="shared" si="429"/>
        <v>-3.1375394887119632</v>
      </c>
      <c r="J534">
        <f t="shared" si="430"/>
        <v>9</v>
      </c>
      <c r="M534">
        <f t="shared" si="431"/>
        <v>2.6379505554815358E-3</v>
      </c>
      <c r="N534">
        <f t="shared" si="432"/>
        <v>-1.5707963250000001</v>
      </c>
      <c r="O534">
        <f t="shared" si="433"/>
        <v>205.76920867379044</v>
      </c>
      <c r="P534">
        <f t="shared" si="434"/>
        <v>1.565936494059061</v>
      </c>
      <c r="Q534">
        <f t="shared" si="435"/>
        <v>84.022191577061037</v>
      </c>
      <c r="R534">
        <f t="shared" si="436"/>
        <v>1.5588944281319506</v>
      </c>
      <c r="S534">
        <f t="shared" si="437"/>
        <v>0.68001983645699604</v>
      </c>
      <c r="T534">
        <f t="shared" si="438"/>
        <v>-0.82300663760933779</v>
      </c>
      <c r="U534">
        <f t="shared" si="439"/>
        <v>0.51132455661109422</v>
      </c>
      <c r="V534">
        <f t="shared" si="440"/>
        <v>-1.0340709624884183</v>
      </c>
      <c r="X534">
        <f t="shared" si="457"/>
        <v>-25.557043039782812</v>
      </c>
      <c r="Y534">
        <f t="shared" si="441"/>
        <v>-135.26849726529989</v>
      </c>
      <c r="Z534">
        <f t="shared" si="458"/>
        <v>44.731502734700115</v>
      </c>
      <c r="AC534">
        <v>1</v>
      </c>
      <c r="AD534">
        <f t="shared" si="442"/>
        <v>205.76677875264002</v>
      </c>
      <c r="AE534">
        <f t="shared" si="443"/>
        <v>-1.1584122363402985E-2</v>
      </c>
      <c r="AF534">
        <f t="shared" si="444"/>
        <v>6.8924029466880003E-3</v>
      </c>
      <c r="AG534">
        <f t="shared" si="421"/>
        <v>7741.6940488764903</v>
      </c>
      <c r="AH534">
        <f t="shared" si="422"/>
        <v>-13156.620682745874</v>
      </c>
      <c r="AJ534">
        <f t="shared" si="445"/>
        <v>55000</v>
      </c>
      <c r="AK534">
        <f t="shared" si="446"/>
        <v>59300.702861400001</v>
      </c>
      <c r="AL534">
        <v>1</v>
      </c>
      <c r="AM534">
        <f t="shared" si="447"/>
        <v>84.016240557480018</v>
      </c>
      <c r="AN534">
        <f t="shared" si="423"/>
        <v>713.51497302547227</v>
      </c>
      <c r="AO534">
        <f t="shared" si="424"/>
        <v>-646.14275367194296</v>
      </c>
      <c r="AQ534">
        <f t="shared" si="448"/>
        <v>4.4473371983440937E-3</v>
      </c>
      <c r="AR534">
        <f t="shared" si="449"/>
        <v>-3.7499947256437394</v>
      </c>
      <c r="AT534">
        <f t="shared" ref="AT534:AT597" si="470">-AR534*AH534+AG534*AQ534</f>
        <v>-49302.828243670592</v>
      </c>
      <c r="AU534">
        <f t="shared" ref="AU534:AU597" si="471">AQ534*AH534+AG534*AR534</f>
        <v>-29089.823779401246</v>
      </c>
      <c r="AV534">
        <f t="shared" si="459"/>
        <v>-2.6085411643208962</v>
      </c>
      <c r="AW534">
        <f t="shared" si="460"/>
        <v>5480.5009800414819</v>
      </c>
      <c r="AX534">
        <f t="shared" si="461"/>
        <v>-19163.028526897222</v>
      </c>
      <c r="AY534">
        <f t="shared" si="469"/>
        <v>-1.2922385751816858</v>
      </c>
      <c r="BA534">
        <f t="shared" si="450"/>
        <v>2.8721112558113941</v>
      </c>
      <c r="BB534">
        <f t="shared" si="462"/>
        <v>9.1640251797139101</v>
      </c>
      <c r="BC534">
        <f t="shared" si="463"/>
        <v>-1.3163025891392104</v>
      </c>
      <c r="BD534">
        <f t="shared" si="451"/>
        <v>-255.41858300599787</v>
      </c>
      <c r="BF534">
        <f t="shared" si="452"/>
        <v>-40.398203371019861</v>
      </c>
      <c r="BG534">
        <f t="shared" si="453"/>
        <v>-193.32399517393034</v>
      </c>
      <c r="BH534">
        <f t="shared" si="464"/>
        <v>-13.323995173930342</v>
      </c>
      <c r="BI534">
        <f t="shared" si="465"/>
        <v>-13.323995173930342</v>
      </c>
      <c r="BJ534">
        <f t="shared" si="454"/>
        <v>0</v>
      </c>
      <c r="BK534">
        <f t="shared" si="466"/>
        <v>0</v>
      </c>
      <c r="BM534">
        <f t="shared" si="467"/>
        <v>-49.562228550733771</v>
      </c>
      <c r="BN534">
        <f t="shared" si="455"/>
        <v>-117.90541216793245</v>
      </c>
      <c r="BQ534" s="75">
        <f t="shared" si="468"/>
        <v>26.065985979999049</v>
      </c>
    </row>
    <row r="535" spans="1:69">
      <c r="A535">
        <f t="shared" si="420"/>
        <v>1605000</v>
      </c>
      <c r="B535">
        <f t="shared" si="456"/>
        <v>1605</v>
      </c>
      <c r="C535">
        <f t="shared" si="425"/>
        <v>2.1256347101365241</v>
      </c>
      <c r="D535">
        <f t="shared" si="426"/>
        <v>1.0809982460117891</v>
      </c>
      <c r="F535">
        <f t="shared" si="427"/>
        <v>1.7318141947047044E-4</v>
      </c>
      <c r="G535">
        <f t="shared" si="428"/>
        <v>4.0405303685390609E-3</v>
      </c>
      <c r="H535">
        <f t="shared" si="429"/>
        <v>-3.1375521196314611</v>
      </c>
      <c r="J535">
        <f t="shared" si="430"/>
        <v>9</v>
      </c>
      <c r="M535">
        <f t="shared" si="431"/>
        <v>2.6297326409784778E-3</v>
      </c>
      <c r="N535">
        <f t="shared" si="432"/>
        <v>-1.5707963250000001</v>
      </c>
      <c r="O535">
        <f t="shared" si="433"/>
        <v>206.41222228763363</v>
      </c>
      <c r="P535">
        <f t="shared" si="434"/>
        <v>1.5659516334876398</v>
      </c>
      <c r="Q535">
        <f t="shared" si="435"/>
        <v>84.284723791108291</v>
      </c>
      <c r="R535">
        <f t="shared" si="436"/>
        <v>1.5589315022128343</v>
      </c>
      <c r="S535">
        <f t="shared" si="437"/>
        <v>0.67887855507109218</v>
      </c>
      <c r="T535">
        <f t="shared" si="438"/>
        <v>-0.82456210538983665</v>
      </c>
      <c r="U535">
        <f t="shared" si="439"/>
        <v>0.51014667860333207</v>
      </c>
      <c r="V535">
        <f t="shared" si="440"/>
        <v>-1.0354410059624037</v>
      </c>
      <c r="X535">
        <f t="shared" si="457"/>
        <v>-25.597690687037854</v>
      </c>
      <c r="Y535">
        <f t="shared" si="441"/>
        <v>-135.35957036596034</v>
      </c>
      <c r="Z535">
        <f t="shared" si="458"/>
        <v>44.640429634039663</v>
      </c>
      <c r="AC535">
        <v>1</v>
      </c>
      <c r="AD535">
        <f t="shared" si="442"/>
        <v>206.40979993624202</v>
      </c>
      <c r="AE535">
        <f t="shared" si="443"/>
        <v>-1.1656636254369208E-2</v>
      </c>
      <c r="AF535">
        <f t="shared" si="444"/>
        <v>6.9139417058963993E-3</v>
      </c>
      <c r="AG535">
        <f t="shared" si="421"/>
        <v>7706.0678770957547</v>
      </c>
      <c r="AH535">
        <f t="shared" si="422"/>
        <v>-13136.765402190869</v>
      </c>
      <c r="AJ535">
        <f t="shared" si="445"/>
        <v>55000</v>
      </c>
      <c r="AK535">
        <f t="shared" si="446"/>
        <v>59486.017557841886</v>
      </c>
      <c r="AL535">
        <v>1</v>
      </c>
      <c r="AM535">
        <f t="shared" si="447"/>
        <v>84.278791309222129</v>
      </c>
      <c r="AN535">
        <f t="shared" si="423"/>
        <v>713.46713733361503</v>
      </c>
      <c r="AO535">
        <f t="shared" si="424"/>
        <v>-644.13041548599108</v>
      </c>
      <c r="AQ535">
        <f t="shared" si="448"/>
        <v>4.4196711318314893E-3</v>
      </c>
      <c r="AR535">
        <f t="shared" si="449"/>
        <v>-3.7383125317926877</v>
      </c>
      <c r="AT535">
        <f t="shared" si="470"/>
        <v>-49075.276444494404</v>
      </c>
      <c r="AU535">
        <f t="shared" si="471"/>
        <v>-28865.750298605839</v>
      </c>
      <c r="AV535">
        <f t="shared" si="459"/>
        <v>-2.6098997629351235</v>
      </c>
      <c r="AW535">
        <f t="shared" si="460"/>
        <v>5462.3896697664986</v>
      </c>
      <c r="AX535">
        <f t="shared" si="461"/>
        <v>-19122.682563974071</v>
      </c>
      <c r="AY535">
        <f t="shared" si="469"/>
        <v>-1.2925563253899592</v>
      </c>
      <c r="BA535">
        <f t="shared" si="450"/>
        <v>2.8628550571346305</v>
      </c>
      <c r="BB535">
        <f t="shared" si="462"/>
        <v>9.135987215548413</v>
      </c>
      <c r="BC535">
        <f t="shared" si="463"/>
        <v>-1.3173434375451643</v>
      </c>
      <c r="BD535">
        <f t="shared" si="451"/>
        <v>-255.47821922684011</v>
      </c>
      <c r="BF535">
        <f t="shared" si="452"/>
        <v>-40.459364032145579</v>
      </c>
      <c r="BG535">
        <f t="shared" si="453"/>
        <v>-193.31007666117071</v>
      </c>
      <c r="BH535">
        <f t="shared" si="464"/>
        <v>-13.310076661170712</v>
      </c>
      <c r="BI535">
        <f t="shared" si="465"/>
        <v>-13.310076661170712</v>
      </c>
      <c r="BJ535">
        <f t="shared" si="454"/>
        <v>0</v>
      </c>
      <c r="BK535">
        <f t="shared" si="466"/>
        <v>0</v>
      </c>
      <c r="BM535">
        <f t="shared" si="467"/>
        <v>-49.595351247693991</v>
      </c>
      <c r="BN535">
        <f t="shared" si="455"/>
        <v>-117.8318574343306</v>
      </c>
      <c r="BQ535" s="75">
        <f t="shared" si="468"/>
        <v>26.03794801583355</v>
      </c>
    </row>
    <row r="536" spans="1:69">
      <c r="A536">
        <f t="shared" si="420"/>
        <v>1610000</v>
      </c>
      <c r="B536">
        <f t="shared" si="456"/>
        <v>1610</v>
      </c>
      <c r="C536">
        <f t="shared" si="425"/>
        <v>2.1307928291845304</v>
      </c>
      <c r="D536">
        <f t="shared" si="426"/>
        <v>1.0822883748322329</v>
      </c>
      <c r="F536">
        <f t="shared" si="427"/>
        <v>1.7210725237053678E-4</v>
      </c>
      <c r="G536">
        <f t="shared" si="428"/>
        <v>4.0279779413668988E-3</v>
      </c>
      <c r="H536">
        <f t="shared" si="429"/>
        <v>-3.1375646720586334</v>
      </c>
      <c r="J536">
        <f t="shared" si="430"/>
        <v>9</v>
      </c>
      <c r="M536">
        <f t="shared" si="431"/>
        <v>2.6215657694226438E-3</v>
      </c>
      <c r="N536">
        <f t="shared" si="432"/>
        <v>-1.5707963250000001</v>
      </c>
      <c r="O536">
        <f t="shared" si="433"/>
        <v>207.05523594849308</v>
      </c>
      <c r="P536">
        <f t="shared" si="434"/>
        <v>1.5659666788847009</v>
      </c>
      <c r="Q536">
        <f t="shared" si="435"/>
        <v>84.547256120284374</v>
      </c>
      <c r="R536">
        <f t="shared" si="436"/>
        <v>1.5589683460522383</v>
      </c>
      <c r="S536">
        <f t="shared" si="437"/>
        <v>0.67773946656378459</v>
      </c>
      <c r="T536">
        <f t="shared" si="438"/>
        <v>-0.82611235708022668</v>
      </c>
      <c r="U536">
        <f t="shared" si="439"/>
        <v>0.50897326602590143</v>
      </c>
      <c r="V536">
        <f t="shared" si="440"/>
        <v>-1.0368047493823793</v>
      </c>
      <c r="X536">
        <f t="shared" si="457"/>
        <v>-25.638257041361165</v>
      </c>
      <c r="Y536">
        <f t="shared" si="441"/>
        <v>-135.45035721781821</v>
      </c>
      <c r="Z536">
        <f t="shared" si="458"/>
        <v>44.549642782181792</v>
      </c>
      <c r="AC536">
        <v>1</v>
      </c>
      <c r="AD536">
        <f t="shared" si="442"/>
        <v>207.052821119844</v>
      </c>
      <c r="AE536">
        <f t="shared" si="443"/>
        <v>-1.1729376397725342E-2</v>
      </c>
      <c r="AF536">
        <f t="shared" si="444"/>
        <v>6.935480465104801E-3</v>
      </c>
      <c r="AG536">
        <f t="shared" si="421"/>
        <v>7670.6584628029059</v>
      </c>
      <c r="AH536">
        <f t="shared" si="422"/>
        <v>-13116.905279501483</v>
      </c>
      <c r="AJ536">
        <f t="shared" si="445"/>
        <v>55000</v>
      </c>
      <c r="AK536">
        <f t="shared" si="446"/>
        <v>59671.332254283763</v>
      </c>
      <c r="AL536">
        <v>1</v>
      </c>
      <c r="AM536">
        <f t="shared" si="447"/>
        <v>84.541342060964254</v>
      </c>
      <c r="AN536">
        <f t="shared" si="423"/>
        <v>713.41974654037483</v>
      </c>
      <c r="AO536">
        <f t="shared" si="424"/>
        <v>-642.13057103248502</v>
      </c>
      <c r="AQ536">
        <f t="shared" si="448"/>
        <v>4.3922624227710717E-3</v>
      </c>
      <c r="AR536">
        <f t="shared" si="449"/>
        <v>-3.726702897848571</v>
      </c>
      <c r="AT536">
        <f t="shared" si="470"/>
        <v>-48849.117370999324</v>
      </c>
      <c r="AU536">
        <f t="shared" si="471"/>
        <v>-28643.878011896457</v>
      </c>
      <c r="AV536">
        <f t="shared" si="459"/>
        <v>-2.6112521325792581</v>
      </c>
      <c r="AW536">
        <f t="shared" si="460"/>
        <v>5444.340816678472</v>
      </c>
      <c r="AX536">
        <f t="shared" si="461"/>
        <v>-19082.470443740782</v>
      </c>
      <c r="AY536">
        <f t="shared" si="469"/>
        <v>-1.2928743011268897</v>
      </c>
      <c r="BA536">
        <f t="shared" si="450"/>
        <v>2.8536587684727719</v>
      </c>
      <c r="BB536">
        <f t="shared" si="462"/>
        <v>9.1080408063411884</v>
      </c>
      <c r="BC536">
        <f t="shared" si="463"/>
        <v>-1.3183778314523684</v>
      </c>
      <c r="BD536">
        <f t="shared" si="451"/>
        <v>-255.53748563214469</v>
      </c>
      <c r="BF536">
        <f t="shared" si="452"/>
        <v>-40.520301047338279</v>
      </c>
      <c r="BG536">
        <f t="shared" si="453"/>
        <v>-193.29614333105164</v>
      </c>
      <c r="BH536">
        <f t="shared" si="464"/>
        <v>-13.296143331051638</v>
      </c>
      <c r="BI536">
        <f t="shared" si="465"/>
        <v>-13.296143331051638</v>
      </c>
      <c r="BJ536">
        <f t="shared" si="454"/>
        <v>0</v>
      </c>
      <c r="BK536">
        <f t="shared" si="466"/>
        <v>0</v>
      </c>
      <c r="BM536">
        <f t="shared" si="467"/>
        <v>-49.628341853679473</v>
      </c>
      <c r="BN536">
        <f t="shared" si="455"/>
        <v>-117.75865769890697</v>
      </c>
      <c r="BQ536" s="75">
        <f t="shared" si="468"/>
        <v>26.010001606626325</v>
      </c>
    </row>
    <row r="537" spans="1:69">
      <c r="A537">
        <f t="shared" si="420"/>
        <v>1615000</v>
      </c>
      <c r="B537">
        <f t="shared" si="456"/>
        <v>1615</v>
      </c>
      <c r="C537">
        <f t="shared" si="425"/>
        <v>2.1359544776604813</v>
      </c>
      <c r="D537">
        <f t="shared" si="426"/>
        <v>1.0835722704501551</v>
      </c>
      <c r="F537">
        <f t="shared" si="427"/>
        <v>1.7104304877411266E-4</v>
      </c>
      <c r="G537">
        <f t="shared" si="428"/>
        <v>4.0155032770035947E-3</v>
      </c>
      <c r="H537">
        <f t="shared" si="429"/>
        <v>-3.1375771467229967</v>
      </c>
      <c r="J537">
        <f t="shared" si="430"/>
        <v>9</v>
      </c>
      <c r="M537">
        <f t="shared" si="431"/>
        <v>2.6134494667309329E-3</v>
      </c>
      <c r="N537">
        <f t="shared" si="432"/>
        <v>-1.5707963250000001</v>
      </c>
      <c r="O537">
        <f t="shared" si="433"/>
        <v>207.69824965593219</v>
      </c>
      <c r="P537">
        <f t="shared" si="434"/>
        <v>1.5659816311235748</v>
      </c>
      <c r="Q537">
        <f t="shared" si="435"/>
        <v>84.809788563520144</v>
      </c>
      <c r="R537">
        <f t="shared" si="436"/>
        <v>1.5590049617882302</v>
      </c>
      <c r="S537">
        <f t="shared" si="437"/>
        <v>0.67660257629937492</v>
      </c>
      <c r="T537">
        <f t="shared" si="438"/>
        <v>-0.82765741145995764</v>
      </c>
      <c r="U537">
        <f t="shared" si="439"/>
        <v>0.50780430118504838</v>
      </c>
      <c r="V537">
        <f t="shared" si="440"/>
        <v>-1.0381622310664813</v>
      </c>
      <c r="X537">
        <f t="shared" si="457"/>
        <v>-25.678742450851271</v>
      </c>
      <c r="Y537">
        <f t="shared" si="441"/>
        <v>-135.54085860232249</v>
      </c>
      <c r="Z537">
        <f t="shared" si="458"/>
        <v>44.459141397677513</v>
      </c>
      <c r="AC537">
        <v>1</v>
      </c>
      <c r="AD537">
        <f t="shared" si="442"/>
        <v>207.69584230344603</v>
      </c>
      <c r="AE537">
        <f t="shared" si="443"/>
        <v>-1.1802342793471386E-2</v>
      </c>
      <c r="AF537">
        <f t="shared" si="444"/>
        <v>6.9570192243132009E-3</v>
      </c>
      <c r="AG537">
        <f t="shared" si="421"/>
        <v>7635.4643429924163</v>
      </c>
      <c r="AH537">
        <f t="shared" si="422"/>
        <v>-13097.041222035623</v>
      </c>
      <c r="AJ537">
        <f t="shared" si="445"/>
        <v>55000</v>
      </c>
      <c r="AK537">
        <f t="shared" si="446"/>
        <v>59856.646950725633</v>
      </c>
      <c r="AL537">
        <v>1</v>
      </c>
      <c r="AM537">
        <f t="shared" si="447"/>
        <v>84.803892812706394</v>
      </c>
      <c r="AN537">
        <f t="shared" si="423"/>
        <v>713.37279514598708</v>
      </c>
      <c r="AO537">
        <f t="shared" si="424"/>
        <v>-640.14310433541914</v>
      </c>
      <c r="AQ537">
        <f t="shared" si="448"/>
        <v>4.3651078890196921E-3</v>
      </c>
      <c r="AR537">
        <f t="shared" si="449"/>
        <v>-3.7151651498841045</v>
      </c>
      <c r="AT537">
        <f t="shared" si="470"/>
        <v>-48624.341489062346</v>
      </c>
      <c r="AU537">
        <f t="shared" si="471"/>
        <v>-28424.181028229279</v>
      </c>
      <c r="AV537">
        <f t="shared" si="459"/>
        <v>-2.612598310911241</v>
      </c>
      <c r="AW537">
        <f t="shared" si="460"/>
        <v>5426.3547739147443</v>
      </c>
      <c r="AX537">
        <f t="shared" si="461"/>
        <v>-19042.391698592775</v>
      </c>
      <c r="AY537">
        <f t="shared" si="469"/>
        <v>-1.2931924731681284</v>
      </c>
      <c r="BA537">
        <f t="shared" si="450"/>
        <v>2.8445218089810664</v>
      </c>
      <c r="BB537">
        <f t="shared" si="462"/>
        <v>9.0801853571457585</v>
      </c>
      <c r="BC537">
        <f t="shared" si="463"/>
        <v>-1.3194058377431126</v>
      </c>
      <c r="BD537">
        <f t="shared" si="451"/>
        <v>-255.59638605398453</v>
      </c>
      <c r="BF537">
        <f t="shared" si="452"/>
        <v>-40.581016021022094</v>
      </c>
      <c r="BG537">
        <f t="shared" si="453"/>
        <v>-193.28219669818483</v>
      </c>
      <c r="BH537">
        <f t="shared" si="464"/>
        <v>-13.282196698184833</v>
      </c>
      <c r="BI537">
        <f t="shared" si="465"/>
        <v>-13.282196698184833</v>
      </c>
      <c r="BJ537">
        <f t="shared" si="454"/>
        <v>0</v>
      </c>
      <c r="BK537">
        <f t="shared" si="466"/>
        <v>0</v>
      </c>
      <c r="BM537">
        <f t="shared" si="467"/>
        <v>-49.66120137816786</v>
      </c>
      <c r="BN537">
        <f t="shared" si="455"/>
        <v>-117.68581064420032</v>
      </c>
      <c r="BQ537" s="75">
        <f t="shared" si="468"/>
        <v>25.982146157430893</v>
      </c>
    </row>
    <row r="538" spans="1:69">
      <c r="A538">
        <f t="shared" ref="A538:A591" si="472">A537+5000</f>
        <v>1620000</v>
      </c>
      <c r="B538">
        <f t="shared" si="456"/>
        <v>1620</v>
      </c>
      <c r="C538">
        <f t="shared" si="425"/>
        <v>2.1411196300389479</v>
      </c>
      <c r="D538">
        <f t="shared" si="426"/>
        <v>1.0848499737276724</v>
      </c>
      <c r="F538">
        <f t="shared" si="427"/>
        <v>1.699886858316963E-4</v>
      </c>
      <c r="G538">
        <f t="shared" si="428"/>
        <v>4.0031056549461978E-3</v>
      </c>
      <c r="H538">
        <f t="shared" si="429"/>
        <v>-3.1375895443450541</v>
      </c>
      <c r="J538">
        <f t="shared" si="430"/>
        <v>9</v>
      </c>
      <c r="M538">
        <f t="shared" si="431"/>
        <v>2.6053832646731217E-3</v>
      </c>
      <c r="N538">
        <f t="shared" si="432"/>
        <v>-1.5707963250000001</v>
      </c>
      <c r="O538">
        <f t="shared" si="433"/>
        <v>208.34126340951966</v>
      </c>
      <c r="P538">
        <f t="shared" si="434"/>
        <v>1.5659964910668112</v>
      </c>
      <c r="Q538">
        <f t="shared" si="435"/>
        <v>85.072321119759636</v>
      </c>
      <c r="R538">
        <f t="shared" si="436"/>
        <v>1.5590413515324875</v>
      </c>
      <c r="S538">
        <f t="shared" si="437"/>
        <v>0.67546788947692116</v>
      </c>
      <c r="T538">
        <f t="shared" si="438"/>
        <v>-0.82919728728202913</v>
      </c>
      <c r="U538">
        <f t="shared" si="439"/>
        <v>0.50663976638597041</v>
      </c>
      <c r="V538">
        <f t="shared" si="440"/>
        <v>-1.0395134890740865</v>
      </c>
      <c r="X538">
        <f t="shared" si="457"/>
        <v>-25.719147260456509</v>
      </c>
      <c r="Y538">
        <f t="shared" si="441"/>
        <v>-135.63107530422687</v>
      </c>
      <c r="Z538">
        <f t="shared" si="458"/>
        <v>44.368924695773131</v>
      </c>
      <c r="AC538">
        <v>1</v>
      </c>
      <c r="AD538">
        <f t="shared" si="442"/>
        <v>208.33886348704803</v>
      </c>
      <c r="AE538">
        <f t="shared" si="443"/>
        <v>-1.1875535441607341E-2</v>
      </c>
      <c r="AF538">
        <f t="shared" si="444"/>
        <v>6.9785579835216008E-3</v>
      </c>
      <c r="AG538">
        <f t="shared" si="421"/>
        <v>7600.4840630507188</v>
      </c>
      <c r="AH538">
        <f t="shared" si="422"/>
        <v>-13077.174121017761</v>
      </c>
      <c r="AJ538">
        <f t="shared" si="445"/>
        <v>55000</v>
      </c>
      <c r="AK538">
        <f t="shared" si="446"/>
        <v>60041.961647167504</v>
      </c>
      <c r="AL538">
        <v>1</v>
      </c>
      <c r="AM538">
        <f t="shared" si="447"/>
        <v>85.066443564448505</v>
      </c>
      <c r="AN538">
        <f t="shared" si="423"/>
        <v>713.32627773540673</v>
      </c>
      <c r="AO538">
        <f t="shared" si="424"/>
        <v>-638.16790084959439</v>
      </c>
      <c r="AQ538">
        <f t="shared" si="448"/>
        <v>4.3382043974653124E-3</v>
      </c>
      <c r="AR538">
        <f t="shared" si="449"/>
        <v>-3.7036986222920354</v>
      </c>
      <c r="AT538">
        <f t="shared" si="470"/>
        <v>-48400.939322101345</v>
      </c>
      <c r="AU538">
        <f t="shared" si="471"/>
        <v>-28206.633807351736</v>
      </c>
      <c r="AV538">
        <f t="shared" si="459"/>
        <v>-2.6139383353384034</v>
      </c>
      <c r="AW538">
        <f t="shared" si="460"/>
        <v>5408.4318760905498</v>
      </c>
      <c r="AX538">
        <f t="shared" si="461"/>
        <v>-19002.445862477434</v>
      </c>
      <c r="AY538">
        <f t="shared" si="469"/>
        <v>-1.2935108129692179</v>
      </c>
      <c r="BA538">
        <f t="shared" si="450"/>
        <v>2.8354436052485799</v>
      </c>
      <c r="BB538">
        <f t="shared" si="462"/>
        <v>9.0524202786197812</v>
      </c>
      <c r="BC538">
        <f t="shared" si="463"/>
        <v>-1.3204275223691855</v>
      </c>
      <c r="BD538">
        <f t="shared" si="451"/>
        <v>-255.65492427111877</v>
      </c>
      <c r="BF538">
        <f t="shared" si="452"/>
        <v>-40.641510541203012</v>
      </c>
      <c r="BG538">
        <f t="shared" si="453"/>
        <v>-193.26823824138435</v>
      </c>
      <c r="BH538">
        <f t="shared" si="464"/>
        <v>-13.268238241384353</v>
      </c>
      <c r="BI538">
        <f t="shared" si="465"/>
        <v>-13.268238241384353</v>
      </c>
      <c r="BJ538">
        <f t="shared" si="454"/>
        <v>0</v>
      </c>
      <c r="BK538">
        <f t="shared" si="466"/>
        <v>0</v>
      </c>
      <c r="BM538">
        <f t="shared" si="467"/>
        <v>-49.693930819822796</v>
      </c>
      <c r="BN538">
        <f t="shared" si="455"/>
        <v>-117.61331397026558</v>
      </c>
      <c r="BQ538" s="75">
        <f t="shared" si="468"/>
        <v>25.954381078904916</v>
      </c>
    </row>
    <row r="539" spans="1:69">
      <c r="A539">
        <f t="shared" si="472"/>
        <v>1625000</v>
      </c>
      <c r="B539">
        <f t="shared" si="456"/>
        <v>1625</v>
      </c>
      <c r="C539">
        <f t="shared" si="425"/>
        <v>2.1462882610229683</v>
      </c>
      <c r="D539">
        <f t="shared" si="426"/>
        <v>1.086121525214564</v>
      </c>
      <c r="F539">
        <f t="shared" si="427"/>
        <v>1.6894404258147711E-4</v>
      </c>
      <c r="G539">
        <f t="shared" si="428"/>
        <v>3.9907843635667902E-3</v>
      </c>
      <c r="H539">
        <f t="shared" si="429"/>
        <v>-3.1376018656364333</v>
      </c>
      <c r="J539">
        <f t="shared" si="430"/>
        <v>9</v>
      </c>
      <c r="M539">
        <f t="shared" si="431"/>
        <v>2.5973667007818196E-3</v>
      </c>
      <c r="N539">
        <f t="shared" si="432"/>
        <v>-1.5707963250000001</v>
      </c>
      <c r="O539">
        <f t="shared" si="433"/>
        <v>208.98427720882944</v>
      </c>
      <c r="P539">
        <f t="shared" si="434"/>
        <v>1.5660112595663431</v>
      </c>
      <c r="Q539">
        <f t="shared" si="435"/>
        <v>85.334853787959887</v>
      </c>
      <c r="R539">
        <f t="shared" si="436"/>
        <v>1.5590775173707041</v>
      </c>
      <c r="S539">
        <f t="shared" si="437"/>
        <v>0.67433541113228723</v>
      </c>
      <c r="T539">
        <f t="shared" si="438"/>
        <v>-0.83073200327217955</v>
      </c>
      <c r="U539">
        <f t="shared" si="439"/>
        <v>0.50547964393483524</v>
      </c>
      <c r="V539">
        <f t="shared" si="440"/>
        <v>-1.0408585612072991</v>
      </c>
      <c r="X539">
        <f t="shared" si="457"/>
        <v>-25.759471812023818</v>
      </c>
      <c r="Y539">
        <f t="shared" si="441"/>
        <v>-135.72100811146666</v>
      </c>
      <c r="Z539">
        <f t="shared" si="458"/>
        <v>44.278991888533341</v>
      </c>
      <c r="AC539">
        <v>1</v>
      </c>
      <c r="AD539">
        <f t="shared" si="442"/>
        <v>208.98188467065</v>
      </c>
      <c r="AE539">
        <f t="shared" si="443"/>
        <v>-1.1948954342133205E-2</v>
      </c>
      <c r="AF539">
        <f t="shared" si="444"/>
        <v>7.0000967427300007E-3</v>
      </c>
      <c r="AG539">
        <f t="shared" si="421"/>
        <v>7565.7161767705029</v>
      </c>
      <c r="AH539">
        <f t="shared" si="422"/>
        <v>-13057.304851778788</v>
      </c>
      <c r="AJ539">
        <f t="shared" si="445"/>
        <v>55000</v>
      </c>
      <c r="AK539">
        <f t="shared" si="446"/>
        <v>60227.276343609381</v>
      </c>
      <c r="AL539">
        <v>1</v>
      </c>
      <c r="AM539">
        <f t="shared" si="447"/>
        <v>85.328994316190631</v>
      </c>
      <c r="AN539">
        <f t="shared" si="423"/>
        <v>713.2801889767444</v>
      </c>
      <c r="AO539">
        <f t="shared" si="424"/>
        <v>-636.2048474386238</v>
      </c>
      <c r="AQ539">
        <f t="shared" si="448"/>
        <v>4.3115488631232162E-3</v>
      </c>
      <c r="AR539">
        <f t="shared" si="449"/>
        <v>-3.692302657657144</v>
      </c>
      <c r="AT539">
        <f t="shared" si="470"/>
        <v>-48178.901451081671</v>
      </c>
      <c r="AU539">
        <f t="shared" si="471"/>
        <v>-27991.211154458513</v>
      </c>
      <c r="AV539">
        <f t="shared" si="459"/>
        <v>-2.6152722430188295</v>
      </c>
      <c r="AW539">
        <f t="shared" si="460"/>
        <v>5390.572439796565</v>
      </c>
      <c r="AX539">
        <f t="shared" si="461"/>
        <v>-18962.632470856253</v>
      </c>
      <c r="AY539">
        <f t="shared" si="469"/>
        <v>-1.2938292926507691</v>
      </c>
      <c r="BA539">
        <f t="shared" si="450"/>
        <v>2.8264235911815581</v>
      </c>
      <c r="BB539">
        <f t="shared" si="462"/>
        <v>9.0247449869593197</v>
      </c>
      <c r="BC539">
        <f t="shared" si="463"/>
        <v>-1.3214429503680605</v>
      </c>
      <c r="BD539">
        <f t="shared" si="451"/>
        <v>-255.71310400992022</v>
      </c>
      <c r="BF539">
        <f t="shared" si="452"/>
        <v>-40.701786179678983</v>
      </c>
      <c r="BG539">
        <f t="shared" si="453"/>
        <v>-193.25426940446505</v>
      </c>
      <c r="BH539">
        <f t="shared" si="464"/>
        <v>-13.254269404465049</v>
      </c>
      <c r="BI539">
        <f t="shared" si="465"/>
        <v>-13.254269404465049</v>
      </c>
      <c r="BJ539">
        <f t="shared" si="454"/>
        <v>0</v>
      </c>
      <c r="BK539">
        <f t="shared" si="466"/>
        <v>0</v>
      </c>
      <c r="BM539">
        <f t="shared" si="467"/>
        <v>-49.726531166638296</v>
      </c>
      <c r="BN539">
        <f t="shared" si="455"/>
        <v>-117.54116539454483</v>
      </c>
      <c r="BQ539" s="75">
        <f t="shared" si="468"/>
        <v>25.926705787244451</v>
      </c>
    </row>
    <row r="540" spans="1:69">
      <c r="A540">
        <f t="shared" si="472"/>
        <v>1630000</v>
      </c>
      <c r="B540">
        <f t="shared" si="456"/>
        <v>1630</v>
      </c>
      <c r="C540">
        <f t="shared" si="425"/>
        <v>2.1514603455417181</v>
      </c>
      <c r="D540">
        <f t="shared" si="426"/>
        <v>1.0873869651506496</v>
      </c>
      <c r="F540">
        <f t="shared" si="427"/>
        <v>1.6790899991463363E-4</v>
      </c>
      <c r="G540">
        <f t="shared" si="428"/>
        <v>3.9785386999762386E-3</v>
      </c>
      <c r="H540">
        <f t="shared" si="429"/>
        <v>-3.137614111300024</v>
      </c>
      <c r="J540">
        <f t="shared" si="430"/>
        <v>9</v>
      </c>
      <c r="M540">
        <f t="shared" si="431"/>
        <v>2.589399318264084E-3</v>
      </c>
      <c r="N540">
        <f t="shared" si="432"/>
        <v>-1.5707963250000001</v>
      </c>
      <c r="O540">
        <f t="shared" si="433"/>
        <v>209.62729105344093</v>
      </c>
      <c r="P540">
        <f t="shared" si="434"/>
        <v>1.5660259374636516</v>
      </c>
      <c r="Q540">
        <f t="shared" si="435"/>
        <v>85.597386567090723</v>
      </c>
      <c r="R540">
        <f t="shared" si="436"/>
        <v>1.5591134613629882</v>
      </c>
      <c r="S540">
        <f t="shared" si="437"/>
        <v>0.67320514614017413</v>
      </c>
      <c r="T540">
        <f t="shared" si="438"/>
        <v>-0.83226157812809187</v>
      </c>
      <c r="U540">
        <f t="shared" si="439"/>
        <v>0.50432391614074967</v>
      </c>
      <c r="V540">
        <f t="shared" si="440"/>
        <v>-1.0421974850124454</v>
      </c>
      <c r="X540">
        <f t="shared" si="457"/>
        <v>-25.799716444346537</v>
      </c>
      <c r="Y540">
        <f t="shared" si="441"/>
        <v>-135.81065781503818</v>
      </c>
      <c r="Z540">
        <f t="shared" si="458"/>
        <v>44.189342184961816</v>
      </c>
      <c r="AC540">
        <v>1</v>
      </c>
      <c r="AD540">
        <f t="shared" si="442"/>
        <v>209.62490585425201</v>
      </c>
      <c r="AE540">
        <f t="shared" si="443"/>
        <v>-1.2022599495048979E-2</v>
      </c>
      <c r="AF540">
        <f t="shared" si="444"/>
        <v>7.0216355019384006E-3</v>
      </c>
      <c r="AG540">
        <f t="shared" si="421"/>
        <v>7531.159246362864</v>
      </c>
      <c r="AH540">
        <f t="shared" si="422"/>
        <v>-13037.434273992698</v>
      </c>
      <c r="AJ540">
        <f t="shared" si="445"/>
        <v>55000</v>
      </c>
      <c r="AK540">
        <f t="shared" si="446"/>
        <v>60412.591040051266</v>
      </c>
      <c r="AL540">
        <v>1</v>
      </c>
      <c r="AM540">
        <f t="shared" si="447"/>
        <v>85.591545067932756</v>
      </c>
      <c r="AN540">
        <f t="shared" si="423"/>
        <v>713.23452361974091</v>
      </c>
      <c r="AO540">
        <f t="shared" si="424"/>
        <v>-634.25383235334345</v>
      </c>
      <c r="AQ540">
        <f t="shared" si="448"/>
        <v>4.285138248251592E-3</v>
      </c>
      <c r="AR540">
        <f t="shared" si="449"/>
        <v>-3.6809766066306002</v>
      </c>
      <c r="AT540">
        <f t="shared" si="470"/>
        <v>-47958.21851451086</v>
      </c>
      <c r="AU540">
        <f t="shared" si="471"/>
        <v>-27777.888214937993</v>
      </c>
      <c r="AV540">
        <f t="shared" si="459"/>
        <v>-2.6166000708627264</v>
      </c>
      <c r="AW540">
        <f t="shared" si="460"/>
        <v>5372.7767640841057</v>
      </c>
      <c r="AX540">
        <f t="shared" si="461"/>
        <v>-18922.951060668911</v>
      </c>
      <c r="AY540">
        <f t="shared" si="469"/>
        <v>-1.294147884983978</v>
      </c>
      <c r="BA540">
        <f t="shared" si="450"/>
        <v>2.8174612078889325</v>
      </c>
      <c r="BB540">
        <f t="shared" si="462"/>
        <v>8.9971589038339932</v>
      </c>
      <c r="BC540">
        <f t="shared" si="463"/>
        <v>-1.3224521858787484</v>
      </c>
      <c r="BD540">
        <f t="shared" si="451"/>
        <v>-255.77092894528343</v>
      </c>
      <c r="BF540">
        <f t="shared" si="452"/>
        <v>-40.76184449224683</v>
      </c>
      <c r="BG540">
        <f t="shared" si="453"/>
        <v>-193.24029159702232</v>
      </c>
      <c r="BH540">
        <f t="shared" si="464"/>
        <v>-13.240291597022321</v>
      </c>
      <c r="BI540">
        <f t="shared" si="465"/>
        <v>-13.240291597022321</v>
      </c>
      <c r="BJ540">
        <f t="shared" si="454"/>
        <v>0</v>
      </c>
      <c r="BK540">
        <f t="shared" si="466"/>
        <v>0</v>
      </c>
      <c r="BM540">
        <f t="shared" si="467"/>
        <v>-49.759003396080814</v>
      </c>
      <c r="BN540">
        <f t="shared" si="455"/>
        <v>-117.46936265173888</v>
      </c>
      <c r="BQ540" s="75">
        <f t="shared" si="468"/>
        <v>25.89911970411913</v>
      </c>
    </row>
    <row r="541" spans="1:69">
      <c r="A541">
        <f t="shared" si="472"/>
        <v>1635000</v>
      </c>
      <c r="B541">
        <f t="shared" si="456"/>
        <v>1635</v>
      </c>
      <c r="C541">
        <f t="shared" si="425"/>
        <v>2.1566358587482028</v>
      </c>
      <c r="D541">
        <f t="shared" si="426"/>
        <v>1.0886463334681584</v>
      </c>
      <c r="F541">
        <f t="shared" si="427"/>
        <v>1.6688344054137296E-4</v>
      </c>
      <c r="G541">
        <f t="shared" si="428"/>
        <v>3.9663679698904337E-3</v>
      </c>
      <c r="H541">
        <f t="shared" si="429"/>
        <v>-3.13762628203011</v>
      </c>
      <c r="J541">
        <f t="shared" si="430"/>
        <v>9</v>
      </c>
      <c r="M541">
        <f t="shared" si="431"/>
        <v>2.5814806659146526E-3</v>
      </c>
      <c r="N541">
        <f t="shared" si="432"/>
        <v>-1.5707963250000001</v>
      </c>
      <c r="O541">
        <f t="shared" si="433"/>
        <v>210.2703049429384</v>
      </c>
      <c r="P541">
        <f t="shared" si="434"/>
        <v>1.5660405255899246</v>
      </c>
      <c r="Q541">
        <f t="shared" si="435"/>
        <v>85.859919456134577</v>
      </c>
      <c r="R541">
        <f t="shared" si="436"/>
        <v>1.5591491855442541</v>
      </c>
      <c r="S541">
        <f t="shared" si="437"/>
        <v>0.67207709921613523</v>
      </c>
      <c r="T541">
        <f t="shared" si="438"/>
        <v>-0.83378603051861533</v>
      </c>
      <c r="U541">
        <f t="shared" si="439"/>
        <v>0.50317256531767895</v>
      </c>
      <c r="V541">
        <f t="shared" si="440"/>
        <v>-1.0435302977815664</v>
      </c>
      <c r="X541">
        <f t="shared" si="457"/>
        <v>-25.839881493211337</v>
      </c>
      <c r="Y541">
        <f t="shared" si="441"/>
        <v>-135.9000252088799</v>
      </c>
      <c r="Z541">
        <f t="shared" si="458"/>
        <v>44.099974791120104</v>
      </c>
      <c r="AC541">
        <v>1</v>
      </c>
      <c r="AD541">
        <f t="shared" si="442"/>
        <v>210.26792703785404</v>
      </c>
      <c r="AE541">
        <f t="shared" si="443"/>
        <v>-1.2096470900354666E-2</v>
      </c>
      <c r="AF541">
        <f t="shared" si="444"/>
        <v>7.0431742611468005E-3</v>
      </c>
      <c r="AG541">
        <f t="shared" si="421"/>
        <v>7496.8118424673303</v>
      </c>
      <c r="AH541">
        <f t="shared" si="422"/>
        <v>-13017.563231910119</v>
      </c>
      <c r="AJ541">
        <f t="shared" si="445"/>
        <v>55000</v>
      </c>
      <c r="AK541">
        <f t="shared" si="446"/>
        <v>60597.905736493136</v>
      </c>
      <c r="AL541">
        <v>1</v>
      </c>
      <c r="AM541">
        <f t="shared" si="447"/>
        <v>85.854095819674882</v>
      </c>
      <c r="AN541">
        <f t="shared" si="423"/>
        <v>713.1892764942711</v>
      </c>
      <c r="AO541">
        <f t="shared" si="424"/>
        <v>-632.3147452106183</v>
      </c>
      <c r="AQ541">
        <f t="shared" si="448"/>
        <v>4.2589695614860231E-3</v>
      </c>
      <c r="AR541">
        <f t="shared" si="449"/>
        <v>-3.6697198278066243</v>
      </c>
      <c r="AT541">
        <f t="shared" si="470"/>
        <v>-47738.881208421793</v>
      </c>
      <c r="AU541">
        <f t="shared" si="471"/>
        <v>-27566.640469207297</v>
      </c>
      <c r="AV541">
        <f t="shared" si="459"/>
        <v>-2.6179218555337975</v>
      </c>
      <c r="AW541">
        <f t="shared" si="460"/>
        <v>5355.045130938227</v>
      </c>
      <c r="AX541">
        <f t="shared" si="461"/>
        <v>-18883.401170299363</v>
      </c>
      <c r="AY541">
        <f t="shared" si="469"/>
        <v>-1.2944665633764754</v>
      </c>
      <c r="BA541">
        <f t="shared" si="450"/>
        <v>2.8085559035698826</v>
      </c>
      <c r="BB541">
        <f t="shared" si="462"/>
        <v>8.9696614563228891</v>
      </c>
      <c r="BC541">
        <f t="shared" si="463"/>
        <v>-1.3234552921573222</v>
      </c>
      <c r="BD541">
        <f t="shared" si="451"/>
        <v>-255.82840270151445</v>
      </c>
      <c r="BF541">
        <f t="shared" si="452"/>
        <v>-40.821687018906161</v>
      </c>
      <c r="BG541">
        <f t="shared" si="453"/>
        <v>-193.22630619519347</v>
      </c>
      <c r="BH541">
        <f t="shared" si="464"/>
        <v>-13.226306195193473</v>
      </c>
      <c r="BI541">
        <f t="shared" si="465"/>
        <v>-13.226306195193473</v>
      </c>
      <c r="BJ541">
        <f t="shared" si="454"/>
        <v>0</v>
      </c>
      <c r="BK541">
        <f t="shared" si="466"/>
        <v>0</v>
      </c>
      <c r="BM541">
        <f t="shared" si="467"/>
        <v>-49.791348475229057</v>
      </c>
      <c r="BN541">
        <f t="shared" si="455"/>
        <v>-117.39790349367901</v>
      </c>
      <c r="BQ541" s="75">
        <f t="shared" si="468"/>
        <v>25.871622256608028</v>
      </c>
    </row>
    <row r="542" spans="1:69">
      <c r="A542">
        <f t="shared" si="472"/>
        <v>1640000</v>
      </c>
      <c r="B542">
        <f t="shared" si="456"/>
        <v>1640</v>
      </c>
      <c r="C542">
        <f t="shared" si="425"/>
        <v>2.1618147760169748</v>
      </c>
      <c r="D542">
        <f t="shared" si="426"/>
        <v>1.0898996697940853</v>
      </c>
      <c r="F542">
        <f t="shared" si="427"/>
        <v>1.6586724895769416E-4</v>
      </c>
      <c r="G542">
        <f t="shared" si="428"/>
        <v>3.954271487499E-3</v>
      </c>
      <c r="H542">
        <f t="shared" si="429"/>
        <v>-3.1376383785125013</v>
      </c>
      <c r="J542">
        <f t="shared" si="430"/>
        <v>9</v>
      </c>
      <c r="M542">
        <f t="shared" si="431"/>
        <v>2.5736102980307663E-3</v>
      </c>
      <c r="N542">
        <f t="shared" si="432"/>
        <v>-1.5707963250000001</v>
      </c>
      <c r="O542">
        <f t="shared" si="433"/>
        <v>210.9133188769114</v>
      </c>
      <c r="P542">
        <f t="shared" si="434"/>
        <v>1.5660550247662139</v>
      </c>
      <c r="Q542">
        <f t="shared" si="435"/>
        <v>86.122452454086257</v>
      </c>
      <c r="R542">
        <f t="shared" si="436"/>
        <v>1.5591846919246053</v>
      </c>
      <c r="S542">
        <f t="shared" si="437"/>
        <v>0.67095127491857476</v>
      </c>
      <c r="T542">
        <f t="shared" si="438"/>
        <v>-0.8353053790830024</v>
      </c>
      <c r="U542">
        <f t="shared" si="439"/>
        <v>0.50202557378631718</v>
      </c>
      <c r="V542">
        <f t="shared" si="440"/>
        <v>-1.044857036553914</v>
      </c>
      <c r="X542">
        <f t="shared" si="457"/>
        <v>-25.879967291444235</v>
      </c>
      <c r="Y542">
        <f t="shared" si="441"/>
        <v>-135.98911108975645</v>
      </c>
      <c r="Z542">
        <f t="shared" si="458"/>
        <v>44.010888910243551</v>
      </c>
      <c r="AC542">
        <v>1</v>
      </c>
      <c r="AD542">
        <f t="shared" si="442"/>
        <v>210.91094822145604</v>
      </c>
      <c r="AE542">
        <f t="shared" si="443"/>
        <v>-1.2170568558050262E-2</v>
      </c>
      <c r="AF542">
        <f t="shared" si="444"/>
        <v>7.0647130203552004E-3</v>
      </c>
      <c r="AG542">
        <f t="shared" si="421"/>
        <v>7462.6725441598901</v>
      </c>
      <c r="AH542">
        <f t="shared" si="422"/>
        <v>-12997.692554588797</v>
      </c>
      <c r="AJ542">
        <f t="shared" si="445"/>
        <v>55000</v>
      </c>
      <c r="AK542">
        <f t="shared" si="446"/>
        <v>60783.220432935006</v>
      </c>
      <c r="AL542">
        <v>1</v>
      </c>
      <c r="AM542">
        <f t="shared" si="447"/>
        <v>86.116646571417007</v>
      </c>
      <c r="AN542">
        <f t="shared" si="423"/>
        <v>713.14444250888118</v>
      </c>
      <c r="AO542">
        <f t="shared" si="424"/>
        <v>-630.38747697253541</v>
      </c>
      <c r="AQ542">
        <f t="shared" si="448"/>
        <v>4.2330398569924172E-3</v>
      </c>
      <c r="AR542">
        <f t="shared" si="449"/>
        <v>-3.658531687601406</v>
      </c>
      <c r="AT542">
        <f t="shared" si="470"/>
        <v>-47520.880286344865</v>
      </c>
      <c r="AU542">
        <f t="shared" si="471"/>
        <v>-27357.443727634469</v>
      </c>
      <c r="AV542">
        <f t="shared" si="459"/>
        <v>-2.6192376334506191</v>
      </c>
      <c r="AW542">
        <f t="shared" si="460"/>
        <v>5337.3778057390873</v>
      </c>
      <c r="AX542">
        <f t="shared" si="461"/>
        <v>-18843.982339543643</v>
      </c>
      <c r="AY542">
        <f t="shared" si="469"/>
        <v>-1.2947853018585003</v>
      </c>
      <c r="BA542">
        <f t="shared" si="450"/>
        <v>2.799707133403472</v>
      </c>
      <c r="BB542">
        <f t="shared" si="462"/>
        <v>8.942252076851382</v>
      </c>
      <c r="BC542">
        <f t="shared" si="463"/>
        <v>-1.3244523315921188</v>
      </c>
      <c r="BD542">
        <f t="shared" si="451"/>
        <v>-255.88552885320169</v>
      </c>
      <c r="BF542">
        <f t="shared" si="452"/>
        <v>-40.881315284060307</v>
      </c>
      <c r="BG542">
        <f t="shared" si="453"/>
        <v>-193.21231454240137</v>
      </c>
      <c r="BH542">
        <f t="shared" si="464"/>
        <v>-13.212314542401373</v>
      </c>
      <c r="BI542">
        <f t="shared" si="465"/>
        <v>-13.212314542401373</v>
      </c>
      <c r="BJ542">
        <f t="shared" si="454"/>
        <v>0</v>
      </c>
      <c r="BK542">
        <f t="shared" si="466"/>
        <v>0</v>
      </c>
      <c r="BM542">
        <f t="shared" si="467"/>
        <v>-49.823567360911696</v>
      </c>
      <c r="BN542">
        <f t="shared" si="455"/>
        <v>-117.32678568919968</v>
      </c>
      <c r="BQ542" s="75">
        <f t="shared" si="468"/>
        <v>25.84421287713652</v>
      </c>
    </row>
    <row r="543" spans="1:69">
      <c r="A543">
        <f t="shared" si="472"/>
        <v>1645000</v>
      </c>
      <c r="B543">
        <f t="shared" si="456"/>
        <v>1645</v>
      </c>
      <c r="C543">
        <f t="shared" si="425"/>
        <v>2.1669970729418773</v>
      </c>
      <c r="D543">
        <f t="shared" si="426"/>
        <v>1.0911470134525356</v>
      </c>
      <c r="F543">
        <f t="shared" si="427"/>
        <v>1.648603114128586E-4</v>
      </c>
      <c r="G543">
        <f t="shared" si="428"/>
        <v>3.9422485753363807E-3</v>
      </c>
      <c r="H543">
        <f t="shared" si="429"/>
        <v>-3.137650401424664</v>
      </c>
      <c r="J543">
        <f t="shared" si="430"/>
        <v>9</v>
      </c>
      <c r="M543">
        <f t="shared" si="431"/>
        <v>2.5657877743285452E-3</v>
      </c>
      <c r="N543">
        <f t="shared" si="432"/>
        <v>-1.5707963250000001</v>
      </c>
      <c r="O543">
        <f t="shared" si="433"/>
        <v>211.55633285495435</v>
      </c>
      <c r="P543">
        <f t="shared" si="434"/>
        <v>1.5660694358035891</v>
      </c>
      <c r="Q543">
        <f t="shared" si="435"/>
        <v>86.384985559952852</v>
      </c>
      <c r="R543">
        <f t="shared" si="436"/>
        <v>1.5592199824897115</v>
      </c>
      <c r="S543">
        <f t="shared" si="437"/>
        <v>0.66982767765073115</v>
      </c>
      <c r="T543">
        <f t="shared" si="438"/>
        <v>-0.8368196424301626</v>
      </c>
      <c r="U543">
        <f t="shared" si="439"/>
        <v>0.50088292387591005</v>
      </c>
      <c r="V543">
        <f t="shared" si="440"/>
        <v>-1.0461777381174489</v>
      </c>
      <c r="X543">
        <f t="shared" si="457"/>
        <v>-25.919974168955669</v>
      </c>
      <c r="Y543">
        <f t="shared" si="441"/>
        <v>-136.07791625714398</v>
      </c>
      <c r="Z543">
        <f t="shared" si="458"/>
        <v>43.922083742856017</v>
      </c>
      <c r="AC543">
        <v>1</v>
      </c>
      <c r="AD543">
        <f t="shared" si="442"/>
        <v>211.55396940505801</v>
      </c>
      <c r="AE543">
        <f t="shared" si="443"/>
        <v>-1.2244892468135768E-2</v>
      </c>
      <c r="AF543">
        <f t="shared" si="444"/>
        <v>7.0862517795636003E-3</v>
      </c>
      <c r="AG543">
        <f t="shared" si="421"/>
        <v>7428.7399389590282</v>
      </c>
      <c r="AH543">
        <f t="shared" si="422"/>
        <v>-12977.823056120971</v>
      </c>
      <c r="AJ543">
        <f t="shared" si="445"/>
        <v>55000</v>
      </c>
      <c r="AK543">
        <f t="shared" si="446"/>
        <v>60968.535129376884</v>
      </c>
      <c r="AL543">
        <v>1</v>
      </c>
      <c r="AM543">
        <f t="shared" si="447"/>
        <v>86.379197323159133</v>
      </c>
      <c r="AN543">
        <f t="shared" si="423"/>
        <v>713.1000166493568</v>
      </c>
      <c r="AO543">
        <f t="shared" si="424"/>
        <v>-628.47191992597709</v>
      </c>
      <c r="AQ543">
        <f t="shared" si="448"/>
        <v>4.2073462336379352E-3</v>
      </c>
      <c r="AR543">
        <f t="shared" si="449"/>
        <v>-3.6474115601342305</v>
      </c>
      <c r="AT543">
        <f t="shared" si="470"/>
        <v>-47304.206559269318</v>
      </c>
      <c r="AU543">
        <f t="shared" si="471"/>
        <v>-27150.27412554601</v>
      </c>
      <c r="AV543">
        <f t="shared" si="459"/>
        <v>-2.6205474407880214</v>
      </c>
      <c r="AW543">
        <f t="shared" si="460"/>
        <v>5319.7750377118518</v>
      </c>
      <c r="AX543">
        <f t="shared" si="461"/>
        <v>-18804.694109579548</v>
      </c>
      <c r="AY543">
        <f t="shared" si="469"/>
        <v>-1.2951040750693907</v>
      </c>
      <c r="BA543">
        <f t="shared" si="450"/>
        <v>2.7909143594402654</v>
      </c>
      <c r="BB543">
        <f t="shared" si="462"/>
        <v>8.9149302031286943</v>
      </c>
      <c r="BC543">
        <f t="shared" si="463"/>
        <v>-1.3254433657186306</v>
      </c>
      <c r="BD543">
        <f t="shared" si="451"/>
        <v>-255.94231092606913</v>
      </c>
      <c r="BF543">
        <f t="shared" si="452"/>
        <v>-40.940730796714149</v>
      </c>
      <c r="BG543">
        <f t="shared" si="453"/>
        <v>-193.19831795008068</v>
      </c>
      <c r="BH543">
        <f t="shared" si="464"/>
        <v>-13.198317950080678</v>
      </c>
      <c r="BI543">
        <f t="shared" si="465"/>
        <v>-13.198317950080678</v>
      </c>
      <c r="BJ543">
        <f t="shared" si="454"/>
        <v>0</v>
      </c>
      <c r="BK543">
        <f t="shared" si="466"/>
        <v>0</v>
      </c>
      <c r="BM543">
        <f t="shared" si="467"/>
        <v>-49.85566099984284</v>
      </c>
      <c r="BN543">
        <f t="shared" si="455"/>
        <v>-117.25600702401157</v>
      </c>
      <c r="BQ543" s="75">
        <f t="shared" si="468"/>
        <v>25.816891003413829</v>
      </c>
    </row>
    <row r="544" spans="1:69">
      <c r="A544">
        <f t="shared" si="472"/>
        <v>1650000</v>
      </c>
      <c r="B544">
        <f t="shared" si="456"/>
        <v>1650</v>
      </c>
      <c r="C544">
        <f t="shared" si="425"/>
        <v>2.1721827253338102</v>
      </c>
      <c r="D544">
        <f t="shared" si="426"/>
        <v>1.0923884034670592</v>
      </c>
      <c r="F544">
        <f t="shared" si="427"/>
        <v>1.6386251587754879E-4</v>
      </c>
      <c r="G544">
        <f t="shared" si="428"/>
        <v>3.9302985641552863E-3</v>
      </c>
      <c r="H544">
        <f t="shared" si="429"/>
        <v>-3.137662351435845</v>
      </c>
      <c r="J544">
        <f t="shared" si="430"/>
        <v>9</v>
      </c>
      <c r="M544">
        <f t="shared" si="431"/>
        <v>2.5580126598608831E-3</v>
      </c>
      <c r="N544">
        <f t="shared" si="432"/>
        <v>-1.5707963250000001</v>
      </c>
      <c r="O544">
        <f t="shared" si="433"/>
        <v>212.19934687666662</v>
      </c>
      <c r="P544">
        <f t="shared" si="434"/>
        <v>1.5660837595032897</v>
      </c>
      <c r="Q544">
        <f t="shared" si="435"/>
        <v>86.647518772753415</v>
      </c>
      <c r="R544">
        <f t="shared" si="436"/>
        <v>1.5592550592011798</v>
      </c>
      <c r="S544">
        <f t="shared" si="437"/>
        <v>0.66870631166264127</v>
      </c>
      <c r="T544">
        <f t="shared" si="438"/>
        <v>-0.8383288391379311</v>
      </c>
      <c r="U544">
        <f t="shared" si="439"/>
        <v>0.49974459792603154</v>
      </c>
      <c r="V544">
        <f t="shared" si="440"/>
        <v>-1.0474924390103366</v>
      </c>
      <c r="X544">
        <f t="shared" si="457"/>
        <v>-25.959902452784807</v>
      </c>
      <c r="Y544">
        <f t="shared" si="441"/>
        <v>-136.16644151311758</v>
      </c>
      <c r="Z544">
        <f t="shared" si="458"/>
        <v>43.833558486882424</v>
      </c>
      <c r="AC544">
        <v>1</v>
      </c>
      <c r="AD544">
        <f t="shared" si="442"/>
        <v>212.19699058866004</v>
      </c>
      <c r="AE544">
        <f t="shared" si="443"/>
        <v>-1.2319442630611183E-2</v>
      </c>
      <c r="AF544">
        <f t="shared" si="444"/>
        <v>7.1077905387720002E-3</v>
      </c>
      <c r="AG544">
        <f t="shared" si="421"/>
        <v>7395.0126228298695</v>
      </c>
      <c r="AH544">
        <f t="shared" si="422"/>
        <v>-12957.955535857767</v>
      </c>
      <c r="AJ544">
        <f t="shared" si="445"/>
        <v>55000</v>
      </c>
      <c r="AK544">
        <f t="shared" si="446"/>
        <v>61153.849825818754</v>
      </c>
      <c r="AL544">
        <v>1</v>
      </c>
      <c r="AM544">
        <f t="shared" si="447"/>
        <v>86.641748074901258</v>
      </c>
      <c r="AN544">
        <f t="shared" si="423"/>
        <v>713.05599397732055</v>
      </c>
      <c r="AO544">
        <f t="shared" si="424"/>
        <v>-626.56796766256321</v>
      </c>
      <c r="AQ544">
        <f t="shared" si="448"/>
        <v>4.1818858341794787E-3</v>
      </c>
      <c r="AR544">
        <f t="shared" si="449"/>
        <v>-3.6363588271107656</v>
      </c>
      <c r="AT544">
        <f t="shared" si="470"/>
        <v>-47088.850895594209</v>
      </c>
      <c r="AU544">
        <f t="shared" si="471"/>
        <v>-26945.108118318261</v>
      </c>
      <c r="AV544">
        <f t="shared" si="459"/>
        <v>-2.6218513134784724</v>
      </c>
      <c r="AW544">
        <f t="shared" si="460"/>
        <v>5302.2370603654181</v>
      </c>
      <c r="AX544">
        <f t="shared" si="461"/>
        <v>-18765.53602293794</v>
      </c>
      <c r="AY544">
        <f t="shared" si="469"/>
        <v>-1.2954228582443805</v>
      </c>
      <c r="BA544">
        <f t="shared" si="450"/>
        <v>2.7821770504959145</v>
      </c>
      <c r="BB544">
        <f t="shared" si="462"/>
        <v>8.8876952780863103</v>
      </c>
      <c r="BC544">
        <f t="shared" si="463"/>
        <v>-1.3264284552340919</v>
      </c>
      <c r="BD544">
        <f t="shared" si="451"/>
        <v>-255.99875239781215</v>
      </c>
      <c r="BF544">
        <f t="shared" si="452"/>
        <v>-40.99993505066918</v>
      </c>
      <c r="BG544">
        <f t="shared" si="453"/>
        <v>-193.18431769838716</v>
      </c>
      <c r="BH544">
        <f t="shared" si="464"/>
        <v>-13.184317698387161</v>
      </c>
      <c r="BI544">
        <f t="shared" si="465"/>
        <v>-13.184317698387161</v>
      </c>
      <c r="BJ544">
        <f t="shared" si="454"/>
        <v>0</v>
      </c>
      <c r="BK544">
        <f t="shared" si="466"/>
        <v>0</v>
      </c>
      <c r="BM544">
        <f t="shared" si="467"/>
        <v>-49.887630328755478</v>
      </c>
      <c r="BN544">
        <f t="shared" si="455"/>
        <v>-117.18556530057501</v>
      </c>
      <c r="BQ544" s="75">
        <f t="shared" si="468"/>
        <v>25.789656078371447</v>
      </c>
    </row>
    <row r="545" spans="1:69">
      <c r="A545">
        <f t="shared" si="472"/>
        <v>1655000</v>
      </c>
      <c r="B545">
        <f t="shared" si="456"/>
        <v>1655</v>
      </c>
      <c r="C545">
        <f t="shared" si="425"/>
        <v>2.177371709218523</v>
      </c>
      <c r="D545">
        <f t="shared" si="426"/>
        <v>1.0936238785629715</v>
      </c>
      <c r="F545">
        <f t="shared" si="427"/>
        <v>1.6287375201270049E-4</v>
      </c>
      <c r="G545">
        <f t="shared" si="428"/>
        <v>3.9184207928024328E-3</v>
      </c>
      <c r="H545">
        <f t="shared" si="429"/>
        <v>-3.1376742292071977</v>
      </c>
      <c r="J545">
        <f t="shared" si="430"/>
        <v>9</v>
      </c>
      <c r="M545">
        <f t="shared" si="431"/>
        <v>2.5502845249368322E-3</v>
      </c>
      <c r="N545">
        <f t="shared" si="432"/>
        <v>-1.5707963250000001</v>
      </c>
      <c r="O545">
        <f t="shared" si="433"/>
        <v>212.84236094165243</v>
      </c>
      <c r="P545">
        <f t="shared" si="434"/>
        <v>1.566097996656872</v>
      </c>
      <c r="Q545">
        <f t="shared" si="435"/>
        <v>86.910052091518907</v>
      </c>
      <c r="R545">
        <f t="shared" si="436"/>
        <v>1.5592899239969171</v>
      </c>
      <c r="S545">
        <f t="shared" si="437"/>
        <v>0.66758718105309101</v>
      </c>
      <c r="T545">
        <f t="shared" si="438"/>
        <v>-0.83983298775235238</v>
      </c>
      <c r="U545">
        <f t="shared" si="439"/>
        <v>0.49861057828831373</v>
      </c>
      <c r="V545">
        <f t="shared" si="440"/>
        <v>-1.0488011755224478</v>
      </c>
      <c r="X545">
        <f t="shared" si="457"/>
        <v>-25.999752467142919</v>
      </c>
      <c r="Y545">
        <f t="shared" si="441"/>
        <v>-136.2546876622412</v>
      </c>
      <c r="Z545">
        <f t="shared" si="458"/>
        <v>43.745312337758804</v>
      </c>
      <c r="AC545">
        <v>1</v>
      </c>
      <c r="AD545">
        <f t="shared" si="442"/>
        <v>212.84001177226205</v>
      </c>
      <c r="AE545">
        <f t="shared" si="443"/>
        <v>-1.2394219045476508E-2</v>
      </c>
      <c r="AF545">
        <f t="shared" si="444"/>
        <v>7.1293292979804001E-3</v>
      </c>
      <c r="AG545">
        <f t="shared" si="421"/>
        <v>7361.4892001864591</v>
      </c>
      <c r="AH545">
        <f t="shared" si="422"/>
        <v>-12938.090778630523</v>
      </c>
      <c r="AJ545">
        <f t="shared" si="445"/>
        <v>55000</v>
      </c>
      <c r="AK545">
        <f t="shared" si="446"/>
        <v>61339.164522260638</v>
      </c>
      <c r="AL545">
        <v>1</v>
      </c>
      <c r="AM545">
        <f t="shared" si="447"/>
        <v>86.904298826643384</v>
      </c>
      <c r="AN545">
        <f t="shared" si="423"/>
        <v>713.01236962886037</v>
      </c>
      <c r="AO545">
        <f t="shared" si="424"/>
        <v>-624.67551505895892</v>
      </c>
      <c r="AQ545">
        <f t="shared" si="448"/>
        <v>4.1566558444693083E-3</v>
      </c>
      <c r="AR545">
        <f t="shared" si="449"/>
        <v>-3.6253728777084637</v>
      </c>
      <c r="AT545">
        <f t="shared" si="470"/>
        <v>-46874.804221069127</v>
      </c>
      <c r="AU545">
        <f t="shared" si="471"/>
        <v>-26741.92247655103</v>
      </c>
      <c r="AV545">
        <f t="shared" si="459"/>
        <v>-2.6231492872134634</v>
      </c>
      <c r="AW545">
        <f t="shared" si="460"/>
        <v>5284.7640919202495</v>
      </c>
      <c r="AX545">
        <f t="shared" si="461"/>
        <v>-18726.507623475689</v>
      </c>
      <c r="AY545">
        <f t="shared" si="469"/>
        <v>-1.2957416272016997</v>
      </c>
      <c r="BA545">
        <f t="shared" si="450"/>
        <v>2.7734946820466626</v>
      </c>
      <c r="BB545">
        <f t="shared" si="462"/>
        <v>8.8605467498171606</v>
      </c>
      <c r="BC545">
        <f t="shared" si="463"/>
        <v>-1.3274076600117637</v>
      </c>
      <c r="BD545">
        <f t="shared" si="451"/>
        <v>-256.0548566989159</v>
      </c>
      <c r="BF545">
        <f t="shared" si="452"/>
        <v>-41.058929524715623</v>
      </c>
      <c r="BG545">
        <f t="shared" si="453"/>
        <v>-193.17031503688997</v>
      </c>
      <c r="BH545">
        <f t="shared" si="464"/>
        <v>-13.170315036889974</v>
      </c>
      <c r="BI545">
        <f t="shared" si="465"/>
        <v>-13.170315036889974</v>
      </c>
      <c r="BJ545">
        <f t="shared" si="454"/>
        <v>0</v>
      </c>
      <c r="BK545">
        <f t="shared" si="466"/>
        <v>0</v>
      </c>
      <c r="BM545">
        <f t="shared" si="467"/>
        <v>-49.919476274532776</v>
      </c>
      <c r="BN545">
        <f t="shared" si="455"/>
        <v>-117.1154583379741</v>
      </c>
      <c r="BQ545" s="75">
        <f t="shared" si="468"/>
        <v>25.762507550102299</v>
      </c>
    </row>
    <row r="546" spans="1:69">
      <c r="A546">
        <f t="shared" si="472"/>
        <v>1660000</v>
      </c>
      <c r="B546">
        <f t="shared" si="456"/>
        <v>1660</v>
      </c>
      <c r="C546">
        <f t="shared" si="425"/>
        <v>2.1825640008344269</v>
      </c>
      <c r="D546">
        <f t="shared" si="426"/>
        <v>1.094853477169663</v>
      </c>
      <c r="F546">
        <f t="shared" si="427"/>
        <v>1.6189391113899084E-4</v>
      </c>
      <c r="G546">
        <f t="shared" si="428"/>
        <v>3.9066146080965229E-3</v>
      </c>
      <c r="H546">
        <f t="shared" si="429"/>
        <v>-3.1376860353919036</v>
      </c>
      <c r="J546">
        <f t="shared" si="430"/>
        <v>9</v>
      </c>
      <c r="M546">
        <f t="shared" si="431"/>
        <v>2.5426029450424437E-3</v>
      </c>
      <c r="N546">
        <f t="shared" si="432"/>
        <v>-1.5707963250000001</v>
      </c>
      <c r="O546">
        <f t="shared" si="433"/>
        <v>213.48537504952074</v>
      </c>
      <c r="P546">
        <f t="shared" si="434"/>
        <v>1.5661121480463562</v>
      </c>
      <c r="Q546">
        <f t="shared" si="435"/>
        <v>87.172585515291942</v>
      </c>
      <c r="R546">
        <f t="shared" si="436"/>
        <v>1.5593245787914867</v>
      </c>
      <c r="S546">
        <f t="shared" si="437"/>
        <v>0.6664702897715471</v>
      </c>
      <c r="T546">
        <f t="shared" si="438"/>
        <v>-0.84133210678698001</v>
      </c>
      <c r="U546">
        <f t="shared" si="439"/>
        <v>0.49748084732813297</v>
      </c>
      <c r="V546">
        <f t="shared" si="440"/>
        <v>-1.050103983696856</v>
      </c>
      <c r="X546">
        <f t="shared" si="457"/>
        <v>-26.039524533455968</v>
      </c>
      <c r="Y546">
        <f t="shared" si="441"/>
        <v>-136.34265551145913</v>
      </c>
      <c r="Z546">
        <f t="shared" si="458"/>
        <v>43.657344488540872</v>
      </c>
      <c r="AC546">
        <v>1</v>
      </c>
      <c r="AD546">
        <f t="shared" si="442"/>
        <v>213.48303295586402</v>
      </c>
      <c r="AE546">
        <f t="shared" si="443"/>
        <v>-1.2469221712731746E-2</v>
      </c>
      <c r="AF546">
        <f t="shared" si="444"/>
        <v>7.1508680571888E-3</v>
      </c>
      <c r="AG546">
        <f t="shared" si="421"/>
        <v>7328.1682838922579</v>
      </c>
      <c r="AH546">
        <f t="shared" si="422"/>
        <v>-12918.22955496919</v>
      </c>
      <c r="AJ546">
        <f t="shared" si="445"/>
        <v>55000</v>
      </c>
      <c r="AK546">
        <f t="shared" si="446"/>
        <v>61524.479218702509</v>
      </c>
      <c r="AL546">
        <v>1</v>
      </c>
      <c r="AM546">
        <f t="shared" si="447"/>
        <v>87.166849578385509</v>
      </c>
      <c r="AN546">
        <f t="shared" si="423"/>
        <v>712.96913881318608</v>
      </c>
      <c r="AO546">
        <f t="shared" si="424"/>
        <v>-622.79445825753703</v>
      </c>
      <c r="AQ546">
        <f t="shared" si="448"/>
        <v>4.1316534926773901E-3</v>
      </c>
      <c r="AR546">
        <f t="shared" si="449"/>
        <v>-3.6144531084640343</v>
      </c>
      <c r="AT546">
        <f t="shared" si="470"/>
        <v>-46662.057518725276</v>
      </c>
      <c r="AU546">
        <f t="shared" si="471"/>
        <v>-26540.694281321918</v>
      </c>
      <c r="AV546">
        <f t="shared" si="459"/>
        <v>-2.6244413974448983</v>
      </c>
      <c r="AW546">
        <f t="shared" si="460"/>
        <v>5267.3563357255925</v>
      </c>
      <c r="AX546">
        <f t="shared" si="461"/>
        <v>-18687.608456350157</v>
      </c>
      <c r="AY546">
        <f t="shared" si="469"/>
        <v>-1.2960603583299661</v>
      </c>
      <c r="BA546">
        <f t="shared" si="450"/>
        <v>2.7648667361267325</v>
      </c>
      <c r="BB546">
        <f t="shared" si="462"/>
        <v>8.8334840715155902</v>
      </c>
      <c r="BC546">
        <f t="shared" si="463"/>
        <v>-1.3283810391149322</v>
      </c>
      <c r="BD546">
        <f t="shared" si="451"/>
        <v>-256.11062721345741</v>
      </c>
      <c r="BF546">
        <f t="shared" si="452"/>
        <v>-41.117715682821768</v>
      </c>
      <c r="BG546">
        <f t="shared" si="453"/>
        <v>-193.156311185249</v>
      </c>
      <c r="BH546">
        <f t="shared" si="464"/>
        <v>-13.156311185248995</v>
      </c>
      <c r="BI546">
        <f t="shared" si="465"/>
        <v>-13.156311185248995</v>
      </c>
      <c r="BJ546">
        <f t="shared" si="454"/>
        <v>0</v>
      </c>
      <c r="BK546">
        <f t="shared" si="466"/>
        <v>0</v>
      </c>
      <c r="BM546">
        <f t="shared" si="467"/>
        <v>-49.951199754337367</v>
      </c>
      <c r="BN546">
        <f t="shared" si="455"/>
        <v>-117.0456839717916</v>
      </c>
      <c r="BQ546" s="75">
        <f t="shared" si="468"/>
        <v>25.735444871800727</v>
      </c>
    </row>
    <row r="547" spans="1:69">
      <c r="A547">
        <f t="shared" si="472"/>
        <v>1665000</v>
      </c>
      <c r="B547">
        <f t="shared" si="456"/>
        <v>1665</v>
      </c>
      <c r="C547">
        <f t="shared" si="425"/>
        <v>2.1877595766304356</v>
      </c>
      <c r="D547">
        <f t="shared" si="426"/>
        <v>1.0960772374228975</v>
      </c>
      <c r="F547">
        <f t="shared" si="427"/>
        <v>1.6092288620696754E-4</v>
      </c>
      <c r="G547">
        <f t="shared" si="428"/>
        <v>3.8948793647084401E-3</v>
      </c>
      <c r="H547">
        <f t="shared" si="429"/>
        <v>-3.1376977706352918</v>
      </c>
      <c r="J547">
        <f t="shared" si="430"/>
        <v>9</v>
      </c>
      <c r="M547">
        <f t="shared" si="431"/>
        <v>2.5349675007630369E-3</v>
      </c>
      <c r="N547">
        <f t="shared" si="432"/>
        <v>-1.5707963250000001</v>
      </c>
      <c r="O547">
        <f t="shared" si="433"/>
        <v>214.12838919988528</v>
      </c>
      <c r="P547">
        <f t="shared" si="434"/>
        <v>1.5661262144443697</v>
      </c>
      <c r="Q547">
        <f t="shared" si="435"/>
        <v>87.435119043126619</v>
      </c>
      <c r="R547">
        <f t="shared" si="436"/>
        <v>1.5593590254764598</v>
      </c>
      <c r="S547">
        <f t="shared" si="437"/>
        <v>0.66535564162007388</v>
      </c>
      <c r="T547">
        <f t="shared" si="438"/>
        <v>-0.84282621472219021</v>
      </c>
      <c r="U547">
        <f t="shared" si="439"/>
        <v>0.49635538742625129</v>
      </c>
      <c r="V547">
        <f t="shared" si="440"/>
        <v>-1.0514008993313362</v>
      </c>
      <c r="X547">
        <f t="shared" si="457"/>
        <v>-26.079218970406352</v>
      </c>
      <c r="Y547">
        <f t="shared" si="441"/>
        <v>-136.43034586998934</v>
      </c>
      <c r="Z547">
        <f t="shared" si="458"/>
        <v>43.569654130010662</v>
      </c>
      <c r="AC547">
        <v>1</v>
      </c>
      <c r="AD547">
        <f t="shared" si="442"/>
        <v>214.12605413946602</v>
      </c>
      <c r="AE547">
        <f t="shared" si="443"/>
        <v>-1.2544450632376893E-2</v>
      </c>
      <c r="AF547">
        <f t="shared" si="444"/>
        <v>7.1724068163971999E-3</v>
      </c>
      <c r="AG547">
        <f t="shared" si="421"/>
        <v>7295.0484952589131</v>
      </c>
      <c r="AH547">
        <f t="shared" si="422"/>
        <v>-12898.372621317796</v>
      </c>
      <c r="AJ547">
        <f t="shared" si="445"/>
        <v>55000</v>
      </c>
      <c r="AK547">
        <f t="shared" si="446"/>
        <v>61709.793915144386</v>
      </c>
      <c r="AL547">
        <v>1</v>
      </c>
      <c r="AM547">
        <f t="shared" si="447"/>
        <v>87.429400330127635</v>
      </c>
      <c r="AN547">
        <f t="shared" si="423"/>
        <v>712.92629681131405</v>
      </c>
      <c r="AO547">
        <f t="shared" si="424"/>
        <v>-620.92469464738735</v>
      </c>
      <c r="AQ547">
        <f t="shared" si="448"/>
        <v>4.1068760485300738E-3</v>
      </c>
      <c r="AR547">
        <f t="shared" si="449"/>
        <v>-3.6035989231629557</v>
      </c>
      <c r="AT547">
        <f t="shared" si="470"/>
        <v>-46450.60182879732</v>
      </c>
      <c r="AU547">
        <f t="shared" si="471"/>
        <v>-26341.400919520067</v>
      </c>
      <c r="AV547">
        <f t="shared" si="459"/>
        <v>-2.625727679386483</v>
      </c>
      <c r="AW547">
        <f t="shared" si="460"/>
        <v>5250.0139806663592</v>
      </c>
      <c r="AX547">
        <f t="shared" si="461"/>
        <v>-18648.838067995228</v>
      </c>
      <c r="AY547">
        <f t="shared" si="469"/>
        <v>-1.2963790285758636</v>
      </c>
      <c r="BA547">
        <f t="shared" si="450"/>
        <v>2.7562927012275686</v>
      </c>
      <c r="BB547">
        <f t="shared" si="462"/>
        <v>8.8065067014181491</v>
      </c>
      <c r="BC547">
        <f t="shared" si="463"/>
        <v>-1.3293486508106194</v>
      </c>
      <c r="BD547">
        <f t="shared" si="451"/>
        <v>-256.16606727989114</v>
      </c>
      <c r="BF547">
        <f t="shared" si="452"/>
        <v>-41.176294974320477</v>
      </c>
      <c r="BG547">
        <f t="shared" si="453"/>
        <v>-193.14230733387484</v>
      </c>
      <c r="BH547">
        <f t="shared" si="464"/>
        <v>-13.14230733387484</v>
      </c>
      <c r="BI547">
        <f t="shared" si="465"/>
        <v>-13.14230733387484</v>
      </c>
      <c r="BJ547">
        <f t="shared" si="454"/>
        <v>0</v>
      </c>
      <c r="BK547">
        <f t="shared" si="466"/>
        <v>0</v>
      </c>
      <c r="BM547">
        <f t="shared" si="467"/>
        <v>-49.982801675738628</v>
      </c>
      <c r="BN547">
        <f t="shared" si="455"/>
        <v>-116.97624005398374</v>
      </c>
      <c r="BQ547" s="75">
        <f t="shared" si="468"/>
        <v>25.708467501703286</v>
      </c>
    </row>
    <row r="548" spans="1:69">
      <c r="A548">
        <f t="shared" si="472"/>
        <v>1670000</v>
      </c>
      <c r="B548">
        <f t="shared" si="456"/>
        <v>1670</v>
      </c>
      <c r="C548">
        <f t="shared" si="425"/>
        <v>2.1929584132638276</v>
      </c>
      <c r="D548">
        <f t="shared" si="426"/>
        <v>1.0972951971670961</v>
      </c>
      <c r="F548">
        <f t="shared" si="427"/>
        <v>1.599605717678029E-4</v>
      </c>
      <c r="G548">
        <f t="shared" si="428"/>
        <v>3.8832144250435892E-3</v>
      </c>
      <c r="H548">
        <f t="shared" si="429"/>
        <v>-3.1377094355749566</v>
      </c>
      <c r="J548">
        <f t="shared" si="430"/>
        <v>9</v>
      </c>
      <c r="M548">
        <f t="shared" si="431"/>
        <v>2.5273777777068606E-3</v>
      </c>
      <c r="N548">
        <f t="shared" si="432"/>
        <v>-1.5707963250000001</v>
      </c>
      <c r="O548">
        <f t="shared" si="433"/>
        <v>214.77140339236431</v>
      </c>
      <c r="P548">
        <f t="shared" si="434"/>
        <v>1.5661401966142865</v>
      </c>
      <c r="Q548">
        <f t="shared" si="435"/>
        <v>87.697652674088374</v>
      </c>
      <c r="R548">
        <f t="shared" si="436"/>
        <v>1.5593932659207586</v>
      </c>
      <c r="S548">
        <f t="shared" si="437"/>
        <v>0.66424324025523263</v>
      </c>
      <c r="T548">
        <f t="shared" si="438"/>
        <v>-0.84431533000451076</v>
      </c>
      <c r="U548">
        <f t="shared" si="439"/>
        <v>0.49523418098041472</v>
      </c>
      <c r="V548">
        <f t="shared" si="440"/>
        <v>-1.0526919579798641</v>
      </c>
      <c r="X548">
        <f t="shared" si="457"/>
        <v>-26.118836093973918</v>
      </c>
      <c r="Y548">
        <f t="shared" si="441"/>
        <v>-136.51775954921914</v>
      </c>
      <c r="Z548">
        <f t="shared" si="458"/>
        <v>43.482240450780864</v>
      </c>
      <c r="AC548">
        <v>1</v>
      </c>
      <c r="AD548">
        <f t="shared" si="442"/>
        <v>214.76907532306805</v>
      </c>
      <c r="AE548">
        <f t="shared" si="443"/>
        <v>-1.2619905804411947E-2</v>
      </c>
      <c r="AF548">
        <f t="shared" si="444"/>
        <v>7.1939455756056007E-3</v>
      </c>
      <c r="AG548">
        <f t="shared" si="421"/>
        <v>7262.1284640433287</v>
      </c>
      <c r="AH548">
        <f t="shared" si="422"/>
        <v>-12878.520720246954</v>
      </c>
      <c r="AJ548">
        <f t="shared" si="445"/>
        <v>55000</v>
      </c>
      <c r="AK548">
        <f t="shared" si="446"/>
        <v>61895.108611586256</v>
      </c>
      <c r="AL548">
        <v>1</v>
      </c>
      <c r="AM548">
        <f t="shared" si="447"/>
        <v>87.69195108186976</v>
      </c>
      <c r="AN548">
        <f t="shared" si="423"/>
        <v>712.88383897478002</v>
      </c>
      <c r="AO548">
        <f t="shared" si="424"/>
        <v>-619.0661228456695</v>
      </c>
      <c r="AQ548">
        <f t="shared" si="448"/>
        <v>4.0823208225646756E-3</v>
      </c>
      <c r="AR548">
        <f t="shared" si="449"/>
        <v>-3.5928097327309452</v>
      </c>
      <c r="AT548">
        <f t="shared" si="470"/>
        <v>-46240.4282486355</v>
      </c>
      <c r="AU548">
        <f t="shared" si="471"/>
        <v>-26144.020079257396</v>
      </c>
      <c r="AV548">
        <f t="shared" si="459"/>
        <v>-2.6270081680151174</v>
      </c>
      <c r="AW548">
        <f t="shared" si="460"/>
        <v>5232.7372015599003</v>
      </c>
      <c r="AX548">
        <f t="shared" si="461"/>
        <v>-18610.196006098664</v>
      </c>
      <c r="AY548">
        <f t="shared" si="469"/>
        <v>-1.2966976154320988</v>
      </c>
      <c r="BA548">
        <f t="shared" si="450"/>
        <v>2.7477720721988668</v>
      </c>
      <c r="BB548">
        <f t="shared" si="462"/>
        <v>8.7796141027450787</v>
      </c>
      <c r="BC548">
        <f t="shared" si="463"/>
        <v>-1.3303105525830186</v>
      </c>
      <c r="BD548">
        <f t="shared" si="451"/>
        <v>-256.22118019181875</v>
      </c>
      <c r="BF548">
        <f t="shared" si="452"/>
        <v>-41.234668834092993</v>
      </c>
      <c r="BG548">
        <f t="shared" si="453"/>
        <v>-193.12830464457514</v>
      </c>
      <c r="BH548">
        <f t="shared" si="464"/>
        <v>-13.128304644575138</v>
      </c>
      <c r="BI548">
        <f t="shared" si="465"/>
        <v>-13.128304644575138</v>
      </c>
      <c r="BJ548">
        <f t="shared" si="454"/>
        <v>0</v>
      </c>
      <c r="BK548">
        <f t="shared" si="466"/>
        <v>0</v>
      </c>
      <c r="BM548">
        <f t="shared" si="467"/>
        <v>-50.014282936838079</v>
      </c>
      <c r="BN548">
        <f t="shared" si="455"/>
        <v>-116.90712445275643</v>
      </c>
      <c r="BQ548" s="75">
        <f t="shared" si="468"/>
        <v>25.681574903030217</v>
      </c>
    </row>
    <row r="549" spans="1:69">
      <c r="A549">
        <f t="shared" si="472"/>
        <v>1675000</v>
      </c>
      <c r="B549">
        <f t="shared" si="456"/>
        <v>1675</v>
      </c>
      <c r="C549">
        <f t="shared" si="425"/>
        <v>2.1981604875981282</v>
      </c>
      <c r="D549">
        <f t="shared" si="426"/>
        <v>1.0985073939576102</v>
      </c>
      <c r="F549">
        <f t="shared" si="427"/>
        <v>1.5900686394465884E-4</v>
      </c>
      <c r="G549">
        <f t="shared" si="428"/>
        <v>3.8716191591263442E-3</v>
      </c>
      <c r="H549">
        <f t="shared" si="429"/>
        <v>-3.1377210308408738</v>
      </c>
      <c r="J549">
        <f t="shared" si="430"/>
        <v>9</v>
      </c>
      <c r="M549">
        <f t="shared" si="431"/>
        <v>2.5198333664301236E-3</v>
      </c>
      <c r="N549">
        <f t="shared" si="432"/>
        <v>-1.5707963250000001</v>
      </c>
      <c r="O549">
        <f t="shared" si="433"/>
        <v>215.41441762658073</v>
      </c>
      <c r="P549">
        <f t="shared" si="434"/>
        <v>1.5661540953103663</v>
      </c>
      <c r="Q549">
        <f t="shared" si="435"/>
        <v>87.960186407253801</v>
      </c>
      <c r="R549">
        <f t="shared" si="436"/>
        <v>1.5594273019709948</v>
      </c>
      <c r="S549">
        <f t="shared" si="437"/>
        <v>0.66313308918996483</v>
      </c>
      <c r="T549">
        <f t="shared" si="438"/>
        <v>-0.84579947104596453</v>
      </c>
      <c r="U549">
        <f t="shared" si="439"/>
        <v>0.49411721040690965</v>
      </c>
      <c r="V549">
        <f t="shared" si="440"/>
        <v>-1.0539771949541128</v>
      </c>
      <c r="X549">
        <f t="shared" si="457"/>
        <v>-26.158376217476128</v>
      </c>
      <c r="Y549">
        <f t="shared" si="441"/>
        <v>-136.60489736260249</v>
      </c>
      <c r="Z549">
        <f t="shared" si="458"/>
        <v>43.395102637397514</v>
      </c>
      <c r="AC549">
        <v>1</v>
      </c>
      <c r="AD549">
        <f t="shared" si="442"/>
        <v>215.41209650667003</v>
      </c>
      <c r="AE549">
        <f t="shared" si="443"/>
        <v>-1.2695587228836914E-2</v>
      </c>
      <c r="AF549">
        <f t="shared" si="444"/>
        <v>7.2154843348140006E-3</v>
      </c>
      <c r="AG549">
        <f t="shared" si="421"/>
        <v>7229.406828443095</v>
      </c>
      <c r="AH549">
        <f t="shared" si="422"/>
        <v>-12858.67458066351</v>
      </c>
      <c r="AJ549">
        <f t="shared" si="445"/>
        <v>55000</v>
      </c>
      <c r="AK549">
        <f t="shared" si="446"/>
        <v>62080.423308028126</v>
      </c>
      <c r="AL549">
        <v>1</v>
      </c>
      <c r="AM549">
        <f t="shared" si="447"/>
        <v>87.954501833611886</v>
      </c>
      <c r="AN549">
        <f t="shared" si="423"/>
        <v>712.84176072437788</v>
      </c>
      <c r="AO549">
        <f t="shared" si="424"/>
        <v>-617.21864267929641</v>
      </c>
      <c r="AQ549">
        <f t="shared" si="448"/>
        <v>4.0579851653996437E-3</v>
      </c>
      <c r="AR549">
        <f t="shared" si="449"/>
        <v>-3.5820849551274008</v>
      </c>
      <c r="AT549">
        <f t="shared" si="470"/>
        <v>-46031.527932609439</v>
      </c>
      <c r="AU549">
        <f t="shared" si="471"/>
        <v>-25948.529745356343</v>
      </c>
      <c r="AV549">
        <f t="shared" si="459"/>
        <v>-2.6282828980722912</v>
      </c>
      <c r="AW549">
        <f t="shared" si="460"/>
        <v>5215.5261595429292</v>
      </c>
      <c r="AX549">
        <f t="shared" si="461"/>
        <v>-18571.681819580896</v>
      </c>
      <c r="AY549">
        <f t="shared" si="469"/>
        <v>-1.2970160969256326</v>
      </c>
      <c r="BA549">
        <f t="shared" si="450"/>
        <v>2.739304350151393</v>
      </c>
      <c r="BB549">
        <f t="shared" si="462"/>
        <v>8.7528057436426092</v>
      </c>
      <c r="BC549">
        <f t="shared" si="463"/>
        <v>-1.3312668011466586</v>
      </c>
      <c r="BD549">
        <f t="shared" si="451"/>
        <v>-256.27596919874338</v>
      </c>
      <c r="BF549">
        <f t="shared" si="452"/>
        <v>-41.292838682750087</v>
      </c>
      <c r="BG549">
        <f t="shared" si="453"/>
        <v>-193.11430425118479</v>
      </c>
      <c r="BH549">
        <f t="shared" si="464"/>
        <v>-13.114304251184791</v>
      </c>
      <c r="BI549">
        <f t="shared" si="465"/>
        <v>-13.114304251184791</v>
      </c>
      <c r="BJ549">
        <f t="shared" si="454"/>
        <v>0</v>
      </c>
      <c r="BK549">
        <f t="shared" si="466"/>
        <v>0</v>
      </c>
      <c r="BM549">
        <f t="shared" si="467"/>
        <v>-50.045644426392698</v>
      </c>
      <c r="BN549">
        <f t="shared" si="455"/>
        <v>-116.83833505244144</v>
      </c>
      <c r="BQ549" s="75">
        <f t="shared" si="468"/>
        <v>25.654766543927746</v>
      </c>
    </row>
    <row r="550" spans="1:69">
      <c r="A550">
        <f t="shared" si="472"/>
        <v>1680000</v>
      </c>
      <c r="B550">
        <f t="shared" si="456"/>
        <v>1680</v>
      </c>
      <c r="C550">
        <f t="shared" si="425"/>
        <v>2.2033657767010206</v>
      </c>
      <c r="D550">
        <f t="shared" si="426"/>
        <v>1.0997138650629814</v>
      </c>
      <c r="F550">
        <f t="shared" si="427"/>
        <v>1.5806166040464753E-4</v>
      </c>
      <c r="G550">
        <f t="shared" si="428"/>
        <v>3.8600929444865721E-3</v>
      </c>
      <c r="H550">
        <f t="shared" si="429"/>
        <v>-3.1377325570555135</v>
      </c>
      <c r="J550">
        <f t="shared" si="430"/>
        <v>9</v>
      </c>
      <c r="M550">
        <f t="shared" si="431"/>
        <v>2.5123338623633672E-3</v>
      </c>
      <c r="N550">
        <f t="shared" si="432"/>
        <v>-1.5707963250000001</v>
      </c>
      <c r="O550">
        <f t="shared" si="433"/>
        <v>216.05743190216185</v>
      </c>
      <c r="P550">
        <f t="shared" si="434"/>
        <v>1.5661679112778897</v>
      </c>
      <c r="Q550">
        <f t="shared" si="435"/>
        <v>88.222720241710491</v>
      </c>
      <c r="R550">
        <f t="shared" si="436"/>
        <v>1.5594611354518015</v>
      </c>
      <c r="S550">
        <f t="shared" si="437"/>
        <v>0.66202519179545916</v>
      </c>
      <c r="T550">
        <f t="shared" si="438"/>
        <v>-0.8472786562234268</v>
      </c>
      <c r="U550">
        <f t="shared" si="439"/>
        <v>0.49300445814207811</v>
      </c>
      <c r="V550">
        <f t="shared" si="440"/>
        <v>-1.0552566453249494</v>
      </c>
      <c r="X550">
        <f t="shared" si="457"/>
        <v>-26.197839651607477</v>
      </c>
      <c r="Y550">
        <f t="shared" si="441"/>
        <v>-136.69176012555891</v>
      </c>
      <c r="Z550">
        <f t="shared" si="458"/>
        <v>43.308239874441085</v>
      </c>
      <c r="AC550">
        <v>1</v>
      </c>
      <c r="AD550">
        <f t="shared" si="442"/>
        <v>216.05511769027203</v>
      </c>
      <c r="AE550">
        <f t="shared" si="443"/>
        <v>-1.2771494905651793E-2</v>
      </c>
      <c r="AF550">
        <f t="shared" si="444"/>
        <v>7.2370230940224005E-3</v>
      </c>
      <c r="AG550">
        <f t="shared" si="421"/>
        <v>7196.8822350904002</v>
      </c>
      <c r="AH550">
        <f t="shared" si="422"/>
        <v>-12838.834918017372</v>
      </c>
      <c r="AJ550">
        <f t="shared" si="445"/>
        <v>55000</v>
      </c>
      <c r="AK550">
        <f t="shared" si="446"/>
        <v>62265.738004470011</v>
      </c>
      <c r="AL550">
        <v>1</v>
      </c>
      <c r="AM550">
        <f t="shared" si="447"/>
        <v>88.217052585354011</v>
      </c>
      <c r="AN550">
        <f t="shared" si="423"/>
        <v>712.80005754892579</v>
      </c>
      <c r="AO550">
        <f t="shared" si="424"/>
        <v>-615.38215516694731</v>
      </c>
      <c r="AQ550">
        <f t="shared" si="448"/>
        <v>4.0338664670198903E-3</v>
      </c>
      <c r="AR550">
        <f t="shared" si="449"/>
        <v>-3.5714240152407299</v>
      </c>
      <c r="AT550">
        <f t="shared" si="470"/>
        <v>-45823.892092003269</v>
      </c>
      <c r="AU550">
        <f t="shared" si="471"/>
        <v>-25754.90819491263</v>
      </c>
      <c r="AV550">
        <f t="shared" si="459"/>
        <v>-2.6295519040654742</v>
      </c>
      <c r="AW550">
        <f t="shared" si="460"/>
        <v>5198.3810024489067</v>
      </c>
      <c r="AX550">
        <f t="shared" si="461"/>
        <v>-18533.295058575113</v>
      </c>
      <c r="AY550">
        <f t="shared" si="469"/>
        <v>-1.2973344516061731</v>
      </c>
      <c r="BA550">
        <f t="shared" si="450"/>
        <v>2.730889042361536</v>
      </c>
      <c r="BB550">
        <f t="shared" si="462"/>
        <v>8.7260810971260021</v>
      </c>
      <c r="BC550">
        <f t="shared" si="463"/>
        <v>-1.3322174524593011</v>
      </c>
      <c r="BD550">
        <f t="shared" si="451"/>
        <v>-256.33043750680861</v>
      </c>
      <c r="BF550">
        <f t="shared" si="452"/>
        <v>-41.350805926810466</v>
      </c>
      <c r="BG550">
        <f t="shared" si="453"/>
        <v>-193.10030726018215</v>
      </c>
      <c r="BH550">
        <f t="shared" si="464"/>
        <v>-13.100307260182149</v>
      </c>
      <c r="BI550">
        <f t="shared" si="465"/>
        <v>-13.100307260182149</v>
      </c>
      <c r="BJ550">
        <f t="shared" si="454"/>
        <v>0</v>
      </c>
      <c r="BK550">
        <f t="shared" si="466"/>
        <v>0</v>
      </c>
      <c r="BM550">
        <f t="shared" si="467"/>
        <v>-50.076887023936465</v>
      </c>
      <c r="BN550">
        <f t="shared" si="455"/>
        <v>-116.76986975337356</v>
      </c>
      <c r="BQ550" s="75">
        <f t="shared" si="468"/>
        <v>25.628041897411137</v>
      </c>
    </row>
    <row r="551" spans="1:69">
      <c r="A551">
        <f t="shared" si="472"/>
        <v>1685000</v>
      </c>
      <c r="B551">
        <f t="shared" si="456"/>
        <v>1685</v>
      </c>
      <c r="C551">
        <f t="shared" si="425"/>
        <v>2.208574257842276</v>
      </c>
      <c r="D551">
        <f t="shared" si="426"/>
        <v>1.1009146474671889</v>
      </c>
      <c r="F551">
        <f t="shared" si="427"/>
        <v>1.5712486033137387E-4</v>
      </c>
      <c r="G551">
        <f t="shared" si="428"/>
        <v>3.8486351660481683E-3</v>
      </c>
      <c r="H551">
        <f t="shared" si="429"/>
        <v>-3.1377440148339519</v>
      </c>
      <c r="J551">
        <f t="shared" si="430"/>
        <v>9</v>
      </c>
      <c r="M551">
        <f t="shared" si="431"/>
        <v>2.5048788657391434E-3</v>
      </c>
      <c r="N551">
        <f t="shared" si="432"/>
        <v>-1.5707963250000001</v>
      </c>
      <c r="O551">
        <f t="shared" si="433"/>
        <v>216.70044621873947</v>
      </c>
      <c r="P551">
        <f t="shared" si="434"/>
        <v>1.566181645253292</v>
      </c>
      <c r="Q551">
        <f t="shared" si="435"/>
        <v>88.485254176556865</v>
      </c>
      <c r="R551">
        <f t="shared" si="436"/>
        <v>1.5594947681661588</v>
      </c>
      <c r="S551">
        <f t="shared" si="437"/>
        <v>0.66091955130300173</v>
      </c>
      <c r="T551">
        <f t="shared" si="438"/>
        <v>-0.84875290387799707</v>
      </c>
      <c r="U551">
        <f t="shared" si="439"/>
        <v>0.49189590664379179</v>
      </c>
      <c r="V551">
        <f t="shared" si="440"/>
        <v>-1.0565303439239311</v>
      </c>
      <c r="X551">
        <f t="shared" si="457"/>
        <v>-26.237226704478175</v>
      </c>
      <c r="Y551">
        <f t="shared" si="441"/>
        <v>-136.77834865537488</v>
      </c>
      <c r="Z551">
        <f t="shared" si="458"/>
        <v>43.221651344625116</v>
      </c>
      <c r="AC551">
        <v>1</v>
      </c>
      <c r="AD551">
        <f t="shared" si="442"/>
        <v>216.698138873874</v>
      </c>
      <c r="AE551">
        <f t="shared" si="443"/>
        <v>-1.284762883485658E-2</v>
      </c>
      <c r="AF551">
        <f t="shared" si="444"/>
        <v>7.2585618532308004E-3</v>
      </c>
      <c r="AG551">
        <f t="shared" si="421"/>
        <v>7164.5533390443543</v>
      </c>
      <c r="AH551">
        <f t="shared" si="422"/>
        <v>-12819.002434505481</v>
      </c>
      <c r="AJ551">
        <f t="shared" si="445"/>
        <v>55000</v>
      </c>
      <c r="AK551">
        <f t="shared" si="446"/>
        <v>62451.052700911889</v>
      </c>
      <c r="AL551">
        <v>1</v>
      </c>
      <c r="AM551">
        <f t="shared" si="447"/>
        <v>88.479603337096137</v>
      </c>
      <c r="AN551">
        <f t="shared" si="423"/>
        <v>712.75872500405626</v>
      </c>
      <c r="AO551">
        <f t="shared" si="424"/>
        <v>-613.55656250139816</v>
      </c>
      <c r="AQ551">
        <f t="shared" si="448"/>
        <v>4.009962156076948E-3</v>
      </c>
      <c r="AR551">
        <f t="shared" si="449"/>
        <v>-3.5608263447855495</v>
      </c>
      <c r="AT551">
        <f t="shared" si="470"/>
        <v>-45617.511994902445</v>
      </c>
      <c r="AU551">
        <f t="shared" si="471"/>
        <v>-25563.133992931438</v>
      </c>
      <c r="AV551">
        <f t="shared" si="459"/>
        <v>-2.6308152202695139</v>
      </c>
      <c r="AW551">
        <f t="shared" si="460"/>
        <v>5181.3018651760112</v>
      </c>
      <c r="AX551">
        <f t="shared" si="461"/>
        <v>-18495.035274408612</v>
      </c>
      <c r="AY551">
        <f t="shared" si="469"/>
        <v>-1.2976526585349315</v>
      </c>
      <c r="BA551">
        <f t="shared" si="450"/>
        <v>2.7225256621775542</v>
      </c>
      <c r="BB551">
        <f t="shared" si="462"/>
        <v>8.6994396410233215</v>
      </c>
      <c r="BC551">
        <f t="shared" si="463"/>
        <v>-1.3331625617345824</v>
      </c>
      <c r="BD551">
        <f t="shared" si="451"/>
        <v>-256.38458827952275</v>
      </c>
      <c r="BF551">
        <f t="shared" si="452"/>
        <v>-41.408571958876664</v>
      </c>
      <c r="BG551">
        <f t="shared" si="453"/>
        <v>-193.08631475129087</v>
      </c>
      <c r="BH551">
        <f t="shared" si="464"/>
        <v>-13.086314751290871</v>
      </c>
      <c r="BI551">
        <f t="shared" si="465"/>
        <v>-13.086314751290871</v>
      </c>
      <c r="BJ551">
        <f t="shared" si="454"/>
        <v>0</v>
      </c>
      <c r="BK551">
        <f t="shared" si="466"/>
        <v>0</v>
      </c>
      <c r="BM551">
        <f t="shared" si="467"/>
        <v>-50.108011599899989</v>
      </c>
      <c r="BN551">
        <f t="shared" si="455"/>
        <v>-116.70172647176815</v>
      </c>
      <c r="BQ551" s="75">
        <f t="shared" si="468"/>
        <v>25.601400441308456</v>
      </c>
    </row>
    <row r="552" spans="1:69">
      <c r="A552">
        <f t="shared" si="472"/>
        <v>1690000</v>
      </c>
      <c r="B552">
        <f t="shared" si="456"/>
        <v>1690</v>
      </c>
      <c r="C552">
        <f t="shared" si="425"/>
        <v>2.2137859084917051</v>
      </c>
      <c r="D552">
        <f t="shared" si="426"/>
        <v>1.1021097778718842</v>
      </c>
      <c r="F552">
        <f t="shared" si="427"/>
        <v>1.5619636439804594E-4</v>
      </c>
      <c r="G552">
        <f t="shared" si="428"/>
        <v>3.8372452160195789E-3</v>
      </c>
      <c r="H552">
        <f t="shared" si="429"/>
        <v>-3.1377554047839809</v>
      </c>
      <c r="J552">
        <f t="shared" si="430"/>
        <v>9</v>
      </c>
      <c r="M552">
        <f t="shared" si="431"/>
        <v>2.4974679815209801E-3</v>
      </c>
      <c r="N552">
        <f t="shared" si="432"/>
        <v>-1.5707963250000001</v>
      </c>
      <c r="O552">
        <f t="shared" si="433"/>
        <v>217.34346057594976</v>
      </c>
      <c r="P552">
        <f t="shared" si="434"/>
        <v>1.566195297964293</v>
      </c>
      <c r="Q552">
        <f t="shared" si="435"/>
        <v>88.747788210901987</v>
      </c>
      <c r="R552">
        <f t="shared" si="436"/>
        <v>1.5595282018957146</v>
      </c>
      <c r="S552">
        <f t="shared" si="437"/>
        <v>0.65981617080580934</v>
      </c>
      <c r="T552">
        <f t="shared" si="438"/>
        <v>-0.85022223231438554</v>
      </c>
      <c r="U552">
        <f t="shared" si="439"/>
        <v>0.49079153839288675</v>
      </c>
      <c r="V552">
        <f t="shared" si="440"/>
        <v>-1.0577983253447987</v>
      </c>
      <c r="X552">
        <f t="shared" si="457"/>
        <v>-26.276537681652144</v>
      </c>
      <c r="Y552">
        <f t="shared" si="441"/>
        <v>-136.86466377110642</v>
      </c>
      <c r="Z552">
        <f t="shared" si="458"/>
        <v>43.135336228893578</v>
      </c>
      <c r="AC552">
        <v>1</v>
      </c>
      <c r="AD552">
        <f t="shared" si="442"/>
        <v>217.34116005747603</v>
      </c>
      <c r="AE552">
        <f t="shared" si="443"/>
        <v>-1.2923989016451278E-2</v>
      </c>
      <c r="AF552">
        <f t="shared" si="444"/>
        <v>7.2801006124392003E-3</v>
      </c>
      <c r="AG552">
        <f t="shared" ref="AG552:AG615" si="473">AC552*AE552/(AE552^2+AF552^2)+AD552*AF552/(AE552^2+AF552^2)</f>
        <v>7132.4188037818685</v>
      </c>
      <c r="AH552">
        <f t="shared" ref="AH552:AH615" si="474">AD552*AE552/(AE552^2+AF552^2)-AC552*AF552/(AE552^2+AF552^2)</f>
        <v>-12799.177819272978</v>
      </c>
      <c r="AJ552">
        <f t="shared" si="445"/>
        <v>55000</v>
      </c>
      <c r="AK552">
        <f t="shared" si="446"/>
        <v>62636.367397353759</v>
      </c>
      <c r="AL552">
        <v>1</v>
      </c>
      <c r="AM552">
        <f t="shared" si="447"/>
        <v>88.742154088838262</v>
      </c>
      <c r="AN552">
        <f t="shared" ref="AN552:AN615" si="475">AJ552*AL552/(AL552^2+AM552^2)+AK552*AM552/(AL552^2+AM552^2)</f>
        <v>712.71775871103284</v>
      </c>
      <c r="AO552">
        <f t="shared" ref="AO552:AO615" si="476">AK552*AL552/(AL552^2+AM552^2)-AJ552*AM552/(AL552^2+AM552^2)</f>
        <v>-611.74176803216756</v>
      </c>
      <c r="AQ552">
        <f t="shared" si="448"/>
        <v>3.9862696992035984E-3</v>
      </c>
      <c r="AR552">
        <f t="shared" si="449"/>
        <v>-3.550291382201701</v>
      </c>
      <c r="AT552">
        <f t="shared" si="470"/>
        <v>-45412.378966072465</v>
      </c>
      <c r="AU552">
        <f t="shared" si="471"/>
        <v>-25373.185988035821</v>
      </c>
      <c r="AV552">
        <f t="shared" si="459"/>
        <v>-2.6320728807280287</v>
      </c>
      <c r="AW552">
        <f t="shared" si="460"/>
        <v>5164.2888700460398</v>
      </c>
      <c r="AX552">
        <f t="shared" si="461"/>
        <v>-18456.902019585279</v>
      </c>
      <c r="AY552">
        <f t="shared" si="469"/>
        <v>-1.2979706972736278</v>
      </c>
      <c r="BA552">
        <f t="shared" si="450"/>
        <v>2.7142137289274921</v>
      </c>
      <c r="BB552">
        <f t="shared" si="462"/>
        <v>8.672880857919921</v>
      </c>
      <c r="BC552">
        <f t="shared" si="463"/>
        <v>-1.3341021834544009</v>
      </c>
      <c r="BD552">
        <f t="shared" si="451"/>
        <v>-256.43842463846869</v>
      </c>
      <c r="BF552">
        <f t="shared" si="452"/>
        <v>-41.466138157808388</v>
      </c>
      <c r="BG552">
        <f t="shared" si="453"/>
        <v>-193.07232777806809</v>
      </c>
      <c r="BH552">
        <f t="shared" si="464"/>
        <v>-13.072327778068086</v>
      </c>
      <c r="BI552">
        <f t="shared" si="465"/>
        <v>-13.072327778068086</v>
      </c>
      <c r="BJ552">
        <f t="shared" si="454"/>
        <v>0</v>
      </c>
      <c r="BK552">
        <f t="shared" si="466"/>
        <v>0</v>
      </c>
      <c r="BM552">
        <f t="shared" si="467"/>
        <v>-50.139019015728302</v>
      </c>
      <c r="BN552">
        <f t="shared" si="455"/>
        <v>-116.63390313959938</v>
      </c>
      <c r="BQ552" s="75">
        <f t="shared" si="468"/>
        <v>25.57484165820506</v>
      </c>
    </row>
    <row r="553" spans="1:69">
      <c r="A553">
        <f t="shared" si="472"/>
        <v>1695000</v>
      </c>
      <c r="B553">
        <f t="shared" si="456"/>
        <v>1695</v>
      </c>
      <c r="C553">
        <f t="shared" si="425"/>
        <v>2.2190007063171353</v>
      </c>
      <c r="D553">
        <f t="shared" si="426"/>
        <v>1.103299292698612</v>
      </c>
      <c r="F553">
        <f t="shared" si="427"/>
        <v>1.5527607474114015E-4</v>
      </c>
      <c r="G553">
        <f t="shared" si="428"/>
        <v>3.8259224937862626E-3</v>
      </c>
      <c r="H553">
        <f t="shared" si="429"/>
        <v>-3.137766727506214</v>
      </c>
      <c r="J553">
        <f t="shared" si="430"/>
        <v>9</v>
      </c>
      <c r="M553">
        <f t="shared" si="431"/>
        <v>2.490100819333603E-3</v>
      </c>
      <c r="N553">
        <f t="shared" si="432"/>
        <v>-1.5707963250000001</v>
      </c>
      <c r="O553">
        <f t="shared" si="433"/>
        <v>217.98647497343308</v>
      </c>
      <c r="P553">
        <f t="shared" si="434"/>
        <v>1.5662088701300267</v>
      </c>
      <c r="Q553">
        <f t="shared" si="435"/>
        <v>89.010322343865454</v>
      </c>
      <c r="R553">
        <f t="shared" si="436"/>
        <v>1.5595614384010983</v>
      </c>
      <c r="S553">
        <f t="shared" si="437"/>
        <v>0.658715053260848</v>
      </c>
      <c r="T553">
        <f t="shared" si="438"/>
        <v>-0.85168665980031133</v>
      </c>
      <c r="U553">
        <f t="shared" si="439"/>
        <v>0.48969133589455904</v>
      </c>
      <c r="V553">
        <f t="shared" si="440"/>
        <v>-1.0590606239449694</v>
      </c>
      <c r="X553">
        <f t="shared" si="457"/>
        <v>-26.315772886184192</v>
      </c>
      <c r="Y553">
        <f t="shared" si="441"/>
        <v>-136.95070629348345</v>
      </c>
      <c r="Z553">
        <f t="shared" si="458"/>
        <v>43.049293706516551</v>
      </c>
      <c r="AC553">
        <v>1</v>
      </c>
      <c r="AD553">
        <f t="shared" si="442"/>
        <v>217.98418124107803</v>
      </c>
      <c r="AE553">
        <f t="shared" si="443"/>
        <v>-1.3000575450435885E-2</v>
      </c>
      <c r="AF553">
        <f t="shared" si="444"/>
        <v>7.3016393716476002E-3</v>
      </c>
      <c r="AG553">
        <f t="shared" si="473"/>
        <v>7100.4773011870993</v>
      </c>
      <c r="AH553">
        <f t="shared" si="474"/>
        <v>-12779.361748611665</v>
      </c>
      <c r="AJ553">
        <f t="shared" si="445"/>
        <v>55000</v>
      </c>
      <c r="AK553">
        <f t="shared" si="446"/>
        <v>62821.682093795629</v>
      </c>
      <c r="AL553">
        <v>1</v>
      </c>
      <c r="AM553">
        <f t="shared" si="447"/>
        <v>89.004704840580388</v>
      </c>
      <c r="AN553">
        <f t="shared" si="475"/>
        <v>712.6771543555908</v>
      </c>
      <c r="AO553">
        <f t="shared" si="476"/>
        <v>-609.93767624846839</v>
      </c>
      <c r="AQ553">
        <f t="shared" si="448"/>
        <v>3.9627866003426361E-3</v>
      </c>
      <c r="AR553">
        <f t="shared" si="449"/>
        <v>-3.539818572555065</v>
      </c>
      <c r="AT553">
        <f t="shared" si="470"/>
        <v>-45208.484386830161</v>
      </c>
      <c r="AU553">
        <f t="shared" si="471"/>
        <v>-25185.043308246088</v>
      </c>
      <c r="AV553">
        <f t="shared" si="459"/>
        <v>-2.6333249192548043</v>
      </c>
      <c r="AW553">
        <f t="shared" si="460"/>
        <v>5147.342127154383</v>
      </c>
      <c r="AX553">
        <f t="shared" si="461"/>
        <v>-18418.894847769294</v>
      </c>
      <c r="AY553">
        <f t="shared" si="469"/>
        <v>-1.2982885478737454</v>
      </c>
      <c r="BA553">
        <f t="shared" si="450"/>
        <v>2.7059527678287343</v>
      </c>
      <c r="BB553">
        <f t="shared" si="462"/>
        <v>8.6464042351036916</v>
      </c>
      <c r="BC553">
        <f t="shared" si="463"/>
        <v>-1.3350363713810589</v>
      </c>
      <c r="BD553">
        <f t="shared" si="451"/>
        <v>-256.49194966399943</v>
      </c>
      <c r="BF553">
        <f t="shared" si="452"/>
        <v>-41.523505888893212</v>
      </c>
      <c r="BG553">
        <f t="shared" si="453"/>
        <v>-193.05834736847848</v>
      </c>
      <c r="BH553">
        <f t="shared" si="464"/>
        <v>-13.058347368478479</v>
      </c>
      <c r="BI553">
        <f t="shared" si="465"/>
        <v>-13.058347368478479</v>
      </c>
      <c r="BJ553">
        <f t="shared" si="454"/>
        <v>0</v>
      </c>
      <c r="BK553">
        <f t="shared" si="466"/>
        <v>0</v>
      </c>
      <c r="BM553">
        <f t="shared" si="467"/>
        <v>-50.169910123996914</v>
      </c>
      <c r="BN553">
        <f t="shared" si="455"/>
        <v>-116.56639770447906</v>
      </c>
      <c r="BQ553" s="75">
        <f t="shared" si="468"/>
        <v>25.54836503538883</v>
      </c>
    </row>
    <row r="554" spans="1:69">
      <c r="A554">
        <f t="shared" si="472"/>
        <v>1700000</v>
      </c>
      <c r="B554">
        <f t="shared" si="456"/>
        <v>1700</v>
      </c>
      <c r="C554">
        <f t="shared" si="425"/>
        <v>2.2242186291824058</v>
      </c>
      <c r="D554">
        <f t="shared" si="426"/>
        <v>1.1044832280910191</v>
      </c>
      <c r="F554">
        <f t="shared" si="427"/>
        <v>1.5436389493460816E-4</v>
      </c>
      <c r="G554">
        <f t="shared" si="428"/>
        <v>3.8146664058050467E-3</v>
      </c>
      <c r="H554">
        <f t="shared" si="429"/>
        <v>-3.1377779835941952</v>
      </c>
      <c r="J554">
        <f t="shared" si="430"/>
        <v>9</v>
      </c>
      <c r="M554">
        <f t="shared" si="431"/>
        <v>2.4827769933943866E-3</v>
      </c>
      <c r="N554">
        <f t="shared" si="432"/>
        <v>-1.5707963250000001</v>
      </c>
      <c r="O554">
        <f t="shared" si="433"/>
        <v>218.62948941083411</v>
      </c>
      <c r="P554">
        <f t="shared" si="434"/>
        <v>1.5662223624611664</v>
      </c>
      <c r="Q554">
        <f t="shared" si="435"/>
        <v>89.272856574577219</v>
      </c>
      <c r="R554">
        <f t="shared" si="436"/>
        <v>1.5595944794222312</v>
      </c>
      <c r="S554">
        <f t="shared" si="437"/>
        <v>0.65761620149063293</v>
      </c>
      <c r="T554">
        <f t="shared" si="438"/>
        <v>-0.85314620456591683</v>
      </c>
      <c r="U554">
        <f t="shared" si="439"/>
        <v>0.48859528167972288</v>
      </c>
      <c r="V554">
        <f t="shared" si="440"/>
        <v>-1.0603172738470261</v>
      </c>
      <c r="X554">
        <f t="shared" si="457"/>
        <v>-26.35493261865658</v>
      </c>
      <c r="Y554">
        <f t="shared" si="441"/>
        <v>-137.03647704481668</v>
      </c>
      <c r="Z554">
        <f t="shared" si="458"/>
        <v>42.963522955183322</v>
      </c>
      <c r="AC554">
        <v>1</v>
      </c>
      <c r="AD554">
        <f t="shared" si="442"/>
        <v>218.62720242468001</v>
      </c>
      <c r="AE554">
        <f t="shared" si="443"/>
        <v>-1.3077388136810402E-2</v>
      </c>
      <c r="AF554">
        <f t="shared" si="444"/>
        <v>7.3231781308560001E-3</v>
      </c>
      <c r="AG554">
        <f t="shared" si="473"/>
        <v>7068.7275115395159</v>
      </c>
      <c r="AH554">
        <f t="shared" si="474"/>
        <v>-12759.554886155693</v>
      </c>
      <c r="AJ554">
        <f t="shared" si="445"/>
        <v>55000</v>
      </c>
      <c r="AK554">
        <f t="shared" si="446"/>
        <v>63006.996790237507</v>
      </c>
      <c r="AL554">
        <v>1</v>
      </c>
      <c r="AM554">
        <f t="shared" si="447"/>
        <v>89.267255592322513</v>
      </c>
      <c r="AN554">
        <f t="shared" si="475"/>
        <v>712.63690768680055</v>
      </c>
      <c r="AO554">
        <f t="shared" si="476"/>
        <v>-608.14419276246031</v>
      </c>
      <c r="AQ554">
        <f t="shared" si="448"/>
        <v>3.9395104000894254E-3</v>
      </c>
      <c r="AR554">
        <f t="shared" si="449"/>
        <v>-3.5294073674401161</v>
      </c>
      <c r="AT554">
        <f t="shared" si="470"/>
        <v>-45005.819694907324</v>
      </c>
      <c r="AU554">
        <f t="shared" si="471"/>
        <v>-24998.685356828726</v>
      </c>
      <c r="AV554">
        <f t="shared" si="459"/>
        <v>-2.6345713694351884</v>
      </c>
      <c r="AW554">
        <f t="shared" si="460"/>
        <v>5130.4617347113472</v>
      </c>
      <c r="AX554">
        <f t="shared" si="461"/>
        <v>-18381.013313769887</v>
      </c>
      <c r="AY554">
        <f t="shared" si="469"/>
        <v>-1.2986061908660256</v>
      </c>
      <c r="BA554">
        <f t="shared" si="450"/>
        <v>2.69774230989916</v>
      </c>
      <c r="BB554">
        <f t="shared" si="462"/>
        <v>8.6200092645109958</v>
      </c>
      <c r="BC554">
        <f t="shared" si="463"/>
        <v>-1.3359651785691629</v>
      </c>
      <c r="BD554">
        <f t="shared" si="451"/>
        <v>-256.54516639591998</v>
      </c>
      <c r="BF554">
        <f t="shared" si="452"/>
        <v>-41.58067650401496</v>
      </c>
      <c r="BG554">
        <f t="shared" si="453"/>
        <v>-193.04437452545636</v>
      </c>
      <c r="BH554">
        <f t="shared" si="464"/>
        <v>-13.044374525456362</v>
      </c>
      <c r="BI554">
        <f t="shared" si="465"/>
        <v>-13.044374525456362</v>
      </c>
      <c r="BJ554">
        <f t="shared" si="454"/>
        <v>0</v>
      </c>
      <c r="BK554">
        <f t="shared" si="466"/>
        <v>0</v>
      </c>
      <c r="BM554">
        <f t="shared" si="467"/>
        <v>-50.200685768525958</v>
      </c>
      <c r="BN554">
        <f t="shared" si="455"/>
        <v>-116.49920812953636</v>
      </c>
      <c r="BQ554" s="75">
        <f t="shared" si="468"/>
        <v>25.521970064796133</v>
      </c>
    </row>
    <row r="555" spans="1:69">
      <c r="A555">
        <f t="shared" si="472"/>
        <v>1705000</v>
      </c>
      <c r="B555">
        <f t="shared" si="456"/>
        <v>1705</v>
      </c>
      <c r="C555">
        <f t="shared" si="425"/>
        <v>2.2294396551453892</v>
      </c>
      <c r="D555">
        <f t="shared" si="426"/>
        <v>1.105661619917049</v>
      </c>
      <c r="F555">
        <f t="shared" si="427"/>
        <v>1.5345972996461232E-4</v>
      </c>
      <c r="G555">
        <f t="shared" si="428"/>
        <v>3.8034763655003545E-3</v>
      </c>
      <c r="H555">
        <f t="shared" si="429"/>
        <v>-3.1377891736344998</v>
      </c>
      <c r="J555">
        <f t="shared" si="430"/>
        <v>9</v>
      </c>
      <c r="M555">
        <f t="shared" si="431"/>
        <v>2.4754961224460158E-3</v>
      </c>
      <c r="N555">
        <f t="shared" si="432"/>
        <v>-1.5707963250000001</v>
      </c>
      <c r="O555">
        <f t="shared" si="433"/>
        <v>219.27250388780169</v>
      </c>
      <c r="P555">
        <f t="shared" si="434"/>
        <v>1.56623577566005</v>
      </c>
      <c r="Q555">
        <f t="shared" si="435"/>
        <v>89.535390902177426</v>
      </c>
      <c r="R555">
        <f t="shared" si="436"/>
        <v>1.5596273266786285</v>
      </c>
      <c r="S555">
        <f t="shared" si="437"/>
        <v>0.65651961818501448</v>
      </c>
      <c r="T555">
        <f t="shared" si="438"/>
        <v>-0.85460088480319363</v>
      </c>
      <c r="U555">
        <f t="shared" si="439"/>
        <v>0.48750335830632996</v>
      </c>
      <c r="V555">
        <f t="shared" si="440"/>
        <v>-1.0615683089402064</v>
      </c>
      <c r="X555">
        <f t="shared" si="457"/>
        <v>-26.394017177214884</v>
      </c>
      <c r="Y555">
        <f t="shared" si="441"/>
        <v>-137.12197684890526</v>
      </c>
      <c r="Z555">
        <f t="shared" si="458"/>
        <v>42.878023151094737</v>
      </c>
      <c r="AC555">
        <v>1</v>
      </c>
      <c r="AD555">
        <f t="shared" si="442"/>
        <v>219.27022360828204</v>
      </c>
      <c r="AE555">
        <f t="shared" si="443"/>
        <v>-1.3154427075574827E-2</v>
      </c>
      <c r="AF555">
        <f t="shared" si="444"/>
        <v>7.3447168900644001E-3</v>
      </c>
      <c r="AG555">
        <f t="shared" si="473"/>
        <v>7037.1681235006417</v>
      </c>
      <c r="AH555">
        <f t="shared" si="474"/>
        <v>-12739.757883074579</v>
      </c>
      <c r="AJ555">
        <f t="shared" si="445"/>
        <v>55000</v>
      </c>
      <c r="AK555">
        <f t="shared" si="446"/>
        <v>63192.311486679391</v>
      </c>
      <c r="AL555">
        <v>1</v>
      </c>
      <c r="AM555">
        <f t="shared" si="447"/>
        <v>89.529806344064639</v>
      </c>
      <c r="AN555">
        <f t="shared" si="475"/>
        <v>712.59701451595629</v>
      </c>
      <c r="AO555">
        <f t="shared" si="476"/>
        <v>-606.36122429279692</v>
      </c>
      <c r="AQ555">
        <f t="shared" si="448"/>
        <v>3.9164386750479398E-3</v>
      </c>
      <c r="AR555">
        <f t="shared" si="449"/>
        <v>-3.5190572248842007</v>
      </c>
      <c r="AT555">
        <f t="shared" si="470"/>
        <v>-44804.376384307354</v>
      </c>
      <c r="AU555">
        <f t="shared" si="471"/>
        <v>-24814.091808213747</v>
      </c>
      <c r="AV555">
        <f t="shared" si="459"/>
        <v>-2.6358122646274831</v>
      </c>
      <c r="AW555">
        <f t="shared" si="460"/>
        <v>5113.647779375041</v>
      </c>
      <c r="AX555">
        <f t="shared" si="461"/>
        <v>-18343.256973527175</v>
      </c>
      <c r="AY555">
        <f t="shared" si="469"/>
        <v>-1.2989236072501955</v>
      </c>
      <c r="BA555">
        <f t="shared" si="450"/>
        <v>2.6895818918698633</v>
      </c>
      <c r="BB555">
        <f t="shared" si="462"/>
        <v>8.5936954426733099</v>
      </c>
      <c r="BC555">
        <f t="shared" si="463"/>
        <v>-1.3368886573772876</v>
      </c>
      <c r="BD555">
        <f t="shared" si="451"/>
        <v>-256.59807783415579</v>
      </c>
      <c r="BF555">
        <f t="shared" si="452"/>
        <v>-41.63765134181952</v>
      </c>
      <c r="BG555">
        <f t="shared" si="453"/>
        <v>-193.03041022745353</v>
      </c>
      <c r="BH555">
        <f t="shared" si="464"/>
        <v>-13.03041022745353</v>
      </c>
      <c r="BI555">
        <f t="shared" si="465"/>
        <v>-13.03041022745353</v>
      </c>
      <c r="BJ555">
        <f t="shared" si="454"/>
        <v>0</v>
      </c>
      <c r="BK555">
        <f t="shared" si="466"/>
        <v>0</v>
      </c>
      <c r="BM555">
        <f t="shared" si="467"/>
        <v>-50.231346784492828</v>
      </c>
      <c r="BN555">
        <f t="shared" si="455"/>
        <v>-116.43233239329774</v>
      </c>
      <c r="BQ555" s="75">
        <f t="shared" si="468"/>
        <v>25.495656242958447</v>
      </c>
    </row>
    <row r="556" spans="1:69">
      <c r="A556">
        <f t="shared" si="472"/>
        <v>1710000</v>
      </c>
      <c r="B556">
        <f t="shared" si="456"/>
        <v>1710</v>
      </c>
      <c r="C556">
        <f t="shared" si="425"/>
        <v>2.2346637624560302</v>
      </c>
      <c r="D556">
        <f t="shared" si="426"/>
        <v>1.106834503771126</v>
      </c>
      <c r="F556">
        <f t="shared" si="427"/>
        <v>1.52563486204778E-4</v>
      </c>
      <c r="G556">
        <f t="shared" si="428"/>
        <v>3.7923517931622436E-3</v>
      </c>
      <c r="H556">
        <f t="shared" si="429"/>
        <v>-3.1378002982068378</v>
      </c>
      <c r="J556">
        <f t="shared" si="430"/>
        <v>9</v>
      </c>
      <c r="M556">
        <f t="shared" si="431"/>
        <v>2.4682578296903257E-3</v>
      </c>
      <c r="N556">
        <f t="shared" si="432"/>
        <v>-1.5707963250000001</v>
      </c>
      <c r="O556">
        <f t="shared" si="433"/>
        <v>219.91551840398876</v>
      </c>
      <c r="P556">
        <f t="shared" si="434"/>
        <v>1.5662491104208005</v>
      </c>
      <c r="Q556">
        <f t="shared" si="435"/>
        <v>89.797925325816294</v>
      </c>
      <c r="R556">
        <f t="shared" si="436"/>
        <v>1.5596599818696988</v>
      </c>
      <c r="S556">
        <f t="shared" si="437"/>
        <v>0.65542530590294512</v>
      </c>
      <c r="T556">
        <f t="shared" si="438"/>
        <v>-0.85605071866542226</v>
      </c>
      <c r="U556">
        <f t="shared" si="439"/>
        <v>0.48641554836065432</v>
      </c>
      <c r="V556">
        <f t="shared" si="440"/>
        <v>-1.0628137628818868</v>
      </c>
      <c r="X556">
        <f t="shared" si="457"/>
        <v>-26.433026857603124</v>
      </c>
      <c r="Y556">
        <f t="shared" si="441"/>
        <v>-137.20720653094662</v>
      </c>
      <c r="Z556">
        <f t="shared" si="458"/>
        <v>42.792793469053379</v>
      </c>
      <c r="AC556">
        <v>1</v>
      </c>
      <c r="AD556">
        <f t="shared" si="442"/>
        <v>219.91324479188404</v>
      </c>
      <c r="AE556">
        <f t="shared" si="443"/>
        <v>-1.3231692266729165E-2</v>
      </c>
      <c r="AF556">
        <f t="shared" si="444"/>
        <v>7.3662556492728E-3</v>
      </c>
      <c r="AG556">
        <f t="shared" si="473"/>
        <v>7005.7978340994741</v>
      </c>
      <c r="AH556">
        <f t="shared" si="474"/>
        <v>-12719.971378263515</v>
      </c>
      <c r="AJ556">
        <f t="shared" si="445"/>
        <v>55000</v>
      </c>
      <c r="AK556">
        <f t="shared" si="446"/>
        <v>63377.626183121261</v>
      </c>
      <c r="AL556">
        <v>1</v>
      </c>
      <c r="AM556">
        <f t="shared" si="447"/>
        <v>89.79235709580675</v>
      </c>
      <c r="AN556">
        <f t="shared" si="475"/>
        <v>712.55747071548535</v>
      </c>
      <c r="AO556">
        <f t="shared" si="476"/>
        <v>-604.58867864846047</v>
      </c>
      <c r="AQ556">
        <f t="shared" si="448"/>
        <v>3.893569037199957E-3</v>
      </c>
      <c r="AR556">
        <f t="shared" si="449"/>
        <v>-3.5087676092534852</v>
      </c>
      <c r="AT556">
        <f t="shared" si="470"/>
        <v>-44604.146005154696</v>
      </c>
      <c r="AU556">
        <f t="shared" si="471"/>
        <v>-24631.242603978935</v>
      </c>
      <c r="AV556">
        <f t="shared" si="459"/>
        <v>-2.6370476379643413</v>
      </c>
      <c r="AW556">
        <f t="shared" si="460"/>
        <v>5096.9003365759636</v>
      </c>
      <c r="AX556">
        <f t="shared" si="461"/>
        <v>-18305.625384098923</v>
      </c>
      <c r="AY556">
        <f t="shared" si="469"/>
        <v>-1.2992407784849287</v>
      </c>
      <c r="BA556">
        <f t="shared" si="450"/>
        <v>2.6814710560994155</v>
      </c>
      <c r="BB556">
        <f t="shared" si="462"/>
        <v>8.5674622706645671</v>
      </c>
      <c r="BC556">
        <f t="shared" si="463"/>
        <v>-1.3378068594794126</v>
      </c>
      <c r="BD556">
        <f t="shared" si="451"/>
        <v>-256.65068693940771</v>
      </c>
      <c r="BF556">
        <f t="shared" si="452"/>
        <v>-41.69443172787831</v>
      </c>
      <c r="BG556">
        <f t="shared" si="453"/>
        <v>-193.0164554289756</v>
      </c>
      <c r="BH556">
        <f t="shared" si="464"/>
        <v>-13.016455428975604</v>
      </c>
      <c r="BI556">
        <f t="shared" si="465"/>
        <v>-13.016455428975604</v>
      </c>
      <c r="BJ556">
        <f t="shared" si="454"/>
        <v>0</v>
      </c>
      <c r="BK556">
        <f t="shared" si="466"/>
        <v>0</v>
      </c>
      <c r="BM556">
        <f t="shared" si="467"/>
        <v>-50.261893998542881</v>
      </c>
      <c r="BN556">
        <f t="shared" si="455"/>
        <v>-116.36576848956791</v>
      </c>
      <c r="BQ556" s="75">
        <f t="shared" si="468"/>
        <v>25.469423070949702</v>
      </c>
    </row>
    <row r="557" spans="1:69">
      <c r="A557">
        <f t="shared" si="472"/>
        <v>1715000</v>
      </c>
      <c r="B557">
        <f t="shared" si="456"/>
        <v>1715</v>
      </c>
      <c r="C557">
        <f t="shared" si="425"/>
        <v>2.2398909295544067</v>
      </c>
      <c r="D557">
        <f t="shared" si="426"/>
        <v>1.1080019149763212</v>
      </c>
      <c r="F557">
        <f t="shared" si="427"/>
        <v>1.5167507139195025E-4</v>
      </c>
      <c r="G557">
        <f t="shared" si="428"/>
        <v>3.7812921158462379E-3</v>
      </c>
      <c r="H557">
        <f t="shared" si="429"/>
        <v>-3.137811357884154</v>
      </c>
      <c r="J557">
        <f t="shared" si="430"/>
        <v>9</v>
      </c>
      <c r="M557">
        <f t="shared" si="431"/>
        <v>2.4610617427232983E-3</v>
      </c>
      <c r="N557">
        <f t="shared" si="432"/>
        <v>-1.5707963250000001</v>
      </c>
      <c r="O557">
        <f t="shared" si="433"/>
        <v>220.55853295905226</v>
      </c>
      <c r="P557">
        <f t="shared" si="434"/>
        <v>1.5662623674294471</v>
      </c>
      <c r="Q557">
        <f t="shared" si="435"/>
        <v>90.06045984465392</v>
      </c>
      <c r="R557">
        <f t="shared" si="436"/>
        <v>1.5596924466750361</v>
      </c>
      <c r="S557">
        <f t="shared" si="437"/>
        <v>0.65433326707423356</v>
      </c>
      <c r="T557">
        <f t="shared" si="438"/>
        <v>-0.85749572426662524</v>
      </c>
      <c r="U557">
        <f t="shared" si="439"/>
        <v>0.48533183445853878</v>
      </c>
      <c r="V557">
        <f t="shared" si="440"/>
        <v>-1.0640536690990674</v>
      </c>
      <c r="X557">
        <f t="shared" si="457"/>
        <v>-26.471961953198353</v>
      </c>
      <c r="Y557">
        <f t="shared" si="441"/>
        <v>-137.29216691744796</v>
      </c>
      <c r="Z557">
        <f t="shared" si="458"/>
        <v>42.707833082552042</v>
      </c>
      <c r="AC557">
        <v>1</v>
      </c>
      <c r="AD557">
        <f t="shared" si="442"/>
        <v>220.55626597548601</v>
      </c>
      <c r="AE557">
        <f t="shared" si="443"/>
        <v>-1.3309183710273413E-2</v>
      </c>
      <c r="AF557">
        <f t="shared" si="444"/>
        <v>7.3877944084811999E-3</v>
      </c>
      <c r="AG557">
        <f t="shared" si="473"/>
        <v>6974.6153487167057</v>
      </c>
      <c r="AH557">
        <f t="shared" si="474"/>
        <v>-12700.195998531091</v>
      </c>
      <c r="AJ557">
        <f t="shared" si="445"/>
        <v>55000</v>
      </c>
      <c r="AK557">
        <f t="shared" si="446"/>
        <v>63562.940879563132</v>
      </c>
      <c r="AL557">
        <v>1</v>
      </c>
      <c r="AM557">
        <f t="shared" si="447"/>
        <v>90.05490784754889</v>
      </c>
      <c r="AN557">
        <f t="shared" si="475"/>
        <v>712.51827221788085</v>
      </c>
      <c r="AO557">
        <f t="shared" si="476"/>
        <v>-602.82646471288024</v>
      </c>
      <c r="AQ557">
        <f t="shared" si="448"/>
        <v>3.8708991332871102E-3</v>
      </c>
      <c r="AR557">
        <f t="shared" si="449"/>
        <v>-3.498537991160557</v>
      </c>
      <c r="AT557">
        <f t="shared" si="470"/>
        <v>-44405.120163537948</v>
      </c>
      <c r="AU557">
        <f t="shared" si="471"/>
        <v>-24450.117948900221</v>
      </c>
      <c r="AV557">
        <f t="shared" si="459"/>
        <v>-2.6382775223541568</v>
      </c>
      <c r="AW557">
        <f t="shared" si="460"/>
        <v>5080.2194708336165</v>
      </c>
      <c r="AX557">
        <f t="shared" si="461"/>
        <v>-18268.118103648347</v>
      </c>
      <c r="AY557">
        <f t="shared" si="469"/>
        <v>-1.2995576864780254</v>
      </c>
      <c r="BA557">
        <f t="shared" si="450"/>
        <v>2.6734093504896355</v>
      </c>
      <c r="BB557">
        <f t="shared" si="462"/>
        <v>8.5413092540491817</v>
      </c>
      <c r="BC557">
        <f t="shared" si="463"/>
        <v>-1.3387198358761314</v>
      </c>
      <c r="BD557">
        <f t="shared" si="451"/>
        <v>-256.70299663379456</v>
      </c>
      <c r="BF557">
        <f t="shared" si="452"/>
        <v>-41.751018974849394</v>
      </c>
      <c r="BG557">
        <f t="shared" si="453"/>
        <v>-193.00251106110576</v>
      </c>
      <c r="BH557">
        <f t="shared" si="464"/>
        <v>-13.002511061105764</v>
      </c>
      <c r="BI557">
        <f t="shared" si="465"/>
        <v>-13.002511061105764</v>
      </c>
      <c r="BJ557">
        <f t="shared" si="454"/>
        <v>0</v>
      </c>
      <c r="BK557">
        <f t="shared" si="466"/>
        <v>0</v>
      </c>
      <c r="BM557">
        <f t="shared" si="467"/>
        <v>-50.292328228898583</v>
      </c>
      <c r="BN557">
        <f t="shared" si="455"/>
        <v>-116.29951442731122</v>
      </c>
      <c r="BQ557" s="75">
        <f t="shared" si="468"/>
        <v>25.44327005433432</v>
      </c>
    </row>
    <row r="558" spans="1:69">
      <c r="A558">
        <f t="shared" si="472"/>
        <v>1720000</v>
      </c>
      <c r="B558">
        <f t="shared" si="456"/>
        <v>1720</v>
      </c>
      <c r="C558">
        <f t="shared" si="425"/>
        <v>2.2451211350688149</v>
      </c>
      <c r="D558">
        <f t="shared" si="426"/>
        <v>1.10916388858651</v>
      </c>
      <c r="F558">
        <f t="shared" si="427"/>
        <v>1.5079439460244351E-4</v>
      </c>
      <c r="G558">
        <f t="shared" si="428"/>
        <v>3.7702967672749018E-3</v>
      </c>
      <c r="H558">
        <f t="shared" si="429"/>
        <v>-3.1378223532327252</v>
      </c>
      <c r="J558">
        <f t="shared" si="430"/>
        <v>9</v>
      </c>
      <c r="M558">
        <f t="shared" si="431"/>
        <v>2.4539074934711957E-3</v>
      </c>
      <c r="N558">
        <f t="shared" si="432"/>
        <v>-1.5707963250000001</v>
      </c>
      <c r="O558">
        <f t="shared" si="433"/>
        <v>221.20154755265318</v>
      </c>
      <c r="P558">
        <f t="shared" si="434"/>
        <v>1.566275547364042</v>
      </c>
      <c r="Q558">
        <f t="shared" si="435"/>
        <v>90.322994457860204</v>
      </c>
      <c r="R558">
        <f t="shared" si="436"/>
        <v>1.5597247227547086</v>
      </c>
      <c r="S558">
        <f t="shared" si="437"/>
        <v>0.65324350400127873</v>
      </c>
      <c r="T558">
        <f t="shared" si="438"/>
        <v>-0.85893591968103256</v>
      </c>
      <c r="U558">
        <f t="shared" si="439"/>
        <v>0.48425219924660912</v>
      </c>
      <c r="V558">
        <f t="shared" si="440"/>
        <v>-1.0652880607898498</v>
      </c>
      <c r="X558">
        <f t="shared" si="457"/>
        <v>-26.510822755044433</v>
      </c>
      <c r="Y558">
        <f t="shared" si="441"/>
        <v>-137.37685883613915</v>
      </c>
      <c r="Z558">
        <f t="shared" si="458"/>
        <v>42.623141163860851</v>
      </c>
      <c r="AC558">
        <v>1</v>
      </c>
      <c r="AD558">
        <f t="shared" si="442"/>
        <v>221.19928715908802</v>
      </c>
      <c r="AE558">
        <f t="shared" si="443"/>
        <v>-1.3386901406207571E-2</v>
      </c>
      <c r="AF558">
        <f t="shared" si="444"/>
        <v>7.4093331676895998E-3</v>
      </c>
      <c r="AG558">
        <f t="shared" si="473"/>
        <v>6943.6193810677187</v>
      </c>
      <c r="AH558">
        <f t="shared" si="474"/>
        <v>-12680.432358784383</v>
      </c>
      <c r="AJ558">
        <f t="shared" si="445"/>
        <v>55000</v>
      </c>
      <c r="AK558">
        <f t="shared" si="446"/>
        <v>63748.255576005009</v>
      </c>
      <c r="AL558">
        <v>1</v>
      </c>
      <c r="AM558">
        <f t="shared" si="447"/>
        <v>90.317458599291015</v>
      </c>
      <c r="AN558">
        <f t="shared" si="475"/>
        <v>712.47941501465675</v>
      </c>
      <c r="AO558">
        <f t="shared" si="476"/>
        <v>-601.07449242832774</v>
      </c>
      <c r="AQ558">
        <f t="shared" si="448"/>
        <v>3.8484266442054987E-3</v>
      </c>
      <c r="AR558">
        <f t="shared" si="449"/>
        <v>-3.4883678473736319</v>
      </c>
      <c r="AT558">
        <f t="shared" si="470"/>
        <v>-44207.290521346302</v>
      </c>
      <c r="AU558">
        <f t="shared" si="471"/>
        <v>-24270.698307066621</v>
      </c>
      <c r="AV558">
        <f t="shared" si="459"/>
        <v>-2.6395019504824555</v>
      </c>
      <c r="AW558">
        <f t="shared" si="460"/>
        <v>5063.6052360652502</v>
      </c>
      <c r="AX558">
        <f t="shared" si="461"/>
        <v>-18230.734691432801</v>
      </c>
      <c r="AY558">
        <f t="shared" si="469"/>
        <v>-1.2998743135768136</v>
      </c>
      <c r="BA558">
        <f t="shared" si="450"/>
        <v>2.6653963284028355</v>
      </c>
      <c r="BB558">
        <f t="shared" si="462"/>
        <v>8.51523590283076</v>
      </c>
      <c r="BC558">
        <f t="shared" si="463"/>
        <v>-1.3396276369056419</v>
      </c>
      <c r="BD558">
        <f t="shared" si="451"/>
        <v>-256.75500980148252</v>
      </c>
      <c r="BF558">
        <f t="shared" si="452"/>
        <v>-41.807414382636239</v>
      </c>
      <c r="BG558">
        <f t="shared" si="453"/>
        <v>-192.98857803201639</v>
      </c>
      <c r="BH558">
        <f t="shared" si="464"/>
        <v>-12.988578032016392</v>
      </c>
      <c r="BI558">
        <f t="shared" si="465"/>
        <v>-12.988578032016392</v>
      </c>
      <c r="BJ558">
        <f t="shared" si="454"/>
        <v>0</v>
      </c>
      <c r="BK558">
        <f t="shared" si="466"/>
        <v>0</v>
      </c>
      <c r="BM558">
        <f t="shared" si="467"/>
        <v>-50.322650285466999</v>
      </c>
      <c r="BN558">
        <f t="shared" si="455"/>
        <v>-116.23356823053386</v>
      </c>
      <c r="BQ558" s="75">
        <f t="shared" si="468"/>
        <v>25.417196703115899</v>
      </c>
    </row>
    <row r="559" spans="1:69">
      <c r="A559">
        <f t="shared" si="472"/>
        <v>1725000</v>
      </c>
      <c r="B559">
        <f t="shared" si="456"/>
        <v>1725</v>
      </c>
      <c r="C559">
        <f t="shared" si="425"/>
        <v>2.2503543578138712</v>
      </c>
      <c r="D559">
        <f t="shared" si="426"/>
        <v>1.1103204593885141</v>
      </c>
      <c r="F559">
        <f t="shared" si="427"/>
        <v>1.4992136622877215E-4</v>
      </c>
      <c r="G559">
        <f t="shared" si="428"/>
        <v>3.7593651877411366E-3</v>
      </c>
      <c r="H559">
        <f t="shared" si="429"/>
        <v>-3.1378332848122592</v>
      </c>
      <c r="J559">
        <f t="shared" si="430"/>
        <v>9</v>
      </c>
      <c r="M559">
        <f t="shared" si="431"/>
        <v>2.4467947181278011E-3</v>
      </c>
      <c r="N559">
        <f t="shared" si="432"/>
        <v>-1.5707963250000001</v>
      </c>
      <c r="O559">
        <f t="shared" si="433"/>
        <v>221.84456218445646</v>
      </c>
      <c r="P559">
        <f t="shared" si="434"/>
        <v>1.566288650894776</v>
      </c>
      <c r="Q559">
        <f t="shared" si="435"/>
        <v>90.585529164614627</v>
      </c>
      <c r="R559">
        <f t="shared" si="436"/>
        <v>1.5597568117495415</v>
      </c>
      <c r="S559">
        <f t="shared" si="437"/>
        <v>0.65215601886079111</v>
      </c>
      <c r="T559">
        <f t="shared" si="438"/>
        <v>-0.86037132294256002</v>
      </c>
      <c r="U559">
        <f t="shared" si="439"/>
        <v>0.48317662540345124</v>
      </c>
      <c r="V559">
        <f t="shared" si="440"/>
        <v>-1.0665169709249154</v>
      </c>
      <c r="X559">
        <f t="shared" si="457"/>
        <v>-26.549609551885403</v>
      </c>
      <c r="Y559">
        <f t="shared" si="441"/>
        <v>-137.46128311588791</v>
      </c>
      <c r="Z559">
        <f t="shared" si="458"/>
        <v>42.538716884112091</v>
      </c>
      <c r="AC559">
        <v>1</v>
      </c>
      <c r="AD559">
        <f t="shared" si="442"/>
        <v>221.84230834269005</v>
      </c>
      <c r="AE559">
        <f t="shared" si="443"/>
        <v>-1.3464845354531641E-2</v>
      </c>
      <c r="AF559">
        <f t="shared" si="444"/>
        <v>7.4308719268979997E-3</v>
      </c>
      <c r="AG559">
        <f t="shared" si="473"/>
        <v>6912.8086531844056</v>
      </c>
      <c r="AH559">
        <f t="shared" si="474"/>
        <v>-12660.681062211444</v>
      </c>
      <c r="AJ559">
        <f t="shared" si="445"/>
        <v>55000</v>
      </c>
      <c r="AK559">
        <f t="shared" si="446"/>
        <v>63933.570272446879</v>
      </c>
      <c r="AL559">
        <v>1</v>
      </c>
      <c r="AM559">
        <f t="shared" si="447"/>
        <v>90.580009351033127</v>
      </c>
      <c r="AN559">
        <f t="shared" si="475"/>
        <v>712.44089515532198</v>
      </c>
      <c r="AO559">
        <f t="shared" si="476"/>
        <v>-599.33267278058076</v>
      </c>
      <c r="AQ559">
        <f t="shared" si="448"/>
        <v>3.8261492844125617E-3</v>
      </c>
      <c r="AR559">
        <f t="shared" si="449"/>
        <v>-3.4782566607273493</v>
      </c>
      <c r="AT559">
        <f t="shared" si="470"/>
        <v>-44010.648796099907</v>
      </c>
      <c r="AU559">
        <f t="shared" si="471"/>
        <v>-24092.96439805867</v>
      </c>
      <c r="AV559">
        <f t="shared" si="459"/>
        <v>-2.6407209548132853</v>
      </c>
      <c r="AW559">
        <f t="shared" si="460"/>
        <v>5047.0576758869411</v>
      </c>
      <c r="AX559">
        <f t="shared" si="461"/>
        <v>-18193.474707793299</v>
      </c>
      <c r="AY559">
        <f t="shared" si="469"/>
        <v>-1.3001906425587637</v>
      </c>
      <c r="BA559">
        <f t="shared" si="450"/>
        <v>2.6574315485805191</v>
      </c>
      <c r="BB559">
        <f t="shared" si="462"/>
        <v>8.489241731401469</v>
      </c>
      <c r="BC559">
        <f t="shared" si="463"/>
        <v>-1.3405303122545216</v>
      </c>
      <c r="BD559">
        <f t="shared" si="451"/>
        <v>-256.80672928930295</v>
      </c>
      <c r="BF559">
        <f t="shared" si="452"/>
        <v>-41.863619238544189</v>
      </c>
      <c r="BG559">
        <f t="shared" si="453"/>
        <v>-192.97465722746961</v>
      </c>
      <c r="BH559">
        <f t="shared" si="464"/>
        <v>-12.974657227469606</v>
      </c>
      <c r="BI559">
        <f t="shared" si="465"/>
        <v>-12.974657227469606</v>
      </c>
      <c r="BJ559">
        <f t="shared" si="454"/>
        <v>0</v>
      </c>
      <c r="BK559">
        <f t="shared" si="466"/>
        <v>0</v>
      </c>
      <c r="BM559">
        <f t="shared" si="467"/>
        <v>-50.352860969945652</v>
      </c>
      <c r="BN559">
        <f t="shared" si="455"/>
        <v>-116.16792793816667</v>
      </c>
      <c r="BQ559" s="75">
        <f t="shared" si="468"/>
        <v>25.391202531686609</v>
      </c>
    </row>
    <row r="560" spans="1:69">
      <c r="A560">
        <f t="shared" si="472"/>
        <v>1730000</v>
      </c>
      <c r="B560">
        <f t="shared" si="456"/>
        <v>1730</v>
      </c>
      <c r="C560">
        <f t="shared" si="425"/>
        <v>2.2555905767886357</v>
      </c>
      <c r="D560">
        <f t="shared" si="426"/>
        <v>1.1114716619042289</v>
      </c>
      <c r="F560">
        <f t="shared" si="427"/>
        <v>1.4905589795685209E-4</v>
      </c>
      <c r="G560">
        <f t="shared" si="428"/>
        <v>3.7484968240131468E-3</v>
      </c>
      <c r="H560">
        <f t="shared" si="429"/>
        <v>-3.1378441531759869</v>
      </c>
      <c r="J560">
        <f t="shared" si="430"/>
        <v>9</v>
      </c>
      <c r="M560">
        <f t="shared" si="431"/>
        <v>2.4397230570927498E-3</v>
      </c>
      <c r="N560">
        <f t="shared" si="432"/>
        <v>-1.5707963250000001</v>
      </c>
      <c r="O560">
        <f t="shared" si="433"/>
        <v>222.48757685413079</v>
      </c>
      <c r="P560">
        <f t="shared" si="434"/>
        <v>1.5663016786840922</v>
      </c>
      <c r="Q560">
        <f t="shared" si="435"/>
        <v>90.848063964106217</v>
      </c>
      <c r="R560">
        <f t="shared" si="436"/>
        <v>1.5597887152813943</v>
      </c>
      <c r="S560">
        <f t="shared" si="437"/>
        <v>0.6510708137054958</v>
      </c>
      <c r="T560">
        <f t="shared" si="438"/>
        <v>-0.86180195204430021</v>
      </c>
      <c r="U560">
        <f t="shared" si="439"/>
        <v>0.48210509564075671</v>
      </c>
      <c r="V560">
        <f t="shared" si="440"/>
        <v>-1.0677404322489981</v>
      </c>
      <c r="X560">
        <f t="shared" si="457"/>
        <v>-26.588322630197982</v>
      </c>
      <c r="Y560">
        <f t="shared" si="441"/>
        <v>-137.54544058661534</v>
      </c>
      <c r="Z560">
        <f t="shared" si="458"/>
        <v>42.454559413384658</v>
      </c>
      <c r="AC560">
        <v>1</v>
      </c>
      <c r="AD560">
        <f t="shared" si="442"/>
        <v>222.48532952629205</v>
      </c>
      <c r="AE560">
        <f t="shared" si="443"/>
        <v>-1.3543015555245621E-2</v>
      </c>
      <c r="AF560">
        <f t="shared" si="444"/>
        <v>7.4524106861064013E-3</v>
      </c>
      <c r="AG560">
        <f t="shared" si="473"/>
        <v>6882.1818953958918</v>
      </c>
      <c r="AH560">
        <f t="shared" si="474"/>
        <v>-12640.942700461279</v>
      </c>
      <c r="AJ560">
        <f t="shared" si="445"/>
        <v>55000</v>
      </c>
      <c r="AK560">
        <f t="shared" si="446"/>
        <v>64118.884968888764</v>
      </c>
      <c r="AL560">
        <v>1</v>
      </c>
      <c r="AM560">
        <f t="shared" si="447"/>
        <v>90.842560102775266</v>
      </c>
      <c r="AN560">
        <f t="shared" si="475"/>
        <v>712.40270874637656</v>
      </c>
      <c r="AO560">
        <f t="shared" si="476"/>
        <v>-597.60091778385629</v>
      </c>
      <c r="AQ560">
        <f t="shared" si="448"/>
        <v>3.8040648013459295E-3</v>
      </c>
      <c r="AR560">
        <f t="shared" si="449"/>
        <v>-3.4682039200350974</v>
      </c>
      <c r="AT560">
        <f t="shared" si="470"/>
        <v>-43815.186760774115</v>
      </c>
      <c r="AU560">
        <f t="shared" si="471"/>
        <v>-23916.897193189263</v>
      </c>
      <c r="AV560">
        <f t="shared" si="459"/>
        <v>-2.6419345675906039</v>
      </c>
      <c r="AW560">
        <f t="shared" si="460"/>
        <v>5030.5768239072549</v>
      </c>
      <c r="AX560">
        <f t="shared" si="461"/>
        <v>-18156.337714144876</v>
      </c>
      <c r="AY560">
        <f t="shared" si="469"/>
        <v>-1.3005066566223076</v>
      </c>
      <c r="BA560">
        <f t="shared" si="450"/>
        <v>2.6495145750634972</v>
      </c>
      <c r="BB560">
        <f t="shared" si="462"/>
        <v>8.4633262584920761</v>
      </c>
      <c r="BC560">
        <f t="shared" si="463"/>
        <v>-1.3414279109682963</v>
      </c>
      <c r="BD560">
        <f t="shared" si="451"/>
        <v>-256.85815790735739</v>
      </c>
      <c r="BF560">
        <f t="shared" si="452"/>
        <v>-41.919634817434698</v>
      </c>
      <c r="BG560">
        <f t="shared" si="453"/>
        <v>-192.96074951130589</v>
      </c>
      <c r="BH560">
        <f t="shared" si="464"/>
        <v>-12.960749511305892</v>
      </c>
      <c r="BI560">
        <f t="shared" si="465"/>
        <v>-12.960749511305892</v>
      </c>
      <c r="BJ560">
        <f t="shared" si="454"/>
        <v>0</v>
      </c>
      <c r="BK560">
        <f t="shared" si="466"/>
        <v>0</v>
      </c>
      <c r="BM560">
        <f t="shared" si="467"/>
        <v>-50.382961075926779</v>
      </c>
      <c r="BN560">
        <f t="shared" si="455"/>
        <v>-116.10259160394853</v>
      </c>
      <c r="BQ560" s="75">
        <f t="shared" si="468"/>
        <v>25.365287058777213</v>
      </c>
    </row>
    <row r="561" spans="1:69">
      <c r="A561">
        <f t="shared" si="472"/>
        <v>1735000</v>
      </c>
      <c r="B561">
        <f t="shared" si="456"/>
        <v>1735</v>
      </c>
      <c r="C561">
        <f t="shared" si="425"/>
        <v>2.2608297711747602</v>
      </c>
      <c r="D561">
        <f t="shared" si="426"/>
        <v>1.1126175303927388</v>
      </c>
      <c r="F561">
        <f t="shared" si="427"/>
        <v>1.4819790274366092E-4</v>
      </c>
      <c r="G561">
        <f t="shared" si="428"/>
        <v>3.7376911292410567E-3</v>
      </c>
      <c r="H561">
        <f t="shared" si="429"/>
        <v>-3.1378549588707592</v>
      </c>
      <c r="J561">
        <f t="shared" si="430"/>
        <v>9</v>
      </c>
      <c r="M561">
        <f t="shared" si="431"/>
        <v>2.4326921549109263E-3</v>
      </c>
      <c r="N561">
        <f t="shared" si="432"/>
        <v>-1.5707963250000001</v>
      </c>
      <c r="O561">
        <f t="shared" si="433"/>
        <v>223.13059156134884</v>
      </c>
      <c r="P561">
        <f t="shared" si="434"/>
        <v>1.5663146313867982</v>
      </c>
      <c r="Q561">
        <f t="shared" si="435"/>
        <v>91.110598855533269</v>
      </c>
      <c r="R561">
        <f t="shared" si="436"/>
        <v>1.5598204349534348</v>
      </c>
      <c r="S561">
        <f t="shared" si="437"/>
        <v>0.64998789046582028</v>
      </c>
      <c r="T561">
        <f t="shared" si="438"/>
        <v>-0.86322782493802563</v>
      </c>
      <c r="U561">
        <f t="shared" si="439"/>
        <v>0.48103759270443414</v>
      </c>
      <c r="V561">
        <f t="shared" si="440"/>
        <v>-1.0689584772823544</v>
      </c>
      <c r="X561">
        <f t="shared" si="457"/>
        <v>-26.626962274223658</v>
      </c>
      <c r="Y561">
        <f t="shared" si="441"/>
        <v>-137.62933207921469</v>
      </c>
      <c r="Z561">
        <f t="shared" si="458"/>
        <v>42.370667920785309</v>
      </c>
      <c r="AC561">
        <v>1</v>
      </c>
      <c r="AD561">
        <f t="shared" si="442"/>
        <v>223.12835070989402</v>
      </c>
      <c r="AE561">
        <f t="shared" si="443"/>
        <v>-1.362141200834951E-2</v>
      </c>
      <c r="AF561">
        <f t="shared" si="444"/>
        <v>7.4739494453148012E-3</v>
      </c>
      <c r="AG561">
        <f t="shared" si="473"/>
        <v>6851.7378463081723</v>
      </c>
      <c r="AH561">
        <f t="shared" si="474"/>
        <v>-12621.217853821296</v>
      </c>
      <c r="AJ561">
        <f t="shared" si="445"/>
        <v>55000</v>
      </c>
      <c r="AK561">
        <f t="shared" si="446"/>
        <v>64304.199665330634</v>
      </c>
      <c r="AL561">
        <v>1</v>
      </c>
      <c r="AM561">
        <f t="shared" si="447"/>
        <v>91.105110854517392</v>
      </c>
      <c r="AN561">
        <f t="shared" si="475"/>
        <v>712.36485195032958</v>
      </c>
      <c r="AO561">
        <f t="shared" si="476"/>
        <v>-595.87914046600224</v>
      </c>
      <c r="AQ561">
        <f t="shared" si="448"/>
        <v>3.7821709748539893E-3</v>
      </c>
      <c r="AR561">
        <f t="shared" si="449"/>
        <v>-3.4582091200028708</v>
      </c>
      <c r="AT561">
        <f t="shared" si="470"/>
        <v>-43620.896243618248</v>
      </c>
      <c r="AU561">
        <f t="shared" si="471"/>
        <v>-23742.477911805781</v>
      </c>
      <c r="AV561">
        <f t="shared" si="459"/>
        <v>-2.6431428208396643</v>
      </c>
      <c r="AW561">
        <f t="shared" si="460"/>
        <v>5014.1627040136109</v>
      </c>
      <c r="AX561">
        <f t="shared" si="461"/>
        <v>-18119.32327296782</v>
      </c>
      <c r="AY561">
        <f t="shared" si="469"/>
        <v>-1.3008223393778664</v>
      </c>
      <c r="BA561">
        <f t="shared" si="450"/>
        <v>2.6416449771133932</v>
      </c>
      <c r="BB561">
        <f t="shared" si="462"/>
        <v>8.4374890071226183</v>
      </c>
      <c r="BC561">
        <f t="shared" si="463"/>
        <v>-1.3423204814617979</v>
      </c>
      <c r="BD561">
        <f t="shared" si="451"/>
        <v>-256.90929842961134</v>
      </c>
      <c r="BF561">
        <f t="shared" si="452"/>
        <v>-41.975462381877399</v>
      </c>
      <c r="BG561">
        <f t="shared" si="453"/>
        <v>-192.94685572592209</v>
      </c>
      <c r="BH561">
        <f t="shared" si="464"/>
        <v>-12.946855725922092</v>
      </c>
      <c r="BI561">
        <f t="shared" si="465"/>
        <v>-12.946855725922092</v>
      </c>
      <c r="BJ561">
        <f t="shared" si="454"/>
        <v>0</v>
      </c>
      <c r="BK561">
        <f t="shared" si="466"/>
        <v>0</v>
      </c>
      <c r="BM561">
        <f t="shared" si="467"/>
        <v>-50.412951389000014</v>
      </c>
      <c r="BN561">
        <f t="shared" si="455"/>
        <v>-116.03755729631072</v>
      </c>
      <c r="BQ561" s="75">
        <f t="shared" si="468"/>
        <v>25.339449807407753</v>
      </c>
    </row>
    <row r="562" spans="1:69">
      <c r="A562">
        <f t="shared" si="472"/>
        <v>1740000</v>
      </c>
      <c r="B562">
        <f t="shared" si="456"/>
        <v>1740</v>
      </c>
      <c r="C562">
        <f t="shared" si="425"/>
        <v>2.2660719203346487</v>
      </c>
      <c r="D562">
        <f t="shared" si="426"/>
        <v>1.1137580988524196</v>
      </c>
      <c r="F562">
        <f t="shared" si="427"/>
        <v>1.4734729479534778E-4</v>
      </c>
      <c r="G562">
        <f t="shared" si="428"/>
        <v>3.7269475628651377E-3</v>
      </c>
      <c r="H562">
        <f t="shared" si="429"/>
        <v>-3.1378657024371353</v>
      </c>
      <c r="J562">
        <f t="shared" si="430"/>
        <v>9</v>
      </c>
      <c r="M562">
        <f t="shared" si="431"/>
        <v>2.4257016602129062E-3</v>
      </c>
      <c r="N562">
        <f t="shared" si="432"/>
        <v>-1.5707963250000001</v>
      </c>
      <c r="O562">
        <f t="shared" si="433"/>
        <v>223.7736063057869</v>
      </c>
      <c r="P562">
        <f t="shared" si="434"/>
        <v>1.5663275096501748</v>
      </c>
      <c r="Q562">
        <f t="shared" si="435"/>
        <v>91.373133838103342</v>
      </c>
      <c r="R562">
        <f t="shared" si="436"/>
        <v>1.5598519723504067</v>
      </c>
      <c r="S562">
        <f t="shared" si="437"/>
        <v>0.64890725095156576</v>
      </c>
      <c r="T562">
        <f t="shared" si="438"/>
        <v>-0.86464895953370413</v>
      </c>
      <c r="U562">
        <f t="shared" si="439"/>
        <v>0.47997409937568852</v>
      </c>
      <c r="V562">
        <f t="shared" si="440"/>
        <v>-1.0701711383222303</v>
      </c>
      <c r="X562">
        <f t="shared" si="457"/>
        <v>-26.665528766000111</v>
      </c>
      <c r="Y562">
        <f t="shared" si="441"/>
        <v>-137.71295842547005</v>
      </c>
      <c r="Z562">
        <f t="shared" si="458"/>
        <v>42.287041574529951</v>
      </c>
      <c r="AC562">
        <v>1</v>
      </c>
      <c r="AD562">
        <f t="shared" si="442"/>
        <v>223.77137189349602</v>
      </c>
      <c r="AE562">
        <f t="shared" si="443"/>
        <v>-1.3700034713843311E-2</v>
      </c>
      <c r="AF562">
        <f t="shared" si="444"/>
        <v>7.4954882045232011E-3</v>
      </c>
      <c r="AG562">
        <f t="shared" si="473"/>
        <v>6821.4752527826986</v>
      </c>
      <c r="AH562">
        <f t="shared" si="474"/>
        <v>-12601.507091392243</v>
      </c>
      <c r="AJ562">
        <f t="shared" si="445"/>
        <v>55000</v>
      </c>
      <c r="AK562">
        <f t="shared" si="446"/>
        <v>64489.514361772512</v>
      </c>
      <c r="AL562">
        <v>1</v>
      </c>
      <c r="AM562">
        <f t="shared" si="447"/>
        <v>91.367661606259503</v>
      </c>
      <c r="AN562">
        <f t="shared" si="475"/>
        <v>712.32732098473275</v>
      </c>
      <c r="AO562">
        <f t="shared" si="476"/>
        <v>-594.16725485394375</v>
      </c>
      <c r="AQ562">
        <f t="shared" si="448"/>
        <v>3.7604656166378859E-3</v>
      </c>
      <c r="AR562">
        <f t="shared" si="449"/>
        <v>-3.4482717611446083</v>
      </c>
      <c r="AT562">
        <f t="shared" si="470"/>
        <v>-43427.769127968568</v>
      </c>
      <c r="AU562">
        <f t="shared" si="471"/>
        <v>-23569.688017652359</v>
      </c>
      <c r="AV562">
        <f t="shared" si="459"/>
        <v>-2.6443457463683973</v>
      </c>
      <c r="AW562">
        <f t="shared" si="460"/>
        <v>4997.815330651556</v>
      </c>
      <c r="AX562">
        <f t="shared" si="461"/>
        <v>-18082.430947799512</v>
      </c>
      <c r="AY562">
        <f t="shared" si="469"/>
        <v>-1.3011376748390706</v>
      </c>
      <c r="BA562">
        <f t="shared" si="450"/>
        <v>2.6338223291355227</v>
      </c>
      <c r="BB562">
        <f t="shared" si="462"/>
        <v>8.411729504553751</v>
      </c>
      <c r="BC562">
        <f t="shared" si="463"/>
        <v>-1.3432080715293266</v>
      </c>
      <c r="BD562">
        <f t="shared" si="451"/>
        <v>-256.96015359447659</v>
      </c>
      <c r="BF562">
        <f t="shared" si="452"/>
        <v>-42.031103182299859</v>
      </c>
      <c r="BG562">
        <f t="shared" si="453"/>
        <v>-192.93297669273815</v>
      </c>
      <c r="BH562">
        <f t="shared" si="464"/>
        <v>-12.932976692738151</v>
      </c>
      <c r="BI562">
        <f t="shared" si="465"/>
        <v>-12.932976692738151</v>
      </c>
      <c r="BJ562">
        <f t="shared" si="454"/>
        <v>0</v>
      </c>
      <c r="BK562">
        <f t="shared" si="466"/>
        <v>0</v>
      </c>
      <c r="BM562">
        <f t="shared" si="467"/>
        <v>-50.442832686853613</v>
      </c>
      <c r="BN562">
        <f t="shared" si="455"/>
        <v>-115.97282309826157</v>
      </c>
      <c r="BQ562" s="75">
        <f t="shared" si="468"/>
        <v>25.313690304838886</v>
      </c>
    </row>
    <row r="563" spans="1:69">
      <c r="A563">
        <f t="shared" si="472"/>
        <v>1745000</v>
      </c>
      <c r="B563">
        <f t="shared" si="456"/>
        <v>1745</v>
      </c>
      <c r="C563">
        <f t="shared" si="425"/>
        <v>2.2713170038096449</v>
      </c>
      <c r="D563">
        <f t="shared" si="426"/>
        <v>1.1148934010230251</v>
      </c>
      <c r="F563">
        <f t="shared" si="427"/>
        <v>1.4650398954578109E-4</v>
      </c>
      <c r="G563">
        <f t="shared" si="428"/>
        <v>3.7162655905256096E-3</v>
      </c>
      <c r="H563">
        <f t="shared" si="429"/>
        <v>-3.1378763844094748</v>
      </c>
      <c r="J563">
        <f t="shared" si="430"/>
        <v>9</v>
      </c>
      <c r="M563">
        <f t="shared" si="431"/>
        <v>2.4187512256564222E-3</v>
      </c>
      <c r="N563">
        <f t="shared" si="432"/>
        <v>-1.5707963250000001</v>
      </c>
      <c r="O563">
        <f t="shared" si="433"/>
        <v>224.41662108712507</v>
      </c>
      <c r="P563">
        <f t="shared" si="434"/>
        <v>1.5663403141140848</v>
      </c>
      <c r="Q563">
        <f t="shared" si="435"/>
        <v>91.635668911033079</v>
      </c>
      <c r="R563">
        <f t="shared" si="436"/>
        <v>1.5598833290388952</v>
      </c>
      <c r="S563">
        <f t="shared" si="437"/>
        <v>0.64782889685356337</v>
      </c>
      <c r="T563">
        <f t="shared" si="438"/>
        <v>-0.86606537369902625</v>
      </c>
      <c r="U563">
        <f t="shared" si="439"/>
        <v>0.4789145984720693</v>
      </c>
      <c r="V563">
        <f t="shared" si="440"/>
        <v>-1.0713784474443222</v>
      </c>
      <c r="X563">
        <f t="shared" si="457"/>
        <v>-26.704022385392015</v>
      </c>
      <c r="Y563">
        <f t="shared" si="441"/>
        <v>-137.79632045797763</v>
      </c>
      <c r="Z563">
        <f t="shared" si="458"/>
        <v>42.203679542022371</v>
      </c>
      <c r="AC563">
        <v>1</v>
      </c>
      <c r="AD563">
        <f t="shared" si="442"/>
        <v>224.41439307709805</v>
      </c>
      <c r="AE563">
        <f t="shared" si="443"/>
        <v>-1.3778883671727018E-2</v>
      </c>
      <c r="AF563">
        <f t="shared" si="444"/>
        <v>7.517026963731601E-3</v>
      </c>
      <c r="AG563">
        <f t="shared" si="473"/>
        <v>6791.3928699139715</v>
      </c>
      <c r="AH563">
        <f t="shared" si="474"/>
        <v>-12581.81097126072</v>
      </c>
      <c r="AJ563">
        <f t="shared" si="445"/>
        <v>55000</v>
      </c>
      <c r="AK563">
        <f t="shared" si="446"/>
        <v>64674.829058214382</v>
      </c>
      <c r="AL563">
        <v>1</v>
      </c>
      <c r="AM563">
        <f t="shared" si="447"/>
        <v>91.630212358001643</v>
      </c>
      <c r="AN563">
        <f t="shared" si="475"/>
        <v>712.29011212123726</v>
      </c>
      <c r="AO563">
        <f t="shared" si="476"/>
        <v>-592.46517595937962</v>
      </c>
      <c r="AQ563">
        <f t="shared" si="448"/>
        <v>3.7389465697046948E-3</v>
      </c>
      <c r="AR563">
        <f t="shared" si="449"/>
        <v>-3.4383913496989829</v>
      </c>
      <c r="AT563">
        <f t="shared" si="470"/>
        <v>-43235.797352056135</v>
      </c>
      <c r="AU563">
        <f t="shared" si="471"/>
        <v>-23398.509215291218</v>
      </c>
      <c r="AV563">
        <f t="shared" si="459"/>
        <v>-2.6455433757687925</v>
      </c>
      <c r="AW563">
        <f t="shared" si="460"/>
        <v>4981.5347090971472</v>
      </c>
      <c r="AX563">
        <f t="shared" si="461"/>
        <v>-18045.660303227138</v>
      </c>
      <c r="AY563">
        <f t="shared" si="469"/>
        <v>-1.3014526474141783</v>
      </c>
      <c r="BA563">
        <f t="shared" si="450"/>
        <v>2.6260462106030995</v>
      </c>
      <c r="BB563">
        <f t="shared" si="462"/>
        <v>8.3860472822386924</v>
      </c>
      <c r="BC563">
        <f t="shared" si="463"/>
        <v>-1.3440907283546142</v>
      </c>
      <c r="BD563">
        <f t="shared" si="451"/>
        <v>-257.01072610538176</v>
      </c>
      <c r="BF563">
        <f t="shared" si="452"/>
        <v>-42.086558457135339</v>
      </c>
      <c r="BG563">
        <f t="shared" si="453"/>
        <v>-192.91911321265391</v>
      </c>
      <c r="BH563">
        <f t="shared" si="464"/>
        <v>-12.919113212653912</v>
      </c>
      <c r="BI563">
        <f t="shared" si="465"/>
        <v>-12.919113212653912</v>
      </c>
      <c r="BJ563">
        <f t="shared" si="454"/>
        <v>0</v>
      </c>
      <c r="BK563">
        <f t="shared" si="466"/>
        <v>0</v>
      </c>
      <c r="BM563">
        <f t="shared" si="467"/>
        <v>-50.472605739374032</v>
      </c>
      <c r="BN563">
        <f t="shared" si="455"/>
        <v>-115.90838710727212</v>
      </c>
      <c r="BQ563" s="75">
        <f t="shared" si="468"/>
        <v>25.288008082523831</v>
      </c>
    </row>
    <row r="564" spans="1:69">
      <c r="A564">
        <f t="shared" si="472"/>
        <v>1750000</v>
      </c>
      <c r="B564">
        <f t="shared" si="456"/>
        <v>1750</v>
      </c>
      <c r="C564">
        <f t="shared" si="425"/>
        <v>2.2765650013182355</v>
      </c>
      <c r="D564">
        <f t="shared" si="426"/>
        <v>1.1160234703877616</v>
      </c>
      <c r="F564">
        <f t="shared" si="427"/>
        <v>1.456679036355255E-4</v>
      </c>
      <c r="G564">
        <f t="shared" si="428"/>
        <v>3.7056446839740008E-3</v>
      </c>
      <c r="H564">
        <f t="shared" si="429"/>
        <v>-3.1378870053160264</v>
      </c>
      <c r="J564">
        <f t="shared" si="430"/>
        <v>9</v>
      </c>
      <c r="M564">
        <f t="shared" si="431"/>
        <v>2.4118405078688327E-3</v>
      </c>
      <c r="N564">
        <f t="shared" si="432"/>
        <v>-1.5707963250000001</v>
      </c>
      <c r="O564">
        <f t="shared" si="433"/>
        <v>225.05963590504706</v>
      </c>
      <c r="P564">
        <f t="shared" si="434"/>
        <v>1.5663530454110783</v>
      </c>
      <c r="Q564">
        <f t="shared" si="435"/>
        <v>91.898204073548044</v>
      </c>
      <c r="R564">
        <f t="shared" si="436"/>
        <v>1.5599145065675841</v>
      </c>
      <c r="S564">
        <f t="shared" si="437"/>
        <v>0.64675282974531401</v>
      </c>
      <c r="T564">
        <f t="shared" si="438"/>
        <v>-0.86747708525894407</v>
      </c>
      <c r="U564">
        <f t="shared" si="439"/>
        <v>0.47785907284848694</v>
      </c>
      <c r="V564">
        <f t="shared" si="440"/>
        <v>-1.0725804365042368</v>
      </c>
      <c r="X564">
        <f t="shared" si="457"/>
        <v>-26.742443410121368</v>
      </c>
      <c r="Y564">
        <f t="shared" si="441"/>
        <v>-137.87941901006832</v>
      </c>
      <c r="Z564">
        <f t="shared" si="458"/>
        <v>42.120580989931682</v>
      </c>
      <c r="AC564">
        <v>1</v>
      </c>
      <c r="AD564">
        <f t="shared" si="442"/>
        <v>225.05741426070003</v>
      </c>
      <c r="AE564">
        <f t="shared" si="443"/>
        <v>-1.3857958882000639E-2</v>
      </c>
      <c r="AF564">
        <f t="shared" si="444"/>
        <v>7.5385657229400001E-3</v>
      </c>
      <c r="AG564">
        <f t="shared" si="473"/>
        <v>6761.4894610061465</v>
      </c>
      <c r="AH564">
        <f t="shared" si="474"/>
        <v>-12562.130040669219</v>
      </c>
      <c r="AJ564">
        <f t="shared" si="445"/>
        <v>55000</v>
      </c>
      <c r="AK564">
        <f t="shared" si="446"/>
        <v>64860.143754656252</v>
      </c>
      <c r="AL564">
        <v>1</v>
      </c>
      <c r="AM564">
        <f t="shared" si="447"/>
        <v>91.892763109743768</v>
      </c>
      <c r="AN564">
        <f t="shared" si="475"/>
        <v>712.25322168466755</v>
      </c>
      <c r="AO564">
        <f t="shared" si="476"/>
        <v>-590.77281976472614</v>
      </c>
      <c r="AQ564">
        <f t="shared" si="448"/>
        <v>3.7176117078315204E-3</v>
      </c>
      <c r="AR564">
        <f t="shared" si="449"/>
        <v>-3.4285673975476194</v>
      </c>
      <c r="AT564">
        <f t="shared" si="470"/>
        <v>-43044.972908809417</v>
      </c>
      <c r="AU564">
        <f t="shared" si="471"/>
        <v>-23228.923446581994</v>
      </c>
      <c r="AV564">
        <f t="shared" si="459"/>
        <v>-2.6467357404182787</v>
      </c>
      <c r="AW564">
        <f t="shared" si="460"/>
        <v>4965.3208357225285</v>
      </c>
      <c r="AX564">
        <f t="shared" si="461"/>
        <v>-18009.010904880932</v>
      </c>
      <c r="AY564">
        <f t="shared" si="469"/>
        <v>-1.3017672418976791</v>
      </c>
      <c r="BA564">
        <f t="shared" si="450"/>
        <v>2.6183162059827669</v>
      </c>
      <c r="BB564">
        <f t="shared" si="462"/>
        <v>8.3604418757758445</v>
      </c>
      <c r="BC564">
        <f t="shared" si="463"/>
        <v>-1.3449684985205996</v>
      </c>
      <c r="BD564">
        <f t="shared" si="451"/>
        <v>-257.06101863133273</v>
      </c>
      <c r="BF564">
        <f t="shared" si="452"/>
        <v>-42.141829432968308</v>
      </c>
      <c r="BG564">
        <f t="shared" si="453"/>
        <v>-192.90526606649513</v>
      </c>
      <c r="BH564">
        <f t="shared" si="464"/>
        <v>-12.90526606649513</v>
      </c>
      <c r="BI564">
        <f t="shared" si="465"/>
        <v>-12.90526606649513</v>
      </c>
      <c r="BJ564">
        <f t="shared" si="454"/>
        <v>0</v>
      </c>
      <c r="BK564">
        <f t="shared" si="466"/>
        <v>0</v>
      </c>
      <c r="BM564">
        <f t="shared" si="467"/>
        <v>-50.502271308744149</v>
      </c>
      <c r="BN564">
        <f t="shared" si="455"/>
        <v>-115.84424743516243</v>
      </c>
      <c r="BQ564" s="75">
        <f t="shared" si="468"/>
        <v>25.262402676060983</v>
      </c>
    </row>
    <row r="565" spans="1:69">
      <c r="A565">
        <f t="shared" si="472"/>
        <v>1755000</v>
      </c>
      <c r="B565">
        <f t="shared" si="456"/>
        <v>1755</v>
      </c>
      <c r="C565">
        <f t="shared" si="425"/>
        <v>2.2818158927542749</v>
      </c>
      <c r="D565">
        <f t="shared" si="426"/>
        <v>1.1171483401753486</v>
      </c>
      <c r="F565">
        <f t="shared" si="427"/>
        <v>1.4483895489123707E-4</v>
      </c>
      <c r="G565">
        <f t="shared" si="428"/>
        <v>3.6950843209860164E-3</v>
      </c>
      <c r="H565">
        <f t="shared" si="429"/>
        <v>-3.137897565679014</v>
      </c>
      <c r="J565">
        <f t="shared" si="430"/>
        <v>9</v>
      </c>
      <c r="M565">
        <f t="shared" si="431"/>
        <v>2.4049691673905739E-3</v>
      </c>
      <c r="N565">
        <f t="shared" si="432"/>
        <v>-1.5707963250000001</v>
      </c>
      <c r="O565">
        <f t="shared" si="433"/>
        <v>225.70265075924021</v>
      </c>
      <c r="P565">
        <f t="shared" si="434"/>
        <v>1.5663657041664971</v>
      </c>
      <c r="Q565">
        <f t="shared" si="435"/>
        <v>92.160739324882655</v>
      </c>
      <c r="R565">
        <f t="shared" si="436"/>
        <v>1.5599455064675125</v>
      </c>
      <c r="S565">
        <f t="shared" si="437"/>
        <v>0.64567905108461132</v>
      </c>
      <c r="T565">
        <f t="shared" si="438"/>
        <v>-0.86888411199522264</v>
      </c>
      <c r="U565">
        <f t="shared" si="439"/>
        <v>0.4768075053982001</v>
      </c>
      <c r="V565">
        <f t="shared" si="440"/>
        <v>-1.073777137138944</v>
      </c>
      <c r="X565">
        <f t="shared" si="457"/>
        <v>-26.780792115797169</v>
      </c>
      <c r="Y565">
        <f t="shared" si="441"/>
        <v>-137.96225491573139</v>
      </c>
      <c r="Z565">
        <f t="shared" si="458"/>
        <v>42.037745084268607</v>
      </c>
      <c r="AC565">
        <v>1</v>
      </c>
      <c r="AD565">
        <f t="shared" si="442"/>
        <v>225.70043544430203</v>
      </c>
      <c r="AE565">
        <f t="shared" si="443"/>
        <v>-1.3937260344664169E-2</v>
      </c>
      <c r="AF565">
        <f t="shared" si="444"/>
        <v>7.5601044821484E-3</v>
      </c>
      <c r="AG565">
        <f t="shared" si="473"/>
        <v>6731.7637975487432</v>
      </c>
      <c r="AH565">
        <f t="shared" si="474"/>
        <v>-12542.464836183815</v>
      </c>
      <c r="AJ565">
        <f t="shared" si="445"/>
        <v>55000</v>
      </c>
      <c r="AK565">
        <f t="shared" si="446"/>
        <v>65045.458451098137</v>
      </c>
      <c r="AL565">
        <v>1</v>
      </c>
      <c r="AM565">
        <f t="shared" si="447"/>
        <v>92.15531386148588</v>
      </c>
      <c r="AN565">
        <f t="shared" si="475"/>
        <v>712.21664605211481</v>
      </c>
      <c r="AO565">
        <f t="shared" si="476"/>
        <v>-589.09010320929713</v>
      </c>
      <c r="AQ565">
        <f t="shared" si="448"/>
        <v>3.6964589350402632E-3</v>
      </c>
      <c r="AR565">
        <f t="shared" si="449"/>
        <v>-3.4187994221347142</v>
      </c>
      <c r="AT565">
        <f t="shared" si="470"/>
        <v>-42855.287845652172</v>
      </c>
      <c r="AU565">
        <f t="shared" si="471"/>
        <v>-23060.912887218172</v>
      </c>
      <c r="AV565">
        <f t="shared" si="459"/>
        <v>-2.6479228714810952</v>
      </c>
      <c r="AW565">
        <f t="shared" si="460"/>
        <v>4949.1736982550137</v>
      </c>
      <c r="AX565">
        <f t="shared" si="461"/>
        <v>-17972.482319428236</v>
      </c>
      <c r="AY565">
        <f t="shared" si="469"/>
        <v>-1.3020814434620847</v>
      </c>
      <c r="BA565">
        <f t="shared" si="450"/>
        <v>2.6106319046613979</v>
      </c>
      <c r="BB565">
        <f t="shared" si="462"/>
        <v>8.3349128248619557</v>
      </c>
      <c r="BC565">
        <f t="shared" si="463"/>
        <v>-1.3458414280190105</v>
      </c>
      <c r="BD565">
        <f t="shared" si="451"/>
        <v>-257.1110338074613</v>
      </c>
      <c r="BF565">
        <f t="shared" si="452"/>
        <v>-42.196917324678019</v>
      </c>
      <c r="BG565">
        <f t="shared" si="453"/>
        <v>-192.89143601544956</v>
      </c>
      <c r="BH565">
        <f t="shared" si="464"/>
        <v>-12.891436015449557</v>
      </c>
      <c r="BI565">
        <f t="shared" si="465"/>
        <v>-12.891436015449557</v>
      </c>
      <c r="BJ565">
        <f t="shared" si="454"/>
        <v>0</v>
      </c>
      <c r="BK565">
        <f t="shared" si="466"/>
        <v>0</v>
      </c>
      <c r="BM565">
        <f t="shared" si="467"/>
        <v>-50.531830149539978</v>
      </c>
      <c r="BN565">
        <f t="shared" si="455"/>
        <v>-115.78040220798827</v>
      </c>
      <c r="BQ565" s="75">
        <f t="shared" si="468"/>
        <v>25.236873625147098</v>
      </c>
    </row>
    <row r="566" spans="1:69">
      <c r="A566">
        <f t="shared" si="472"/>
        <v>1760000</v>
      </c>
      <c r="B566">
        <f t="shared" si="456"/>
        <v>1760</v>
      </c>
      <c r="C566">
        <f t="shared" si="425"/>
        <v>2.2870696581852279</v>
      </c>
      <c r="D566">
        <f t="shared" si="426"/>
        <v>1.1182680433620644</v>
      </c>
      <c r="F566">
        <f t="shared" si="427"/>
        <v>1.4401706230546829E-4</v>
      </c>
      <c r="G566">
        <f t="shared" si="428"/>
        <v>3.6845839852758929E-3</v>
      </c>
      <c r="H566">
        <f t="shared" si="429"/>
        <v>-3.1379080660147243</v>
      </c>
      <c r="J566">
        <f t="shared" si="430"/>
        <v>9</v>
      </c>
      <c r="M566">
        <f t="shared" si="431"/>
        <v>2.3981368686195777E-3</v>
      </c>
      <c r="N566">
        <f t="shared" si="432"/>
        <v>-1.5707963250000001</v>
      </c>
      <c r="O566">
        <f t="shared" si="433"/>
        <v>226.34566564939539</v>
      </c>
      <c r="P566">
        <f t="shared" si="434"/>
        <v>1.5663782909985771</v>
      </c>
      <c r="Q566">
        <f t="shared" si="435"/>
        <v>92.423274664280001</v>
      </c>
      <c r="R566">
        <f t="shared" si="436"/>
        <v>1.5599763302523244</v>
      </c>
      <c r="S566">
        <f t="shared" si="437"/>
        <v>0.64460756221515081</v>
      </c>
      <c r="T566">
        <f t="shared" si="438"/>
        <v>-0.87028647164600181</v>
      </c>
      <c r="U566">
        <f t="shared" si="439"/>
        <v>0.47575987905377176</v>
      </c>
      <c r="V566">
        <f t="shared" si="440"/>
        <v>-1.0749685807682274</v>
      </c>
      <c r="X566">
        <f t="shared" si="457"/>
        <v>-26.819068775944611</v>
      </c>
      <c r="Y566">
        <f t="shared" si="441"/>
        <v>-138.04482900954002</v>
      </c>
      <c r="Z566">
        <f t="shared" si="458"/>
        <v>41.955170990459976</v>
      </c>
      <c r="AC566">
        <v>1</v>
      </c>
      <c r="AD566">
        <f t="shared" si="442"/>
        <v>226.343456627904</v>
      </c>
      <c r="AE566">
        <f t="shared" si="443"/>
        <v>-1.4016788059717612E-2</v>
      </c>
      <c r="AF566">
        <f t="shared" si="444"/>
        <v>7.5816432413567999E-3</v>
      </c>
      <c r="AG566">
        <f t="shared" si="473"/>
        <v>6702.2146591914088</v>
      </c>
      <c r="AH566">
        <f t="shared" si="474"/>
        <v>-12522.815883859437</v>
      </c>
      <c r="AJ566">
        <f t="shared" si="445"/>
        <v>55000</v>
      </c>
      <c r="AK566">
        <f t="shared" si="446"/>
        <v>65230.773147540014</v>
      </c>
      <c r="AL566">
        <v>1</v>
      </c>
      <c r="AM566">
        <f t="shared" si="447"/>
        <v>92.417864613228005</v>
      </c>
      <c r="AN566">
        <f t="shared" si="475"/>
        <v>712.18038165204496</v>
      </c>
      <c r="AO566">
        <f t="shared" si="476"/>
        <v>-587.4169441757216</v>
      </c>
      <c r="AQ566">
        <f t="shared" si="448"/>
        <v>3.6754861850828214E-3</v>
      </c>
      <c r="AR566">
        <f t="shared" si="449"/>
        <v>-3.4090869463880189</v>
      </c>
      <c r="AT566">
        <f t="shared" si="470"/>
        <v>-42666.734264296436</v>
      </c>
      <c r="AU566">
        <f t="shared" si="471"/>
        <v>-22894.459943319318</v>
      </c>
      <c r="AV566">
        <f t="shared" si="459"/>
        <v>-2.6491047999096682</v>
      </c>
      <c r="AW566">
        <f t="shared" si="460"/>
        <v>4933.0932760296555</v>
      </c>
      <c r="AX566">
        <f t="shared" si="461"/>
        <v>-17936.074114568015</v>
      </c>
      <c r="AY566">
        <f t="shared" si="469"/>
        <v>-1.3023952376498986</v>
      </c>
      <c r="BA566">
        <f t="shared" si="450"/>
        <v>2.6029929008741748</v>
      </c>
      <c r="BB566">
        <f t="shared" si="462"/>
        <v>8.3094596732459785</v>
      </c>
      <c r="BC566">
        <f t="shared" si="463"/>
        <v>-1.3467095622597696</v>
      </c>
      <c r="BD566">
        <f t="shared" si="451"/>
        <v>-257.16077423556442</v>
      </c>
      <c r="BF566">
        <f t="shared" si="452"/>
        <v>-42.251823335579921</v>
      </c>
      <c r="BG566">
        <f t="shared" si="453"/>
        <v>-192.87762380149357</v>
      </c>
      <c r="BH566">
        <f t="shared" si="464"/>
        <v>-12.87762380149357</v>
      </c>
      <c r="BI566">
        <f t="shared" si="465"/>
        <v>-12.87762380149357</v>
      </c>
      <c r="BJ566">
        <f t="shared" si="454"/>
        <v>0</v>
      </c>
      <c r="BK566">
        <f t="shared" si="466"/>
        <v>0</v>
      </c>
      <c r="BM566">
        <f t="shared" si="467"/>
        <v>-50.561283008825903</v>
      </c>
      <c r="BN566">
        <f t="shared" si="455"/>
        <v>-115.71684956592917</v>
      </c>
      <c r="BQ566" s="75">
        <f t="shared" si="468"/>
        <v>25.211420473531113</v>
      </c>
    </row>
    <row r="567" spans="1:69">
      <c r="A567">
        <f t="shared" si="472"/>
        <v>1765000</v>
      </c>
      <c r="B567">
        <f t="shared" si="456"/>
        <v>1765</v>
      </c>
      <c r="C567">
        <f t="shared" si="425"/>
        <v>2.292326277850433</v>
      </c>
      <c r="D567">
        <f t="shared" si="426"/>
        <v>1.11938261267378</v>
      </c>
      <c r="F567">
        <f t="shared" si="427"/>
        <v>1.4320214601687282E-4</v>
      </c>
      <c r="G567">
        <f t="shared" si="428"/>
        <v>3.6741431664122155E-3</v>
      </c>
      <c r="H567">
        <f t="shared" si="429"/>
        <v>-3.137918506833588</v>
      </c>
      <c r="J567">
        <f t="shared" si="430"/>
        <v>9</v>
      </c>
      <c r="M567">
        <f t="shared" si="431"/>
        <v>2.3913432797566326E-3</v>
      </c>
      <c r="N567">
        <f t="shared" si="432"/>
        <v>-1.5707963250000001</v>
      </c>
      <c r="O567">
        <f t="shared" si="433"/>
        <v>226.98868057520696</v>
      </c>
      <c r="P567">
        <f t="shared" si="434"/>
        <v>1.566390806518549</v>
      </c>
      <c r="Q567">
        <f t="shared" si="435"/>
        <v>92.685810090991765</v>
      </c>
      <c r="R567">
        <f t="shared" si="436"/>
        <v>1.5600069794185158</v>
      </c>
      <c r="S567">
        <f t="shared" si="437"/>
        <v>0.64353836436812195</v>
      </c>
      <c r="T567">
        <f t="shared" si="438"/>
        <v>-0.87168418190537</v>
      </c>
      <c r="U567">
        <f t="shared" si="439"/>
        <v>0.47471617678799782</v>
      </c>
      <c r="V567">
        <f t="shared" si="440"/>
        <v>-1.0761547985961288</v>
      </c>
      <c r="X567">
        <f t="shared" si="457"/>
        <v>-26.857273662033727</v>
      </c>
      <c r="Y567">
        <f t="shared" si="441"/>
        <v>-138.12714212657824</v>
      </c>
      <c r="Z567">
        <f t="shared" si="458"/>
        <v>41.872857873421765</v>
      </c>
      <c r="AC567">
        <v>1</v>
      </c>
      <c r="AD567">
        <f t="shared" si="442"/>
        <v>226.98647781150603</v>
      </c>
      <c r="AE567">
        <f t="shared" si="443"/>
        <v>-1.4096542027160961E-2</v>
      </c>
      <c r="AF567">
        <f t="shared" si="444"/>
        <v>7.6031820005651998E-3</v>
      </c>
      <c r="AG567">
        <f t="shared" si="473"/>
        <v>6672.8408337178735</v>
      </c>
      <c r="AH567">
        <f t="shared" si="474"/>
        <v>-12503.183699402825</v>
      </c>
      <c r="AJ567">
        <f t="shared" si="445"/>
        <v>55000</v>
      </c>
      <c r="AK567">
        <f t="shared" si="446"/>
        <v>65416.087843981884</v>
      </c>
      <c r="AL567">
        <v>1</v>
      </c>
      <c r="AM567">
        <f t="shared" si="447"/>
        <v>92.680415364970145</v>
      </c>
      <c r="AN567">
        <f t="shared" si="475"/>
        <v>712.14442496342986</v>
      </c>
      <c r="AO567">
        <f t="shared" si="476"/>
        <v>-585.75326147659268</v>
      </c>
      <c r="AQ567">
        <f t="shared" si="448"/>
        <v>3.6546914209364804E-3</v>
      </c>
      <c r="AR567">
        <f t="shared" si="449"/>
        <v>-3.3994294986411715</v>
      </c>
      <c r="AT567">
        <f t="shared" si="470"/>
        <v>-42479.304320531148</v>
      </c>
      <c r="AU567">
        <f t="shared" si="471"/>
        <v>-22729.547248078488</v>
      </c>
      <c r="AV567">
        <f t="shared" si="459"/>
        <v>-2.650281556445977</v>
      </c>
      <c r="AW567">
        <f t="shared" si="460"/>
        <v>4917.0795402356416</v>
      </c>
      <c r="AX567">
        <f t="shared" si="461"/>
        <v>-17899.785859026095</v>
      </c>
      <c r="AY567">
        <f t="shared" si="469"/>
        <v>-1.302708610365761</v>
      </c>
      <c r="BA567">
        <f t="shared" si="450"/>
        <v>2.5953987936338896</v>
      </c>
      <c r="BB567">
        <f t="shared" si="462"/>
        <v>8.2840819686834557</v>
      </c>
      <c r="BC567">
        <f t="shared" si="463"/>
        <v>-1.3475729460802159</v>
      </c>
      <c r="BD567">
        <f t="shared" si="451"/>
        <v>-257.21024248463237</v>
      </c>
      <c r="BF567">
        <f t="shared" si="452"/>
        <v>-42.306548657565116</v>
      </c>
      <c r="BG567">
        <f t="shared" si="453"/>
        <v>-192.8638301478087</v>
      </c>
      <c r="BH567">
        <f t="shared" si="464"/>
        <v>-12.863830147808699</v>
      </c>
      <c r="BI567">
        <f t="shared" si="465"/>
        <v>-12.863830147808699</v>
      </c>
      <c r="BJ567">
        <f t="shared" si="454"/>
        <v>0</v>
      </c>
      <c r="BK567">
        <f t="shared" si="466"/>
        <v>0</v>
      </c>
      <c r="BM567">
        <f t="shared" si="467"/>
        <v>-50.590630626248569</v>
      </c>
      <c r="BN567">
        <f t="shared" si="455"/>
        <v>-115.65358766317632</v>
      </c>
      <c r="BQ567" s="75">
        <f t="shared" si="468"/>
        <v>25.186042768968591</v>
      </c>
    </row>
    <row r="568" spans="1:69">
      <c r="A568">
        <f t="shared" si="472"/>
        <v>1770000</v>
      </c>
      <c r="B568">
        <f t="shared" si="456"/>
        <v>1770</v>
      </c>
      <c r="C568">
        <f t="shared" si="425"/>
        <v>2.2975857321593809</v>
      </c>
      <c r="D568">
        <f t="shared" si="426"/>
        <v>1.1204920805879774</v>
      </c>
      <c r="F568">
        <f t="shared" si="427"/>
        <v>1.4239412729080141E-4</v>
      </c>
      <c r="G568">
        <f t="shared" si="428"/>
        <v>3.6637613597351581E-3</v>
      </c>
      <c r="H568">
        <f t="shared" si="429"/>
        <v>-3.137928888640265</v>
      </c>
      <c r="J568">
        <f t="shared" si="430"/>
        <v>9</v>
      </c>
      <c r="M568">
        <f t="shared" si="431"/>
        <v>2.3845880727516706E-3</v>
      </c>
      <c r="N568">
        <f t="shared" si="432"/>
        <v>-1.5707963250000001</v>
      </c>
      <c r="O568">
        <f t="shared" si="433"/>
        <v>227.63169553637272</v>
      </c>
      <c r="P568">
        <f t="shared" si="434"/>
        <v>1.5664032513307369</v>
      </c>
      <c r="Q568">
        <f t="shared" si="435"/>
        <v>92.948345604278089</v>
      </c>
      <c r="R568">
        <f t="shared" si="436"/>
        <v>1.560037455445676</v>
      </c>
      <c r="S568">
        <f t="shared" si="437"/>
        <v>0.64247145866378508</v>
      </c>
      <c r="T568">
        <f t="shared" si="438"/>
        <v>-0.8730772604229492</v>
      </c>
      <c r="U568">
        <f t="shared" si="439"/>
        <v>0.47367638161480591</v>
      </c>
      <c r="V568">
        <f t="shared" si="440"/>
        <v>-1.0773358216123889</v>
      </c>
      <c r="X568">
        <f t="shared" si="457"/>
        <v>-26.895407043507468</v>
      </c>
      <c r="Y568">
        <f t="shared" si="441"/>
        <v>-138.20919510236891</v>
      </c>
      <c r="Z568">
        <f t="shared" si="458"/>
        <v>41.790804897631091</v>
      </c>
      <c r="AC568">
        <v>1</v>
      </c>
      <c r="AD568">
        <f t="shared" si="442"/>
        <v>227.62949899510804</v>
      </c>
      <c r="AE568">
        <f t="shared" si="443"/>
        <v>-1.4176522246994222E-2</v>
      </c>
      <c r="AF568">
        <f t="shared" si="444"/>
        <v>7.6247207597735997E-3</v>
      </c>
      <c r="AG568">
        <f t="shared" si="473"/>
        <v>6643.6411170190122</v>
      </c>
      <c r="AH568">
        <f t="shared" si="474"/>
        <v>-12483.568788333156</v>
      </c>
      <c r="AJ568">
        <f t="shared" si="445"/>
        <v>55000</v>
      </c>
      <c r="AK568">
        <f t="shared" si="446"/>
        <v>65601.402540423762</v>
      </c>
      <c r="AL568">
        <v>1</v>
      </c>
      <c r="AM568">
        <f t="shared" si="447"/>
        <v>92.942966116712256</v>
      </c>
      <c r="AN568">
        <f t="shared" si="475"/>
        <v>712.10877251489137</v>
      </c>
      <c r="AO568">
        <f t="shared" si="476"/>
        <v>-584.09897484134081</v>
      </c>
      <c r="AQ568">
        <f t="shared" si="448"/>
        <v>3.6340726343092713E-3</v>
      </c>
      <c r="AR568">
        <f t="shared" si="449"/>
        <v>-3.3898266125573451</v>
      </c>
      <c r="AT568">
        <f t="shared" si="470"/>
        <v>-42292.990224006448</v>
      </c>
      <c r="AU568">
        <f t="shared" si="471"/>
        <v>-22566.157658463453</v>
      </c>
      <c r="AV568">
        <f t="shared" si="459"/>
        <v>-2.6514531716229208</v>
      </c>
      <c r="AW568">
        <f t="shared" si="460"/>
        <v>4901.13245415651</v>
      </c>
      <c r="AX568">
        <f t="shared" si="461"/>
        <v>-17863.617122550848</v>
      </c>
      <c r="AY568">
        <f t="shared" si="469"/>
        <v>-1.303021547868767</v>
      </c>
      <c r="BA568">
        <f t="shared" si="450"/>
        <v>2.5878491866614723</v>
      </c>
      <c r="BB568">
        <f t="shared" si="462"/>
        <v>8.2587792628915651</v>
      </c>
      <c r="BC568">
        <f t="shared" si="463"/>
        <v>-1.3484316237541538</v>
      </c>
      <c r="BD568">
        <f t="shared" si="451"/>
        <v>-257.25944109136736</v>
      </c>
      <c r="BF568">
        <f t="shared" si="452"/>
        <v>-42.361094471237799</v>
      </c>
      <c r="BG568">
        <f t="shared" si="453"/>
        <v>-192.85005575918933</v>
      </c>
      <c r="BH568">
        <f t="shared" si="464"/>
        <v>-12.850055759189331</v>
      </c>
      <c r="BI568">
        <f t="shared" si="465"/>
        <v>-12.850055759189331</v>
      </c>
      <c r="BJ568">
        <f t="shared" si="454"/>
        <v>0</v>
      </c>
      <c r="BK568">
        <f t="shared" si="466"/>
        <v>0</v>
      </c>
      <c r="BM568">
        <f t="shared" si="467"/>
        <v>-50.619873734129364</v>
      </c>
      <c r="BN568">
        <f t="shared" si="455"/>
        <v>-115.59061466782198</v>
      </c>
      <c r="BQ568" s="75">
        <f t="shared" si="468"/>
        <v>25.1607400631767</v>
      </c>
    </row>
    <row r="569" spans="1:69">
      <c r="A569">
        <f t="shared" si="472"/>
        <v>1775000</v>
      </c>
      <c r="B569">
        <f t="shared" si="456"/>
        <v>1775</v>
      </c>
      <c r="C569">
        <f t="shared" si="425"/>
        <v>2.3028480016900192</v>
      </c>
      <c r="D569">
        <f t="shared" si="426"/>
        <v>1.1215964793357556</v>
      </c>
      <c r="F569">
        <f t="shared" si="427"/>
        <v>1.4159292850027987E-4</v>
      </c>
      <c r="G569">
        <f t="shared" si="428"/>
        <v>3.6534380662751292E-3</v>
      </c>
      <c r="H569">
        <f t="shared" si="429"/>
        <v>-3.137939211933725</v>
      </c>
      <c r="J569">
        <f t="shared" si="430"/>
        <v>9</v>
      </c>
      <c r="M569">
        <f t="shared" si="431"/>
        <v>2.3778709232509616E-3</v>
      </c>
      <c r="N569">
        <f t="shared" si="432"/>
        <v>-1.5707963250000001</v>
      </c>
      <c r="O569">
        <f t="shared" si="433"/>
        <v>228.27471053259399</v>
      </c>
      <c r="P569">
        <f t="shared" si="434"/>
        <v>1.566415626032656</v>
      </c>
      <c r="Q569">
        <f t="shared" si="435"/>
        <v>93.210881203407439</v>
      </c>
      <c r="R569">
        <f t="shared" si="436"/>
        <v>1.5600677597967263</v>
      </c>
      <c r="S569">
        <f t="shared" si="437"/>
        <v>0.64140684611303256</v>
      </c>
      <c r="T569">
        <f t="shared" si="438"/>
        <v>-0.87446572480349061</v>
      </c>
      <c r="U569">
        <f t="shared" si="439"/>
        <v>0.47264047659012759</v>
      </c>
      <c r="V569">
        <f t="shared" si="440"/>
        <v>-1.0785116805938835</v>
      </c>
      <c r="X569">
        <f t="shared" si="457"/>
        <v>-26.933469187809337</v>
      </c>
      <c r="Y569">
        <f t="shared" si="441"/>
        <v>-138.29098877280381</v>
      </c>
      <c r="Z569">
        <f t="shared" si="458"/>
        <v>41.709011227196186</v>
      </c>
      <c r="AC569">
        <v>1</v>
      </c>
      <c r="AD569">
        <f t="shared" si="442"/>
        <v>228.27252017871001</v>
      </c>
      <c r="AE569">
        <f t="shared" si="443"/>
        <v>-1.4256728719217394E-2</v>
      </c>
      <c r="AF569">
        <f t="shared" si="444"/>
        <v>7.6462595189819996E-3</v>
      </c>
      <c r="AG569">
        <f t="shared" si="473"/>
        <v>6614.614313065169</v>
      </c>
      <c r="AH569">
        <f t="shared" si="474"/>
        <v>-12463.971646140379</v>
      </c>
      <c r="AJ569">
        <f t="shared" si="445"/>
        <v>55000</v>
      </c>
      <c r="AK569">
        <f t="shared" si="446"/>
        <v>65786.717236865632</v>
      </c>
      <c r="AL569">
        <v>1</v>
      </c>
      <c r="AM569">
        <f t="shared" si="447"/>
        <v>93.205516868454382</v>
      </c>
      <c r="AN569">
        <f t="shared" si="475"/>
        <v>712.07342088386372</v>
      </c>
      <c r="AO569">
        <f t="shared" si="476"/>
        <v>-582.45400490333009</v>
      </c>
      <c r="AQ569">
        <f t="shared" si="448"/>
        <v>3.6136278451550674E-3</v>
      </c>
      <c r="AR569">
        <f t="shared" si="449"/>
        <v>-3.3802778270541789</v>
      </c>
      <c r="AT569">
        <f t="shared" si="470"/>
        <v>-42107.784238013643</v>
      </c>
      <c r="AU569">
        <f t="shared" si="471"/>
        <v>-22404.274251971114</v>
      </c>
      <c r="AV569">
        <f t="shared" si="459"/>
        <v>-2.6526196757656804</v>
      </c>
      <c r="AW569">
        <f t="shared" si="460"/>
        <v>4885.2519734044563</v>
      </c>
      <c r="AX569">
        <f t="shared" si="461"/>
        <v>-17827.567475909495</v>
      </c>
      <c r="AY569">
        <f t="shared" si="469"/>
        <v>-1.3033340367649517</v>
      </c>
      <c r="BA569">
        <f t="shared" si="450"/>
        <v>2.5803436883176922</v>
      </c>
      <c r="BB569">
        <f t="shared" si="462"/>
        <v>8.2335511115046902</v>
      </c>
      <c r="BC569">
        <f t="shared" si="463"/>
        <v>-1.3492856390007286</v>
      </c>
      <c r="BD569">
        <f t="shared" si="451"/>
        <v>-257.30837256069185</v>
      </c>
      <c r="BF569">
        <f t="shared" si="452"/>
        <v>-42.415461946050847</v>
      </c>
      <c r="BG569">
        <f t="shared" si="453"/>
        <v>-192.8363013224409</v>
      </c>
      <c r="BH569">
        <f t="shared" si="464"/>
        <v>-12.836301322440903</v>
      </c>
      <c r="BI569">
        <f t="shared" si="465"/>
        <v>-12.836301322440903</v>
      </c>
      <c r="BJ569">
        <f t="shared" si="454"/>
        <v>0</v>
      </c>
      <c r="BK569">
        <f t="shared" si="466"/>
        <v>0</v>
      </c>
      <c r="BM569">
        <f t="shared" si="467"/>
        <v>-50.649013057555536</v>
      </c>
      <c r="BN569">
        <f t="shared" si="455"/>
        <v>-115.52792876174908</v>
      </c>
      <c r="BQ569" s="75">
        <f t="shared" si="468"/>
        <v>25.135511911789827</v>
      </c>
    </row>
    <row r="570" spans="1:69">
      <c r="A570">
        <f t="shared" si="472"/>
        <v>1780000</v>
      </c>
      <c r="B570">
        <f t="shared" si="456"/>
        <v>1780</v>
      </c>
      <c r="C570">
        <f t="shared" si="425"/>
        <v>2.3081130671870658</v>
      </c>
      <c r="D570">
        <f t="shared" si="426"/>
        <v>1.122695840903821</v>
      </c>
      <c r="F570">
        <f t="shared" si="427"/>
        <v>1.4079847310736088E-4</v>
      </c>
      <c r="G570">
        <f t="shared" si="428"/>
        <v>3.6431727926727851E-3</v>
      </c>
      <c r="H570">
        <f t="shared" si="429"/>
        <v>-3.1379494772073273</v>
      </c>
      <c r="J570">
        <f t="shared" si="430"/>
        <v>9</v>
      </c>
      <c r="M570">
        <f t="shared" si="431"/>
        <v>2.3711915105452007E-3</v>
      </c>
      <c r="N570">
        <f t="shared" si="432"/>
        <v>-1.5707963250000001</v>
      </c>
      <c r="O570">
        <f t="shared" si="433"/>
        <v>228.91772556357535</v>
      </c>
      <c r="P570">
        <f t="shared" si="434"/>
        <v>1.5664279312151086</v>
      </c>
      <c r="Q570">
        <f t="shared" si="435"/>
        <v>93.473416887656498</v>
      </c>
      <c r="R570">
        <f t="shared" si="436"/>
        <v>1.5600978939181538</v>
      </c>
      <c r="S570">
        <f t="shared" si="437"/>
        <v>0.64034452761893423</v>
      </c>
      <c r="T570">
        <f t="shared" si="438"/>
        <v>-0.8758495926064811</v>
      </c>
      <c r="U570">
        <f t="shared" si="439"/>
        <v>0.47160844481274206</v>
      </c>
      <c r="V570">
        <f t="shared" si="440"/>
        <v>-1.0796824061060524</v>
      </c>
      <c r="X570">
        <f t="shared" si="457"/>
        <v>-26.971460360410493</v>
      </c>
      <c r="Y570">
        <f t="shared" si="441"/>
        <v>-138.37252397407406</v>
      </c>
      <c r="Z570">
        <f t="shared" si="458"/>
        <v>41.627476025925944</v>
      </c>
      <c r="AC570">
        <v>1</v>
      </c>
      <c r="AD570">
        <f t="shared" si="442"/>
        <v>228.91554136231204</v>
      </c>
      <c r="AE570">
        <f t="shared" si="443"/>
        <v>-1.4337161443830473E-2</v>
      </c>
      <c r="AF570">
        <f t="shared" si="444"/>
        <v>7.6677982781903995E-3</v>
      </c>
      <c r="AG570">
        <f t="shared" si="473"/>
        <v>6585.7592338776776</v>
      </c>
      <c r="AH570">
        <f t="shared" si="474"/>
        <v>-12444.392758441338</v>
      </c>
      <c r="AJ570">
        <f t="shared" si="445"/>
        <v>55000</v>
      </c>
      <c r="AK570">
        <f t="shared" si="446"/>
        <v>65972.031933307517</v>
      </c>
      <c r="AL570">
        <v>1</v>
      </c>
      <c r="AM570">
        <f t="shared" si="447"/>
        <v>93.468067620196521</v>
      </c>
      <c r="AN570">
        <f t="shared" si="475"/>
        <v>712.03836669577174</v>
      </c>
      <c r="AO570">
        <f t="shared" si="476"/>
        <v>-580.81827318717046</v>
      </c>
      <c r="AQ570">
        <f t="shared" si="448"/>
        <v>3.5933551011982012E-3</v>
      </c>
      <c r="AR570">
        <f t="shared" si="449"/>
        <v>-3.3707826862299846</v>
      </c>
      <c r="AT570">
        <f t="shared" si="470"/>
        <v>-41923.678679261546</v>
      </c>
      <c r="AU570">
        <f t="shared" si="471"/>
        <v>-22243.880323433979</v>
      </c>
      <c r="AV570">
        <f t="shared" si="459"/>
        <v>-2.6537810989930777</v>
      </c>
      <c r="AW570">
        <f t="shared" si="460"/>
        <v>4869.4380461488181</v>
      </c>
      <c r="AX570">
        <f t="shared" si="461"/>
        <v>-17791.636490884877</v>
      </c>
      <c r="AY570">
        <f t="shared" si="469"/>
        <v>-1.3036460639999381</v>
      </c>
      <c r="BA570">
        <f t="shared" si="450"/>
        <v>2.5728819115360362</v>
      </c>
      <c r="BB570">
        <f t="shared" si="462"/>
        <v>8.2083970740306036</v>
      </c>
      <c r="BC570">
        <f t="shared" si="463"/>
        <v>-1.3501350349931396</v>
      </c>
      <c r="BD570">
        <f t="shared" si="451"/>
        <v>-257.35703936624793</v>
      </c>
      <c r="BF570">
        <f t="shared" si="452"/>
        <v>-42.469652240439345</v>
      </c>
      <c r="BG570">
        <f t="shared" si="453"/>
        <v>-192.82256750676962</v>
      </c>
      <c r="BH570">
        <f t="shared" si="464"/>
        <v>-12.822567506769616</v>
      </c>
      <c r="BI570">
        <f t="shared" si="465"/>
        <v>-12.822567506769616</v>
      </c>
      <c r="BJ570">
        <f t="shared" si="454"/>
        <v>0</v>
      </c>
      <c r="BK570">
        <f t="shared" si="466"/>
        <v>0</v>
      </c>
      <c r="BM570">
        <f t="shared" si="467"/>
        <v>-50.678049314469945</v>
      </c>
      <c r="BN570">
        <f t="shared" si="455"/>
        <v>-115.46552814052168</v>
      </c>
      <c r="BQ570" s="75">
        <f t="shared" si="468"/>
        <v>25.110357874315739</v>
      </c>
    </row>
    <row r="571" spans="1:69">
      <c r="A571">
        <f t="shared" si="472"/>
        <v>1785000</v>
      </c>
      <c r="B571">
        <f t="shared" si="456"/>
        <v>1785</v>
      </c>
      <c r="C571">
        <f t="shared" si="425"/>
        <v>2.3133809095603501</v>
      </c>
      <c r="D571">
        <f t="shared" si="426"/>
        <v>1.1237901970364661</v>
      </c>
      <c r="F571">
        <f t="shared" si="427"/>
        <v>1.4001068564484096E-4</v>
      </c>
      <c r="G571">
        <f t="shared" si="428"/>
        <v>3.6329650511003897E-3</v>
      </c>
      <c r="H571">
        <f t="shared" si="429"/>
        <v>-3.1379596849488998</v>
      </c>
      <c r="J571">
        <f t="shared" si="430"/>
        <v>9</v>
      </c>
      <c r="M571">
        <f t="shared" si="431"/>
        <v>2.3645495175184631E-3</v>
      </c>
      <c r="N571">
        <f t="shared" si="432"/>
        <v>-1.5707963250000001</v>
      </c>
      <c r="O571">
        <f t="shared" si="433"/>
        <v>229.56074062902465</v>
      </c>
      <c r="P571">
        <f t="shared" si="434"/>
        <v>1.5664401674622763</v>
      </c>
      <c r="Q571">
        <f t="shared" si="435"/>
        <v>93.735952656310047</v>
      </c>
      <c r="R571">
        <f t="shared" si="436"/>
        <v>1.5601278592402412</v>
      </c>
      <c r="S571">
        <f t="shared" si="437"/>
        <v>0.63928450397826819</v>
      </c>
      <c r="T571">
        <f t="shared" si="438"/>
        <v>-0.87722888134576082</v>
      </c>
      <c r="U571">
        <f t="shared" si="439"/>
        <v>0.47058026942509468</v>
      </c>
      <c r="V571">
        <f t="shared" si="440"/>
        <v>-1.0808480285043267</v>
      </c>
      <c r="X571">
        <f t="shared" si="457"/>
        <v>-27.009380824836317</v>
      </c>
      <c r="Y571">
        <f t="shared" si="441"/>
        <v>-138.45380154260314</v>
      </c>
      <c r="Z571">
        <f t="shared" si="458"/>
        <v>41.546198457396855</v>
      </c>
      <c r="AC571">
        <v>1</v>
      </c>
      <c r="AD571">
        <f t="shared" si="442"/>
        <v>229.55856254591404</v>
      </c>
      <c r="AE571">
        <f t="shared" si="443"/>
        <v>-1.4417820420833467E-2</v>
      </c>
      <c r="AF571">
        <f t="shared" si="444"/>
        <v>7.6893370373988012E-3</v>
      </c>
      <c r="AG571">
        <f t="shared" si="473"/>
        <v>6557.0746994996407</v>
      </c>
      <c r="AH571">
        <f t="shared" si="474"/>
        <v>-12424.832601133561</v>
      </c>
      <c r="AJ571">
        <f t="shared" si="445"/>
        <v>55000</v>
      </c>
      <c r="AK571">
        <f t="shared" si="446"/>
        <v>66157.346629749387</v>
      </c>
      <c r="AL571">
        <v>1</v>
      </c>
      <c r="AM571">
        <f t="shared" si="447"/>
        <v>93.730618371938633</v>
      </c>
      <c r="AN571">
        <f t="shared" si="475"/>
        <v>712.00360662322726</v>
      </c>
      <c r="AO571">
        <f t="shared" si="476"/>
        <v>-579.19170209624565</v>
      </c>
      <c r="AQ571">
        <f t="shared" si="448"/>
        <v>3.5732524774673897E-3</v>
      </c>
      <c r="AR571">
        <f t="shared" si="449"/>
        <v>-3.3613407392911858</v>
      </c>
      <c r="AT571">
        <f t="shared" si="470"/>
        <v>-41740.665917648585</v>
      </c>
      <c r="AU571">
        <f t="shared" si="471"/>
        <v>-22084.959381877772</v>
      </c>
      <c r="AV571">
        <f t="shared" si="459"/>
        <v>-2.6549374712189278</v>
      </c>
      <c r="AW571">
        <f t="shared" si="460"/>
        <v>4853.6906133388557</v>
      </c>
      <c r="AX571">
        <f t="shared" si="461"/>
        <v>-17755.823740272648</v>
      </c>
      <c r="AY571">
        <f t="shared" si="469"/>
        <v>-1.3039576168517466</v>
      </c>
      <c r="BA571">
        <f t="shared" si="450"/>
        <v>2.5654634737567275</v>
      </c>
      <c r="BB571">
        <f t="shared" si="462"/>
        <v>8.1833167138072209</v>
      </c>
      <c r="BC571">
        <f t="shared" si="463"/>
        <v>-1.3509798543671812</v>
      </c>
      <c r="BD571">
        <f t="shared" si="451"/>
        <v>-257.40544395088671</v>
      </c>
      <c r="BF571">
        <f t="shared" si="452"/>
        <v>-42.523666501952334</v>
      </c>
      <c r="BG571">
        <f t="shared" si="453"/>
        <v>-192.80885496416303</v>
      </c>
      <c r="BH571">
        <f t="shared" si="464"/>
        <v>-12.808854964163032</v>
      </c>
      <c r="BI571">
        <f t="shared" si="465"/>
        <v>-12.808854964163032</v>
      </c>
      <c r="BJ571">
        <f t="shared" si="454"/>
        <v>0</v>
      </c>
      <c r="BK571">
        <f t="shared" si="466"/>
        <v>0</v>
      </c>
      <c r="BM571">
        <f t="shared" si="467"/>
        <v>-50.70698321575955</v>
      </c>
      <c r="BN571">
        <f t="shared" si="455"/>
        <v>-115.40341101327635</v>
      </c>
      <c r="BQ571" s="75">
        <f t="shared" si="468"/>
        <v>25.085277514092358</v>
      </c>
    </row>
    <row r="572" spans="1:69">
      <c r="A572">
        <f t="shared" si="472"/>
        <v>1790000</v>
      </c>
      <c r="B572">
        <f t="shared" si="456"/>
        <v>1790</v>
      </c>
      <c r="C572">
        <f t="shared" si="425"/>
        <v>2.3186515098831637</v>
      </c>
      <c r="D572">
        <f t="shared" si="426"/>
        <v>1.1248795792375321</v>
      </c>
      <c r="F572">
        <f t="shared" si="427"/>
        <v>1.3922949169833457E-4</v>
      </c>
      <c r="G572">
        <f t="shared" si="428"/>
        <v>3.622814359184494E-3</v>
      </c>
      <c r="H572">
        <f t="shared" si="429"/>
        <v>-3.1379698356408157</v>
      </c>
      <c r="J572">
        <f t="shared" si="430"/>
        <v>9</v>
      </c>
      <c r="M572">
        <f t="shared" si="431"/>
        <v>2.3579446305980207E-3</v>
      </c>
      <c r="N572">
        <f t="shared" si="432"/>
        <v>-1.5707963250000001</v>
      </c>
      <c r="O572">
        <f t="shared" si="433"/>
        <v>230.20375572865311</v>
      </c>
      <c r="P572">
        <f t="shared" si="434"/>
        <v>1.5664523353518149</v>
      </c>
      <c r="Q572">
        <f t="shared" si="435"/>
        <v>93.998488508660898</v>
      </c>
      <c r="R572">
        <f t="shared" si="436"/>
        <v>1.5601576571772944</v>
      </c>
      <c r="S572">
        <f t="shared" si="437"/>
        <v>0.63822677588303556</v>
      </c>
      <c r="T572">
        <f t="shared" si="438"/>
        <v>-0.87860360848915098</v>
      </c>
      <c r="U572">
        <f t="shared" si="439"/>
        <v>0.46955593361408776</v>
      </c>
      <c r="V572">
        <f t="shared" si="440"/>
        <v>-1.0820085779355484</v>
      </c>
      <c r="X572">
        <f t="shared" si="457"/>
        <v>-27.047230842692581</v>
      </c>
      <c r="Y572">
        <f t="shared" si="441"/>
        <v>-138.53482231498</v>
      </c>
      <c r="Z572">
        <f t="shared" si="458"/>
        <v>41.465177685019995</v>
      </c>
      <c r="AC572">
        <v>1</v>
      </c>
      <c r="AD572">
        <f t="shared" si="442"/>
        <v>230.20158372951602</v>
      </c>
      <c r="AE572">
        <f t="shared" si="443"/>
        <v>-1.4498705650226368E-2</v>
      </c>
      <c r="AF572">
        <f t="shared" si="444"/>
        <v>7.7108757966072011E-3</v>
      </c>
      <c r="AG572">
        <f t="shared" si="473"/>
        <v>6528.5595379660381</v>
      </c>
      <c r="AH572">
        <f t="shared" si="474"/>
        <v>-12405.291640546993</v>
      </c>
      <c r="AJ572">
        <f t="shared" si="445"/>
        <v>55000</v>
      </c>
      <c r="AK572">
        <f t="shared" si="446"/>
        <v>66342.661326191257</v>
      </c>
      <c r="AL572">
        <v>1</v>
      </c>
      <c r="AM572">
        <f t="shared" si="447"/>
        <v>93.993169123680758</v>
      </c>
      <c r="AN572">
        <f t="shared" si="475"/>
        <v>711.96913738523722</v>
      </c>
      <c r="AO572">
        <f t="shared" si="476"/>
        <v>-577.57421490044601</v>
      </c>
      <c r="AQ572">
        <f t="shared" si="448"/>
        <v>3.5533180758387638E-3</v>
      </c>
      <c r="AR572">
        <f t="shared" si="449"/>
        <v>-3.351951540480981</v>
      </c>
      <c r="AT572">
        <f t="shared" si="470"/>
        <v>-41558.738376031884</v>
      </c>
      <c r="AU572">
        <f t="shared" si="471"/>
        <v>-21927.495147429472</v>
      </c>
      <c r="AV572">
        <f t="shared" si="459"/>
        <v>-2.6560888221533911</v>
      </c>
      <c r="AW572">
        <f t="shared" si="460"/>
        <v>4838.0096089210683</v>
      </c>
      <c r="AX572">
        <f t="shared" si="461"/>
        <v>-17720.12879787905</v>
      </c>
      <c r="AY572">
        <f t="shared" si="469"/>
        <v>-1.3042686829237604</v>
      </c>
      <c r="BA572">
        <f t="shared" si="450"/>
        <v>2.5580879968618651</v>
      </c>
      <c r="BB572">
        <f t="shared" si="462"/>
        <v>8.1583095979599012</v>
      </c>
      <c r="BC572">
        <f t="shared" si="463"/>
        <v>-1.3518201392296307</v>
      </c>
      <c r="BD572">
        <f t="shared" si="451"/>
        <v>-257.45358872714883</v>
      </c>
      <c r="BF572">
        <f t="shared" si="452"/>
        <v>-42.577505867382648</v>
      </c>
      <c r="BG572">
        <f t="shared" si="453"/>
        <v>-192.79516432976263</v>
      </c>
      <c r="BH572">
        <f t="shared" si="464"/>
        <v>-12.795164329762628</v>
      </c>
      <c r="BI572">
        <f t="shared" si="465"/>
        <v>-12.795164329762628</v>
      </c>
      <c r="BJ572">
        <f t="shared" si="454"/>
        <v>0</v>
      </c>
      <c r="BK572">
        <f t="shared" si="466"/>
        <v>0</v>
      </c>
      <c r="BM572">
        <f t="shared" si="467"/>
        <v>-50.73581546534254</v>
      </c>
      <c r="BN572">
        <f t="shared" si="455"/>
        <v>-115.34157560261386</v>
      </c>
      <c r="BQ572" s="75">
        <f t="shared" si="468"/>
        <v>25.060270398245038</v>
      </c>
    </row>
    <row r="573" spans="1:69">
      <c r="A573">
        <f t="shared" si="472"/>
        <v>1795000</v>
      </c>
      <c r="B573">
        <f t="shared" si="456"/>
        <v>1795</v>
      </c>
      <c r="C573">
        <f t="shared" si="425"/>
        <v>2.3239248493906368</v>
      </c>
      <c r="D573">
        <f t="shared" si="426"/>
        <v>1.1259640187723601</v>
      </c>
      <c r="F573">
        <f t="shared" si="427"/>
        <v>1.3845481788869727E-4</v>
      </c>
      <c r="G573">
        <f t="shared" si="428"/>
        <v>3.6127202399299143E-3</v>
      </c>
      <c r="H573">
        <f t="shared" si="429"/>
        <v>-3.1379799297600703</v>
      </c>
      <c r="J573">
        <f t="shared" si="430"/>
        <v>9</v>
      </c>
      <c r="M573">
        <f t="shared" si="431"/>
        <v>2.35137653970499E-3</v>
      </c>
      <c r="N573">
        <f t="shared" si="432"/>
        <v>-1.5707963250000001</v>
      </c>
      <c r="O573">
        <f t="shared" si="433"/>
        <v>230.84677086217508</v>
      </c>
      <c r="P573">
        <f t="shared" si="434"/>
        <v>1.5664644354549437</v>
      </c>
      <c r="Q573">
        <f t="shared" si="435"/>
        <v>94.261024444009664</v>
      </c>
      <c r="R573">
        <f t="shared" si="436"/>
        <v>1.5601872891278628</v>
      </c>
      <c r="S573">
        <f t="shared" si="437"/>
        <v>0.63717134392195995</v>
      </c>
      <c r="T573">
        <f t="shared" si="438"/>
        <v>-0.87997379145809207</v>
      </c>
      <c r="U573">
        <f t="shared" si="439"/>
        <v>0.46853542061184733</v>
      </c>
      <c r="V573">
        <f t="shared" si="440"/>
        <v>-1.0831640843393848</v>
      </c>
      <c r="X573">
        <f t="shared" si="457"/>
        <v>-27.085010673691073</v>
      </c>
      <c r="Y573">
        <f t="shared" si="441"/>
        <v>-138.6155871278946</v>
      </c>
      <c r="Z573">
        <f t="shared" si="458"/>
        <v>41.384412872105401</v>
      </c>
      <c r="AC573">
        <v>1</v>
      </c>
      <c r="AD573">
        <f t="shared" si="442"/>
        <v>230.84460491311802</v>
      </c>
      <c r="AE573">
        <f t="shared" si="443"/>
        <v>-1.4579817132009181E-2</v>
      </c>
      <c r="AF573">
        <f t="shared" si="444"/>
        <v>7.732414555815601E-3</v>
      </c>
      <c r="AG573">
        <f t="shared" si="473"/>
        <v>6500.2125852731242</v>
      </c>
      <c r="AH573">
        <f t="shared" si="474"/>
        <v>-12385.770333593415</v>
      </c>
      <c r="AJ573">
        <f t="shared" si="445"/>
        <v>55000</v>
      </c>
      <c r="AK573">
        <f t="shared" si="446"/>
        <v>66527.976022633127</v>
      </c>
      <c r="AL573">
        <v>1</v>
      </c>
      <c r="AM573">
        <f t="shared" si="447"/>
        <v>94.255719875422884</v>
      </c>
      <c r="AN573">
        <f t="shared" si="475"/>
        <v>711.93495574643157</v>
      </c>
      <c r="AO573">
        <f t="shared" si="476"/>
        <v>-575.96573572411012</v>
      </c>
      <c r="AQ573">
        <f t="shared" si="448"/>
        <v>3.5335500245877879E-3</v>
      </c>
      <c r="AR573">
        <f t="shared" si="449"/>
        <v>-3.3426146490091866</v>
      </c>
      <c r="AT573">
        <f t="shared" si="470"/>
        <v>-41377.888529992226</v>
      </c>
      <c r="AU573">
        <f t="shared" si="471"/>
        <v>-21771.471548274629</v>
      </c>
      <c r="AV573">
        <f t="shared" si="459"/>
        <v>-2.6572351813043196</v>
      </c>
      <c r="AW573">
        <f t="shared" si="460"/>
        <v>4822.3949600510568</v>
      </c>
      <c r="AX573">
        <f t="shared" si="461"/>
        <v>-17684.551238518983</v>
      </c>
      <c r="AY573">
        <f t="shared" si="469"/>
        <v>-1.3045792501378422</v>
      </c>
      <c r="BA573">
        <f t="shared" si="450"/>
        <v>2.5507551071116601</v>
      </c>
      <c r="BB573">
        <f t="shared" si="462"/>
        <v>8.1333752973593008</v>
      </c>
      <c r="BC573">
        <f t="shared" si="463"/>
        <v>-1.3526559311664774</v>
      </c>
      <c r="BD573">
        <f t="shared" si="451"/>
        <v>-257.5014760777359</v>
      </c>
      <c r="BF573">
        <f t="shared" si="452"/>
        <v>-42.631171462894962</v>
      </c>
      <c r="BG573">
        <f t="shared" si="453"/>
        <v>-192.78149622222782</v>
      </c>
      <c r="BH573">
        <f t="shared" si="464"/>
        <v>-12.781496222227815</v>
      </c>
      <c r="BI573">
        <f t="shared" si="465"/>
        <v>-12.781496222227815</v>
      </c>
      <c r="BJ573">
        <f t="shared" si="454"/>
        <v>0</v>
      </c>
      <c r="BK573">
        <f t="shared" si="466"/>
        <v>0</v>
      </c>
      <c r="BM573">
        <f t="shared" si="467"/>
        <v>-50.764546760254269</v>
      </c>
      <c r="BN573">
        <f t="shared" si="455"/>
        <v>-115.28002014449193</v>
      </c>
      <c r="BQ573" s="75">
        <f t="shared" si="468"/>
        <v>25.035336097644439</v>
      </c>
    </row>
    <row r="574" spans="1:69">
      <c r="A574">
        <f t="shared" si="472"/>
        <v>1800000</v>
      </c>
      <c r="B574">
        <f t="shared" si="456"/>
        <v>1800</v>
      </c>
      <c r="C574">
        <f t="shared" si="425"/>
        <v>2.3292009094781259</v>
      </c>
      <c r="D574">
        <f t="shared" si="426"/>
        <v>1.1270435466697257</v>
      </c>
      <c r="F574">
        <f t="shared" si="427"/>
        <v>1.3768659185479053E-4</v>
      </c>
      <c r="G574">
        <f t="shared" si="428"/>
        <v>3.6026822216449661E-3</v>
      </c>
      <c r="H574">
        <f t="shared" si="429"/>
        <v>-3.1379899677783554</v>
      </c>
      <c r="J574">
        <f t="shared" si="430"/>
        <v>9</v>
      </c>
      <c r="M574">
        <f t="shared" si="431"/>
        <v>2.3448449382058095E-3</v>
      </c>
      <c r="N574">
        <f t="shared" si="432"/>
        <v>-1.5707963250000001</v>
      </c>
      <c r="O574">
        <f t="shared" si="433"/>
        <v>231.48978602930814</v>
      </c>
      <c r="P574">
        <f t="shared" si="434"/>
        <v>1.5664764683365353</v>
      </c>
      <c r="Q574">
        <f t="shared" si="435"/>
        <v>94.523560461664815</v>
      </c>
      <c r="R574">
        <f t="shared" si="436"/>
        <v>1.5602167564749601</v>
      </c>
      <c r="S574">
        <f t="shared" si="437"/>
        <v>0.63611820858197199</v>
      </c>
      <c r="T574">
        <f t="shared" si="438"/>
        <v>-0.88133944762729211</v>
      </c>
      <c r="U574">
        <f t="shared" si="439"/>
        <v>0.46751871369646358</v>
      </c>
      <c r="V574">
        <f t="shared" si="440"/>
        <v>-1.0843145774497387</v>
      </c>
      <c r="X574">
        <f t="shared" si="457"/>
        <v>-27.122720575674776</v>
      </c>
      <c r="Y574">
        <f t="shared" si="441"/>
        <v>-138.69609681807398</v>
      </c>
      <c r="Z574">
        <f t="shared" si="458"/>
        <v>41.303903181926017</v>
      </c>
      <c r="AC574">
        <v>1</v>
      </c>
      <c r="AD574">
        <f t="shared" si="442"/>
        <v>231.48762609672005</v>
      </c>
      <c r="AE574">
        <f t="shared" si="443"/>
        <v>-1.4661154866181903E-2</v>
      </c>
      <c r="AF574">
        <f t="shared" si="444"/>
        <v>7.7539533150240009E-3</v>
      </c>
      <c r="AG574">
        <f t="shared" si="473"/>
        <v>6472.0326853471852</v>
      </c>
      <c r="AH574">
        <f t="shared" si="474"/>
        <v>-12366.269127913807</v>
      </c>
      <c r="AJ574">
        <f t="shared" si="445"/>
        <v>55000</v>
      </c>
      <c r="AK574">
        <f t="shared" si="446"/>
        <v>66713.290719074997</v>
      </c>
      <c r="AL574">
        <v>1</v>
      </c>
      <c r="AM574">
        <f t="shared" si="447"/>
        <v>94.518270627165009</v>
      </c>
      <c r="AN574">
        <f t="shared" si="475"/>
        <v>711.90105851630312</v>
      </c>
      <c r="AO574">
        <f t="shared" si="476"/>
        <v>-574.36618953416428</v>
      </c>
      <c r="AQ574">
        <f t="shared" si="448"/>
        <v>3.5139464779498854E-3</v>
      </c>
      <c r="AR574">
        <f t="shared" si="449"/>
        <v>-3.3333296289832615</v>
      </c>
      <c r="AT574">
        <f t="shared" si="470"/>
        <v>-41198.108907596245</v>
      </c>
      <c r="AU574">
        <f t="shared" si="471"/>
        <v>-21616.872717663289</v>
      </c>
      <c r="AV574">
        <f t="shared" si="459"/>
        <v>-2.6583765779785975</v>
      </c>
      <c r="AW574">
        <f t="shared" si="460"/>
        <v>4806.8465873001505</v>
      </c>
      <c r="AX574">
        <f t="shared" si="461"/>
        <v>-17649.090638014557</v>
      </c>
      <c r="AY574">
        <f t="shared" si="469"/>
        <v>-1.3048893067276011</v>
      </c>
      <c r="BA574">
        <f t="shared" si="450"/>
        <v>2.5434644350817579</v>
      </c>
      <c r="BB574">
        <f t="shared" si="462"/>
        <v>8.1085133865797978</v>
      </c>
      <c r="BC574">
        <f t="shared" si="463"/>
        <v>-1.3534872712509964</v>
      </c>
      <c r="BD574">
        <f t="shared" si="451"/>
        <v>-257.54910835597332</v>
      </c>
      <c r="BF574">
        <f t="shared" si="452"/>
        <v>-42.684664404152016</v>
      </c>
      <c r="BG574">
        <f t="shared" si="453"/>
        <v>-192.76785124409193</v>
      </c>
      <c r="BH574">
        <f t="shared" si="464"/>
        <v>-12.767851244091929</v>
      </c>
      <c r="BI574">
        <f t="shared" si="465"/>
        <v>-12.767851244091929</v>
      </c>
      <c r="BJ574">
        <f t="shared" si="454"/>
        <v>0</v>
      </c>
      <c r="BK574">
        <f t="shared" si="466"/>
        <v>0</v>
      </c>
      <c r="BM574">
        <f t="shared" si="467"/>
        <v>-50.793177790731818</v>
      </c>
      <c r="BN574">
        <f t="shared" si="455"/>
        <v>-115.21874288811864</v>
      </c>
      <c r="BQ574" s="75">
        <f t="shared" si="468"/>
        <v>25.010474186864933</v>
      </c>
    </row>
    <row r="575" spans="1:69">
      <c r="A575">
        <f t="shared" si="472"/>
        <v>1805000</v>
      </c>
      <c r="B575">
        <f t="shared" si="456"/>
        <v>1805</v>
      </c>
      <c r="C575">
        <f t="shared" si="425"/>
        <v>2.334479671699623</v>
      </c>
      <c r="D575">
        <f t="shared" si="426"/>
        <v>1.1281181937237634</v>
      </c>
      <c r="F575">
        <f t="shared" si="427"/>
        <v>1.3692474223658021E-4</v>
      </c>
      <c r="G575">
        <f t="shared" si="428"/>
        <v>3.5926998378679595E-3</v>
      </c>
      <c r="H575">
        <f t="shared" si="429"/>
        <v>-3.1379999501621323</v>
      </c>
      <c r="J575">
        <f t="shared" si="430"/>
        <v>9</v>
      </c>
      <c r="M575">
        <f t="shared" si="431"/>
        <v>2.338349522864519E-3</v>
      </c>
      <c r="N575">
        <f t="shared" si="432"/>
        <v>-1.5707963250000001</v>
      </c>
      <c r="O575">
        <f t="shared" si="433"/>
        <v>232.13280122977298</v>
      </c>
      <c r="P575">
        <f t="shared" si="434"/>
        <v>1.5664884345552035</v>
      </c>
      <c r="Q575">
        <f t="shared" si="435"/>
        <v>94.786096560942411</v>
      </c>
      <c r="R575">
        <f t="shared" si="436"/>
        <v>1.5602460605862782</v>
      </c>
      <c r="S575">
        <f t="shared" si="437"/>
        <v>0.63506737024967874</v>
      </c>
      <c r="T575">
        <f t="shared" si="438"/>
        <v>-0.88270059432438508</v>
      </c>
      <c r="U575">
        <f t="shared" si="439"/>
        <v>0.46650579619270849</v>
      </c>
      <c r="V575">
        <f t="shared" si="440"/>
        <v>-1.0854600867961512</v>
      </c>
      <c r="X575">
        <f t="shared" si="457"/>
        <v>-27.160360804642629</v>
      </c>
      <c r="Y575">
        <f t="shared" si="441"/>
        <v>-138.77635222221957</v>
      </c>
      <c r="Z575">
        <f t="shared" si="458"/>
        <v>41.223647777780428</v>
      </c>
      <c r="AC575">
        <v>1</v>
      </c>
      <c r="AD575">
        <f t="shared" si="442"/>
        <v>232.13064728032202</v>
      </c>
      <c r="AE575">
        <f t="shared" si="443"/>
        <v>-1.4742718852744537E-2</v>
      </c>
      <c r="AF575">
        <f t="shared" si="444"/>
        <v>7.7754920742324008E-3</v>
      </c>
      <c r="AG575">
        <f t="shared" si="473"/>
        <v>6444.0186900126746</v>
      </c>
      <c r="AH575">
        <f t="shared" si="474"/>
        <v>-12346.788462023531</v>
      </c>
      <c r="AJ575">
        <f t="shared" si="445"/>
        <v>55000</v>
      </c>
      <c r="AK575">
        <f t="shared" si="446"/>
        <v>66898.605415516882</v>
      </c>
      <c r="AL575">
        <v>1</v>
      </c>
      <c r="AM575">
        <f t="shared" si="447"/>
        <v>94.780821378907135</v>
      </c>
      <c r="AN575">
        <f t="shared" si="475"/>
        <v>711.86744254846349</v>
      </c>
      <c r="AO575">
        <f t="shared" si="476"/>
        <v>-572.77550212846143</v>
      </c>
      <c r="AQ575">
        <f t="shared" si="448"/>
        <v>3.4945056156895746E-3</v>
      </c>
      <c r="AR575">
        <f t="shared" si="449"/>
        <v>-3.3240960493404721</v>
      </c>
      <c r="AT575">
        <f t="shared" si="470"/>
        <v>-41019.392089155081</v>
      </c>
      <c r="AU575">
        <f t="shared" si="471"/>
        <v>-21463.682990963567</v>
      </c>
      <c r="AV575">
        <f t="shared" si="459"/>
        <v>-2.6595130412834793</v>
      </c>
      <c r="AW575">
        <f t="shared" si="460"/>
        <v>4791.3644048568922</v>
      </c>
      <c r="AX575">
        <f t="shared" si="461"/>
        <v>-17613.746573193959</v>
      </c>
      <c r="AY575">
        <f t="shared" si="469"/>
        <v>-1.3051988412318043</v>
      </c>
      <c r="BA575">
        <f t="shared" si="450"/>
        <v>2.5362156156016087</v>
      </c>
      <c r="BB575">
        <f t="shared" si="462"/>
        <v>8.0837234438584264</v>
      </c>
      <c r="BC575">
        <f t="shared" si="463"/>
        <v>-1.354314200051675</v>
      </c>
      <c r="BD575">
        <f t="shared" si="451"/>
        <v>-257.59648788626419</v>
      </c>
      <c r="BF575">
        <f t="shared" si="452"/>
        <v>-42.737985796439048</v>
      </c>
      <c r="BG575">
        <f t="shared" si="453"/>
        <v>-192.75422998211047</v>
      </c>
      <c r="BH575">
        <f t="shared" si="464"/>
        <v>-12.754229982110473</v>
      </c>
      <c r="BI575">
        <f t="shared" si="465"/>
        <v>-12.754229982110473</v>
      </c>
      <c r="BJ575">
        <f t="shared" si="454"/>
        <v>0</v>
      </c>
      <c r="BK575">
        <f t="shared" si="466"/>
        <v>0</v>
      </c>
      <c r="BM575">
        <f t="shared" si="467"/>
        <v>-50.821709240297473</v>
      </c>
      <c r="BN575">
        <f t="shared" si="455"/>
        <v>-115.1577420958463</v>
      </c>
      <c r="BQ575" s="75">
        <f t="shared" si="468"/>
        <v>24.985684244143563</v>
      </c>
    </row>
    <row r="576" spans="1:69">
      <c r="A576">
        <f t="shared" si="472"/>
        <v>1810000</v>
      </c>
      <c r="B576">
        <f t="shared" si="456"/>
        <v>1810</v>
      </c>
      <c r="C576">
        <f t="shared" si="425"/>
        <v>2.3397611177661806</v>
      </c>
      <c r="D576">
        <f t="shared" si="426"/>
        <v>1.1291879904958726</v>
      </c>
      <c r="F576">
        <f t="shared" si="427"/>
        <v>1.3616919865856156E-4</v>
      </c>
      <c r="G576">
        <f t="shared" si="428"/>
        <v>3.5827726272948911E-3</v>
      </c>
      <c r="H576">
        <f t="shared" si="429"/>
        <v>-3.1380098773727054</v>
      </c>
      <c r="J576">
        <f t="shared" si="430"/>
        <v>9</v>
      </c>
      <c r="M576">
        <f t="shared" si="431"/>
        <v>2.3318899937958327E-3</v>
      </c>
      <c r="N576">
        <f t="shared" si="432"/>
        <v>-1.5707963250000001</v>
      </c>
      <c r="O576">
        <f t="shared" si="433"/>
        <v>232.77581646329335</v>
      </c>
      <c r="P576">
        <f t="shared" si="434"/>
        <v>1.5665003346633899</v>
      </c>
      <c r="Q576">
        <f t="shared" si="435"/>
        <v>95.048632741166116</v>
      </c>
      <c r="R576">
        <f t="shared" si="436"/>
        <v>1.5602752028143994</v>
      </c>
      <c r="S576">
        <f t="shared" si="437"/>
        <v>0.63401882921281782</v>
      </c>
      <c r="T576">
        <f t="shared" si="438"/>
        <v>-0.88405724882959957</v>
      </c>
      <c r="U576">
        <f t="shared" si="439"/>
        <v>0.46549665147272745</v>
      </c>
      <c r="V576">
        <f t="shared" si="440"/>
        <v>-1.0866006417052012</v>
      </c>
      <c r="X576">
        <f t="shared" si="457"/>
        <v>-27.1979316147738</v>
      </c>
      <c r="Y576">
        <f t="shared" si="441"/>
        <v>-138.85635417694647</v>
      </c>
      <c r="Z576">
        <f t="shared" si="458"/>
        <v>41.143645823053532</v>
      </c>
      <c r="AC576">
        <v>1</v>
      </c>
      <c r="AD576">
        <f t="shared" si="442"/>
        <v>232.77366846392403</v>
      </c>
      <c r="AE576">
        <f t="shared" si="443"/>
        <v>-1.4824509091697077E-2</v>
      </c>
      <c r="AF576">
        <f t="shared" si="444"/>
        <v>7.7970308334408007E-3</v>
      </c>
      <c r="AG576">
        <f t="shared" si="473"/>
        <v>6416.1694589597591</v>
      </c>
      <c r="AH576">
        <f t="shared" si="474"/>
        <v>-12327.328765455477</v>
      </c>
      <c r="AJ576">
        <f t="shared" si="445"/>
        <v>55000</v>
      </c>
      <c r="AK576">
        <f t="shared" si="446"/>
        <v>67083.920111958767</v>
      </c>
      <c r="AL576">
        <v>1</v>
      </c>
      <c r="AM576">
        <f t="shared" si="447"/>
        <v>95.04337213064926</v>
      </c>
      <c r="AN576">
        <f t="shared" si="475"/>
        <v>711.83410473991273</v>
      </c>
      <c r="AO576">
        <f t="shared" si="476"/>
        <v>-571.19360012431036</v>
      </c>
      <c r="AQ576">
        <f t="shared" si="448"/>
        <v>3.4752256426779154E-3</v>
      </c>
      <c r="AR576">
        <f t="shared" si="449"/>
        <v>-3.3149134837811833</v>
      </c>
      <c r="AT576">
        <f t="shared" si="470"/>
        <v>-40841.730706980466</v>
      </c>
      <c r="AU576">
        <f t="shared" si="471"/>
        <v>-21311.886902762159</v>
      </c>
      <c r="AV576">
        <f t="shared" si="459"/>
        <v>-2.6606446001279229</v>
      </c>
      <c r="AW576">
        <f t="shared" si="460"/>
        <v>4775.9483207235216</v>
      </c>
      <c r="AX576">
        <f t="shared" si="461"/>
        <v>-17578.518621890795</v>
      </c>
      <c r="AY576">
        <f t="shared" si="469"/>
        <v>-1.3055078424879327</v>
      </c>
      <c r="BA576">
        <f t="shared" si="450"/>
        <v>2.5290082876938849</v>
      </c>
      <c r="BB576">
        <f t="shared" si="462"/>
        <v>8.0590050510543616</v>
      </c>
      <c r="BC576">
        <f t="shared" si="463"/>
        <v>-1.3551367576399902</v>
      </c>
      <c r="BD576">
        <f t="shared" si="451"/>
        <v>-257.64361696453494</v>
      </c>
      <c r="BF576">
        <f t="shared" si="452"/>
        <v>-42.791136734786534</v>
      </c>
      <c r="BG576">
        <f t="shared" si="453"/>
        <v>-192.74063300760142</v>
      </c>
      <c r="BH576">
        <f t="shared" si="464"/>
        <v>-12.740633007601417</v>
      </c>
      <c r="BI576">
        <f t="shared" si="465"/>
        <v>-12.740633007601417</v>
      </c>
      <c r="BJ576">
        <f t="shared" si="454"/>
        <v>0</v>
      </c>
      <c r="BK576">
        <f t="shared" si="466"/>
        <v>0</v>
      </c>
      <c r="BM576">
        <f t="shared" si="467"/>
        <v>-50.85014178584089</v>
      </c>
      <c r="BN576">
        <f t="shared" si="455"/>
        <v>-115.09701604306652</v>
      </c>
      <c r="BQ576" s="75">
        <f t="shared" si="468"/>
        <v>24.960965851339498</v>
      </c>
    </row>
    <row r="577" spans="1:69">
      <c r="A577">
        <f t="shared" si="472"/>
        <v>1815000</v>
      </c>
      <c r="B577">
        <f t="shared" si="456"/>
        <v>1815</v>
      </c>
      <c r="C577">
        <f t="shared" si="425"/>
        <v>2.3450452295443536</v>
      </c>
      <c r="D577">
        <f t="shared" si="426"/>
        <v>1.1302529673166146</v>
      </c>
      <c r="F577">
        <f t="shared" si="427"/>
        <v>1.3541989171350361E-4</v>
      </c>
      <c r="G577">
        <f t="shared" si="428"/>
        <v>3.5729001337083599E-3</v>
      </c>
      <c r="H577">
        <f t="shared" si="429"/>
        <v>-3.1380197498662921</v>
      </c>
      <c r="J577">
        <f t="shared" si="430"/>
        <v>9</v>
      </c>
      <c r="M577">
        <f t="shared" si="431"/>
        <v>2.3254660544189845E-3</v>
      </c>
      <c r="N577">
        <f t="shared" si="432"/>
        <v>-1.5707963250000001</v>
      </c>
      <c r="O577">
        <f t="shared" si="433"/>
        <v>233.41883172959609</v>
      </c>
      <c r="P577">
        <f t="shared" si="434"/>
        <v>1.5665121692074486</v>
      </c>
      <c r="Q577">
        <f t="shared" si="435"/>
        <v>95.311169001667025</v>
      </c>
      <c r="R577">
        <f t="shared" si="436"/>
        <v>1.560304184497004</v>
      </c>
      <c r="S577">
        <f t="shared" si="437"/>
        <v>0.63297258566169723</v>
      </c>
      <c r="T577">
        <f t="shared" si="438"/>
        <v>-0.88540942837543701</v>
      </c>
      <c r="U577">
        <f t="shared" si="439"/>
        <v>0.46449126295670945</v>
      </c>
      <c r="V577">
        <f t="shared" si="440"/>
        <v>-1.0877362713018963</v>
      </c>
      <c r="X577">
        <f t="shared" si="457"/>
        <v>-27.235433258451533</v>
      </c>
      <c r="Y577">
        <f t="shared" si="441"/>
        <v>-138.93610351872337</v>
      </c>
      <c r="Z577">
        <f t="shared" si="458"/>
        <v>41.063896481276629</v>
      </c>
      <c r="AC577">
        <v>1</v>
      </c>
      <c r="AD577">
        <f t="shared" si="442"/>
        <v>233.416689647526</v>
      </c>
      <c r="AE577">
        <f t="shared" si="443"/>
        <v>-1.490652558303953E-2</v>
      </c>
      <c r="AF577">
        <f t="shared" si="444"/>
        <v>7.8185695926491997E-3</v>
      </c>
      <c r="AG577">
        <f t="shared" si="473"/>
        <v>6388.4838597112766</v>
      </c>
      <c r="AH577">
        <f t="shared" si="474"/>
        <v>-12307.890458901089</v>
      </c>
      <c r="AJ577">
        <f t="shared" si="445"/>
        <v>55000</v>
      </c>
      <c r="AK577">
        <f t="shared" si="446"/>
        <v>67269.234808400637</v>
      </c>
      <c r="AL577">
        <v>1</v>
      </c>
      <c r="AM577">
        <f t="shared" si="447"/>
        <v>95.305922882391386</v>
      </c>
      <c r="AN577">
        <f t="shared" si="475"/>
        <v>711.8010420303234</v>
      </c>
      <c r="AO577">
        <f t="shared" si="476"/>
        <v>-569.62041094719723</v>
      </c>
      <c r="AQ577">
        <f t="shared" si="448"/>
        <v>3.4561047884781046E-3</v>
      </c>
      <c r="AR577">
        <f t="shared" si="449"/>
        <v>-3.3057815107032495</v>
      </c>
      <c r="AT577">
        <f t="shared" si="470"/>
        <v>-40665.11744513749</v>
      </c>
      <c r="AU577">
        <f t="shared" si="471"/>
        <v>-21161.469184010744</v>
      </c>
      <c r="AV577">
        <f t="shared" si="459"/>
        <v>-2.6617712832239167</v>
      </c>
      <c r="AW577">
        <f t="shared" si="460"/>
        <v>4760.5982369075491</v>
      </c>
      <c r="AX577">
        <f t="shared" si="461"/>
        <v>-17543.40636294362</v>
      </c>
      <c r="AY577">
        <f t="shared" si="469"/>
        <v>-1.3058162996258738</v>
      </c>
      <c r="BA577">
        <f t="shared" si="450"/>
        <v>2.5218420945149078</v>
      </c>
      <c r="BB577">
        <f t="shared" si="462"/>
        <v>8.0343577936089243</v>
      </c>
      <c r="BC577">
        <f t="shared" si="463"/>
        <v>-1.3559549835980429</v>
      </c>
      <c r="BD577">
        <f t="shared" si="451"/>
        <v>-257.69049785867298</v>
      </c>
      <c r="BF577">
        <f t="shared" si="452"/>
        <v>-42.844118304091161</v>
      </c>
      <c r="BG577">
        <f t="shared" si="453"/>
        <v>-192.72706087677841</v>
      </c>
      <c r="BH577">
        <f t="shared" si="464"/>
        <v>-12.72706087677841</v>
      </c>
      <c r="BI577">
        <f t="shared" si="465"/>
        <v>-12.72706087677841</v>
      </c>
      <c r="BJ577">
        <f t="shared" si="454"/>
        <v>0</v>
      </c>
      <c r="BK577">
        <f t="shared" si="466"/>
        <v>0</v>
      </c>
      <c r="BM577">
        <f t="shared" si="467"/>
        <v>-50.878476097700087</v>
      </c>
      <c r="BN577">
        <f t="shared" si="455"/>
        <v>-115.03656301810548</v>
      </c>
      <c r="BQ577" s="75">
        <f t="shared" si="468"/>
        <v>24.936318593894061</v>
      </c>
    </row>
    <row r="578" spans="1:69">
      <c r="A578">
        <f t="shared" si="472"/>
        <v>1820000</v>
      </c>
      <c r="B578">
        <f t="shared" si="456"/>
        <v>1820</v>
      </c>
      <c r="C578">
        <f t="shared" si="425"/>
        <v>2.3503319890546583</v>
      </c>
      <c r="D578">
        <f t="shared" si="426"/>
        <v>1.1313131542875918</v>
      </c>
      <c r="F578">
        <f t="shared" si="427"/>
        <v>1.3467675294650568E-4</v>
      </c>
      <c r="G578">
        <f t="shared" si="428"/>
        <v>3.5630819059076276E-3</v>
      </c>
      <c r="H578">
        <f t="shared" si="429"/>
        <v>-3.1380295680940926</v>
      </c>
      <c r="J578">
        <f t="shared" si="430"/>
        <v>9</v>
      </c>
      <c r="M578">
        <f t="shared" si="431"/>
        <v>2.3190774114123388E-3</v>
      </c>
      <c r="N578">
        <f t="shared" si="432"/>
        <v>-1.5707963250000001</v>
      </c>
      <c r="O578">
        <f t="shared" si="433"/>
        <v>234.06184702841102</v>
      </c>
      <c r="P578">
        <f t="shared" si="434"/>
        <v>1.5665239387277303</v>
      </c>
      <c r="Q578">
        <f t="shared" si="435"/>
        <v>95.57370534178358</v>
      </c>
      <c r="R578">
        <f t="shared" si="436"/>
        <v>1.5603330069570758</v>
      </c>
      <c r="S578">
        <f t="shared" si="437"/>
        <v>0.63192863969061863</v>
      </c>
      <c r="T578">
        <f t="shared" si="438"/>
        <v>-0.88675715014635881</v>
      </c>
      <c r="U578">
        <f t="shared" si="439"/>
        <v>0.46348961411353307</v>
      </c>
      <c r="V578">
        <f t="shared" si="440"/>
        <v>-1.0888670045110596</v>
      </c>
      <c r="X578">
        <f t="shared" si="457"/>
        <v>-27.272865986286597</v>
      </c>
      <c r="Y578">
        <f t="shared" si="441"/>
        <v>-139.01560108381344</v>
      </c>
      <c r="Z578">
        <f t="shared" si="458"/>
        <v>40.984398916186564</v>
      </c>
      <c r="AC578">
        <v>1</v>
      </c>
      <c r="AD578">
        <f t="shared" si="442"/>
        <v>234.05971083112803</v>
      </c>
      <c r="AE578">
        <f t="shared" si="443"/>
        <v>-1.4988768326771894E-2</v>
      </c>
      <c r="AF578">
        <f t="shared" si="444"/>
        <v>7.8401083518576005E-3</v>
      </c>
      <c r="AG578">
        <f t="shared" si="473"/>
        <v>6360.9607675891766</v>
      </c>
      <c r="AH578">
        <f t="shared" si="474"/>
        <v>-12288.473954349394</v>
      </c>
      <c r="AJ578">
        <f t="shared" si="445"/>
        <v>55000</v>
      </c>
      <c r="AK578">
        <f t="shared" si="446"/>
        <v>67454.549504842507</v>
      </c>
      <c r="AL578">
        <v>1</v>
      </c>
      <c r="AM578">
        <f t="shared" si="447"/>
        <v>95.568473634133511</v>
      </c>
      <c r="AN578">
        <f t="shared" si="475"/>
        <v>711.76825140133917</v>
      </c>
      <c r="AO578">
        <f t="shared" si="476"/>
        <v>-568.05586281969158</v>
      </c>
      <c r="AQ578">
        <f t="shared" si="448"/>
        <v>3.4371413069390192E-3</v>
      </c>
      <c r="AR578">
        <f t="shared" si="449"/>
        <v>-3.2966997131374911</v>
      </c>
      <c r="AT578">
        <f t="shared" si="470"/>
        <v>-40489.54503919508</v>
      </c>
      <c r="AU578">
        <f t="shared" si="471"/>
        <v>-21012.414759217812</v>
      </c>
      <c r="AV578">
        <f t="shared" si="459"/>
        <v>-2.6628931190878031</v>
      </c>
      <c r="AW578">
        <f t="shared" si="460"/>
        <v>4745.3140496085953</v>
      </c>
      <c r="AX578">
        <f t="shared" si="461"/>
        <v>-17508.409376195927</v>
      </c>
      <c r="AY578">
        <f t="shared" si="469"/>
        <v>-1.3061242020617494</v>
      </c>
      <c r="BA578">
        <f t="shared" si="450"/>
        <v>2.5147166832960783</v>
      </c>
      <c r="BB578">
        <f t="shared" si="462"/>
        <v>8.0097812605060987</v>
      </c>
      <c r="BC578">
        <f t="shared" si="463"/>
        <v>-1.3567689170260537</v>
      </c>
      <c r="BD578">
        <f t="shared" si="451"/>
        <v>-257.73713280895589</v>
      </c>
      <c r="BF578">
        <f t="shared" si="452"/>
        <v>-42.896931579235172</v>
      </c>
      <c r="BG578">
        <f t="shared" si="453"/>
        <v>-192.7135141310761</v>
      </c>
      <c r="BH578">
        <f t="shared" si="464"/>
        <v>-12.713514131076096</v>
      </c>
      <c r="BI578">
        <f t="shared" si="465"/>
        <v>-12.713514131076096</v>
      </c>
      <c r="BJ578">
        <f t="shared" si="454"/>
        <v>0</v>
      </c>
      <c r="BK578">
        <f t="shared" si="466"/>
        <v>0</v>
      </c>
      <c r="BM578">
        <f t="shared" si="467"/>
        <v>-50.906712839741274</v>
      </c>
      <c r="BN578">
        <f t="shared" si="455"/>
        <v>-114.97638132212022</v>
      </c>
      <c r="BQ578" s="75">
        <f t="shared" si="468"/>
        <v>24.911742060791234</v>
      </c>
    </row>
    <row r="579" spans="1:69">
      <c r="A579">
        <f t="shared" si="472"/>
        <v>1825000</v>
      </c>
      <c r="B579">
        <f t="shared" si="456"/>
        <v>1825</v>
      </c>
      <c r="C579">
        <f t="shared" si="425"/>
        <v>2.355621378470051</v>
      </c>
      <c r="D579">
        <f t="shared" si="426"/>
        <v>1.1323685812833162</v>
      </c>
      <c r="F579">
        <f t="shared" si="427"/>
        <v>1.3393971483935944E-4</v>
      </c>
      <c r="G579">
        <f t="shared" si="428"/>
        <v>3.5533174976398558E-3</v>
      </c>
      <c r="H579">
        <f t="shared" si="429"/>
        <v>-3.1380393325023603</v>
      </c>
      <c r="J579">
        <f t="shared" si="430"/>
        <v>9</v>
      </c>
      <c r="M579">
        <f t="shared" si="431"/>
        <v>2.3127237746687433E-3</v>
      </c>
      <c r="N579">
        <f t="shared" si="432"/>
        <v>-1.5707963250000001</v>
      </c>
      <c r="O579">
        <f t="shared" si="433"/>
        <v>234.70486235947092</v>
      </c>
      <c r="P579">
        <f t="shared" si="434"/>
        <v>1.5665356437586637</v>
      </c>
      <c r="Q579">
        <f t="shared" si="435"/>
        <v>95.836241760861483</v>
      </c>
      <c r="R579">
        <f t="shared" si="436"/>
        <v>1.5603616715031019</v>
      </c>
      <c r="S579">
        <f t="shared" si="437"/>
        <v>0.63088699129928827</v>
      </c>
      <c r="T579">
        <f t="shared" si="438"/>
        <v>-0.88810043127848426</v>
      </c>
      <c r="U579">
        <f t="shared" si="439"/>
        <v>0.46249168846139066</v>
      </c>
      <c r="V579">
        <f t="shared" si="440"/>
        <v>-1.0899928700587109</v>
      </c>
      <c r="X579">
        <f t="shared" si="457"/>
        <v>-27.310230047140283</v>
      </c>
      <c r="Y579">
        <f t="shared" si="441"/>
        <v>-139.09484770821743</v>
      </c>
      <c r="Z579">
        <f t="shared" si="458"/>
        <v>40.905152291782571</v>
      </c>
      <c r="AC579">
        <v>1</v>
      </c>
      <c r="AD579">
        <f t="shared" si="442"/>
        <v>234.70273201473003</v>
      </c>
      <c r="AE579">
        <f t="shared" si="443"/>
        <v>-1.5071237322894167E-2</v>
      </c>
      <c r="AF579">
        <f t="shared" si="444"/>
        <v>7.8616471110659995E-3</v>
      </c>
      <c r="AG579">
        <f t="shared" si="473"/>
        <v>6333.5990656804161</v>
      </c>
      <c r="AH579">
        <f t="shared" si="474"/>
        <v>-12269.07965522399</v>
      </c>
      <c r="AJ579">
        <f t="shared" si="445"/>
        <v>55000</v>
      </c>
      <c r="AK579">
        <f t="shared" si="446"/>
        <v>67639.864201284377</v>
      </c>
      <c r="AL579">
        <v>1</v>
      </c>
      <c r="AM579">
        <f t="shared" si="447"/>
        <v>95.831024385875637</v>
      </c>
      <c r="AN579">
        <f t="shared" si="475"/>
        <v>711.73572987588489</v>
      </c>
      <c r="AO579">
        <f t="shared" si="476"/>
        <v>-566.49988475053362</v>
      </c>
      <c r="AQ579">
        <f t="shared" si="448"/>
        <v>3.4183334757965519E-3</v>
      </c>
      <c r="AR579">
        <f t="shared" si="449"/>
        <v>-3.2876676786842287</v>
      </c>
      <c r="AT579">
        <f t="shared" si="470"/>
        <v>-40315.006275973668</v>
      </c>
      <c r="AU579">
        <f t="shared" si="471"/>
        <v>-20864.708743684801</v>
      </c>
      <c r="AV579">
        <f t="shared" si="459"/>
        <v>-2.6640101360415973</v>
      </c>
      <c r="AW579">
        <f t="shared" si="460"/>
        <v>4730.0956494005532</v>
      </c>
      <c r="AX579">
        <f t="shared" si="461"/>
        <v>-17473.527242496326</v>
      </c>
      <c r="AY579">
        <f t="shared" si="469"/>
        <v>-1.3064315394918795</v>
      </c>
      <c r="BA579">
        <f t="shared" si="450"/>
        <v>2.5076317052862858</v>
      </c>
      <c r="BB579">
        <f t="shared" si="462"/>
        <v>7.9852750442335738</v>
      </c>
      <c r="BC579">
        <f t="shared" si="463"/>
        <v>-1.3575785965497178</v>
      </c>
      <c r="BD579">
        <f t="shared" si="451"/>
        <v>-257.78352402847304</v>
      </c>
      <c r="BF579">
        <f t="shared" si="452"/>
        <v>-42.949577625203979</v>
      </c>
      <c r="BG579">
        <f t="shared" si="453"/>
        <v>-192.69999329746875</v>
      </c>
      <c r="BH579">
        <f t="shared" si="464"/>
        <v>-12.699993297468751</v>
      </c>
      <c r="BI579">
        <f t="shared" si="465"/>
        <v>-12.699993297468751</v>
      </c>
      <c r="BJ579">
        <f t="shared" si="454"/>
        <v>0</v>
      </c>
      <c r="BK579">
        <f t="shared" si="466"/>
        <v>0</v>
      </c>
      <c r="BM579">
        <f t="shared" si="467"/>
        <v>-50.934852669437554</v>
      </c>
      <c r="BN579">
        <f t="shared" si="455"/>
        <v>-114.91646926899574</v>
      </c>
      <c r="BQ579" s="75">
        <f t="shared" si="468"/>
        <v>24.887235844518713</v>
      </c>
    </row>
    <row r="580" spans="1:69">
      <c r="A580">
        <f t="shared" si="472"/>
        <v>1830000</v>
      </c>
      <c r="B580">
        <f t="shared" si="456"/>
        <v>1830</v>
      </c>
      <c r="C580">
        <f t="shared" si="425"/>
        <v>2.3609133801144151</v>
      </c>
      <c r="D580">
        <f t="shared" si="426"/>
        <v>1.1334192779530616</v>
      </c>
      <c r="F580">
        <f t="shared" si="427"/>
        <v>1.3320871079520983E-4</v>
      </c>
      <c r="G580">
        <f t="shared" si="428"/>
        <v>3.5436064675324463E-3</v>
      </c>
      <c r="H580">
        <f t="shared" si="429"/>
        <v>-3.1380490435324679</v>
      </c>
      <c r="J580">
        <f t="shared" si="430"/>
        <v>9</v>
      </c>
      <c r="M580">
        <f t="shared" si="431"/>
        <v>2.3064048572516158E-3</v>
      </c>
      <c r="N580">
        <f t="shared" si="432"/>
        <v>-1.5707963250000001</v>
      </c>
      <c r="O580">
        <f t="shared" si="433"/>
        <v>235.3478777225115</v>
      </c>
      <c r="P580">
        <f t="shared" si="434"/>
        <v>1.5665472848288373</v>
      </c>
      <c r="Q580">
        <f t="shared" si="435"/>
        <v>96.098778258253574</v>
      </c>
      <c r="R580">
        <f t="shared" si="436"/>
        <v>1.5603901794292723</v>
      </c>
      <c r="S580">
        <f t="shared" si="437"/>
        <v>0.62984764039421126</v>
      </c>
      <c r="T580">
        <f t="shared" si="438"/>
        <v>-0.88943928885929657</v>
      </c>
      <c r="U580">
        <f t="shared" si="439"/>
        <v>0.46149746956839088</v>
      </c>
      <c r="V580">
        <f t="shared" si="440"/>
        <v>-1.0911138964734397</v>
      </c>
      <c r="X580">
        <f t="shared" si="457"/>
        <v>-27.34752568814698</v>
      </c>
      <c r="Y580">
        <f t="shared" si="441"/>
        <v>-139.17384422761683</v>
      </c>
      <c r="Z580">
        <f t="shared" si="458"/>
        <v>40.826155772383174</v>
      </c>
      <c r="AC580">
        <v>1</v>
      </c>
      <c r="AD580">
        <f t="shared" si="442"/>
        <v>235.34575319833203</v>
      </c>
      <c r="AE580">
        <f t="shared" si="443"/>
        <v>-1.5153932571406349E-2</v>
      </c>
      <c r="AF580">
        <f t="shared" si="444"/>
        <v>7.8831858702744003E-3</v>
      </c>
      <c r="AG580">
        <f t="shared" si="473"/>
        <v>6306.3976448023686</v>
      </c>
      <c r="AH580">
        <f t="shared" si="474"/>
        <v>-12249.707956518037</v>
      </c>
      <c r="AJ580">
        <f t="shared" si="445"/>
        <v>55000</v>
      </c>
      <c r="AK580">
        <f t="shared" si="446"/>
        <v>67825.178897726262</v>
      </c>
      <c r="AL580">
        <v>1</v>
      </c>
      <c r="AM580">
        <f t="shared" si="447"/>
        <v>96.093575137617762</v>
      </c>
      <c r="AN580">
        <f t="shared" si="475"/>
        <v>711.70347451749114</v>
      </c>
      <c r="AO580">
        <f t="shared" si="476"/>
        <v>-564.95240652390146</v>
      </c>
      <c r="AQ580">
        <f t="shared" si="448"/>
        <v>3.399679596282556E-3</v>
      </c>
      <c r="AR580">
        <f t="shared" si="449"/>
        <v>-3.2786849994508596</v>
      </c>
      <c r="AT580">
        <f t="shared" si="470"/>
        <v>-40141.493993290453</v>
      </c>
      <c r="AU580">
        <f t="shared" si="471"/>
        <v>-20718.336440785948</v>
      </c>
      <c r="AV580">
        <f t="shared" si="459"/>
        <v>-2.6651223622142997</v>
      </c>
      <c r="AW580">
        <f t="shared" si="460"/>
        <v>4714.9429214092088</v>
      </c>
      <c r="AX580">
        <f t="shared" si="461"/>
        <v>-17438.759543699074</v>
      </c>
      <c r="AY580">
        <f t="shared" si="469"/>
        <v>-1.3067383018868715</v>
      </c>
      <c r="BA580">
        <f t="shared" si="450"/>
        <v>2.5005868156952729</v>
      </c>
      <c r="BB580">
        <f t="shared" si="462"/>
        <v>7.9608387407442631</v>
      </c>
      <c r="BC580">
        <f t="shared" si="463"/>
        <v>-1.3583840603274282</v>
      </c>
      <c r="BD580">
        <f t="shared" si="451"/>
        <v>-257.82967370353924</v>
      </c>
      <c r="BF580">
        <f t="shared" si="452"/>
        <v>-43.002057497202195</v>
      </c>
      <c r="BG580">
        <f t="shared" si="453"/>
        <v>-192.68649888878184</v>
      </c>
      <c r="BH580">
        <f t="shared" si="464"/>
        <v>-12.686498888781841</v>
      </c>
      <c r="BI580">
        <f t="shared" si="465"/>
        <v>-12.686498888781841</v>
      </c>
      <c r="BJ580">
        <f t="shared" si="454"/>
        <v>0</v>
      </c>
      <c r="BK580">
        <f t="shared" si="466"/>
        <v>0</v>
      </c>
      <c r="BM580">
        <f t="shared" si="467"/>
        <v>-50.962896237946453</v>
      </c>
      <c r="BN580">
        <f t="shared" si="455"/>
        <v>-114.85682518524264</v>
      </c>
      <c r="BQ580" s="75">
        <f t="shared" si="468"/>
        <v>24.8627995410294</v>
      </c>
    </row>
    <row r="581" spans="1:69">
      <c r="A581">
        <f t="shared" si="472"/>
        <v>1835000</v>
      </c>
      <c r="B581">
        <f t="shared" si="456"/>
        <v>1835</v>
      </c>
      <c r="C581">
        <f t="shared" si="425"/>
        <v>2.3662079764610762</v>
      </c>
      <c r="D581">
        <f t="shared" si="426"/>
        <v>1.1344652737227048</v>
      </c>
      <c r="F581">
        <f t="shared" si="427"/>
        <v>1.3248367512350809E-4</v>
      </c>
      <c r="G581">
        <f t="shared" si="428"/>
        <v>3.5339483790265127E-3</v>
      </c>
      <c r="H581">
        <f t="shared" si="429"/>
        <v>-3.1380587016209738</v>
      </c>
      <c r="J581">
        <f t="shared" si="430"/>
        <v>9</v>
      </c>
      <c r="M581">
        <f t="shared" si="431"/>
        <v>2.3001203753517476E-3</v>
      </c>
      <c r="N581">
        <f t="shared" si="432"/>
        <v>-1.5707963250000001</v>
      </c>
      <c r="O581">
        <f t="shared" si="433"/>
        <v>235.99089311727133</v>
      </c>
      <c r="P581">
        <f t="shared" si="434"/>
        <v>1.5665588624610787</v>
      </c>
      <c r="Q581">
        <f t="shared" si="435"/>
        <v>96.361314833319753</v>
      </c>
      <c r="R581">
        <f t="shared" si="436"/>
        <v>1.5604185320156736</v>
      </c>
      <c r="S581">
        <f t="shared" si="437"/>
        <v>0.62881058679007162</v>
      </c>
      <c r="T581">
        <f t="shared" si="438"/>
        <v>-0.89077373992735909</v>
      </c>
      <c r="U581">
        <f t="shared" si="439"/>
        <v>0.4605069410531385</v>
      </c>
      <c r="V581">
        <f t="shared" si="440"/>
        <v>-1.092230112087774</v>
      </c>
      <c r="X581">
        <f t="shared" si="457"/>
        <v>-27.384753154736408</v>
      </c>
      <c r="Y581">
        <f t="shared" si="441"/>
        <v>-139.25259147731867</v>
      </c>
      <c r="Z581">
        <f t="shared" si="458"/>
        <v>40.747408522681326</v>
      </c>
      <c r="AC581">
        <v>1</v>
      </c>
      <c r="AD581">
        <f t="shared" si="442"/>
        <v>235.98877438193401</v>
      </c>
      <c r="AE581">
        <f t="shared" si="443"/>
        <v>-1.5236854072308443E-2</v>
      </c>
      <c r="AF581">
        <f t="shared" si="444"/>
        <v>7.9047246294827993E-3</v>
      </c>
      <c r="AG581">
        <f t="shared" si="473"/>
        <v>6279.3554034677645</v>
      </c>
      <c r="AH581">
        <f t="shared" si="474"/>
        <v>-12230.359244927346</v>
      </c>
      <c r="AJ581">
        <f t="shared" si="445"/>
        <v>55000</v>
      </c>
      <c r="AK581">
        <f t="shared" si="446"/>
        <v>68010.493594168132</v>
      </c>
      <c r="AL581">
        <v>1</v>
      </c>
      <c r="AM581">
        <f t="shared" si="447"/>
        <v>96.356125889359888</v>
      </c>
      <c r="AN581">
        <f t="shared" si="475"/>
        <v>711.67148242963196</v>
      </c>
      <c r="AO581">
        <f t="shared" si="476"/>
        <v>-563.41335868885471</v>
      </c>
      <c r="AQ581">
        <f t="shared" si="448"/>
        <v>3.3811779927412403E-3</v>
      </c>
      <c r="AR581">
        <f t="shared" si="449"/>
        <v>-3.2697512719904527</v>
      </c>
      <c r="AT581">
        <f t="shared" si="470"/>
        <v>-39969.001079702575</v>
      </c>
      <c r="AU581">
        <f t="shared" si="471"/>
        <v>-20573.283339291112</v>
      </c>
      <c r="AV581">
        <f t="shared" si="459"/>
        <v>-2.6662298255432044</v>
      </c>
      <c r="AW581">
        <f t="shared" si="460"/>
        <v>4699.8557454854508</v>
      </c>
      <c r="AX581">
        <f t="shared" si="461"/>
        <v>-17404.105862664856</v>
      </c>
      <c r="AY581">
        <f t="shared" si="469"/>
        <v>-1.3070444794858398</v>
      </c>
      <c r="BA581">
        <f t="shared" si="450"/>
        <v>2.493581673637951</v>
      </c>
      <c r="BB581">
        <f t="shared" si="462"/>
        <v>7.936471949418352</v>
      </c>
      <c r="BC581">
        <f t="shared" si="463"/>
        <v>-1.3591853460573646</v>
      </c>
      <c r="BD581">
        <f t="shared" si="451"/>
        <v>-257.87558399410108</v>
      </c>
      <c r="BF581">
        <f t="shared" si="452"/>
        <v>-43.054372240767989</v>
      </c>
      <c r="BG581">
        <f t="shared" si="453"/>
        <v>-192.67303140399633</v>
      </c>
      <c r="BH581">
        <f t="shared" si="464"/>
        <v>-12.673031403996333</v>
      </c>
      <c r="BI581">
        <f t="shared" si="465"/>
        <v>-12.673031403996333</v>
      </c>
      <c r="BJ581">
        <f t="shared" si="454"/>
        <v>0</v>
      </c>
      <c r="BK581">
        <f t="shared" si="466"/>
        <v>0</v>
      </c>
      <c r="BM581">
        <f t="shared" si="467"/>
        <v>-50.990844190186344</v>
      </c>
      <c r="BN581">
        <f t="shared" si="455"/>
        <v>-114.79744740989524</v>
      </c>
      <c r="BQ581" s="75">
        <f t="shared" si="468"/>
        <v>24.83843274970349</v>
      </c>
    </row>
    <row r="582" spans="1:69">
      <c r="A582">
        <f t="shared" si="472"/>
        <v>1840000</v>
      </c>
      <c r="B582">
        <f t="shared" si="456"/>
        <v>1840</v>
      </c>
      <c r="C582">
        <f t="shared" si="425"/>
        <v>2.371505150131322</v>
      </c>
      <c r="D582">
        <f t="shared" si="426"/>
        <v>1.1355065977965499</v>
      </c>
      <c r="F582">
        <f t="shared" si="427"/>
        <v>1.317645430252508E-4</v>
      </c>
      <c r="G582">
        <f t="shared" si="428"/>
        <v>3.5243428003114193E-3</v>
      </c>
      <c r="H582">
        <f t="shared" si="429"/>
        <v>-3.1380683071996889</v>
      </c>
      <c r="J582">
        <f t="shared" si="430"/>
        <v>9</v>
      </c>
      <c r="M582">
        <f t="shared" si="431"/>
        <v>2.2938700482448135E-3</v>
      </c>
      <c r="N582">
        <f t="shared" si="432"/>
        <v>-1.5707963250000001</v>
      </c>
      <c r="O582">
        <f t="shared" si="433"/>
        <v>236.63390854349183</v>
      </c>
      <c r="P582">
        <f t="shared" si="434"/>
        <v>1.5665703771725326</v>
      </c>
      <c r="Q582">
        <f t="shared" si="435"/>
        <v>96.623851485426897</v>
      </c>
      <c r="R582">
        <f t="shared" si="436"/>
        <v>1.5604467305284813</v>
      </c>
      <c r="S582">
        <f t="shared" si="437"/>
        <v>0.62777583021109862</v>
      </c>
      <c r="T582">
        <f t="shared" si="438"/>
        <v>-0.89210380147203938</v>
      </c>
      <c r="U582">
        <f t="shared" si="439"/>
        <v>0.4595200865852952</v>
      </c>
      <c r="V582">
        <f t="shared" si="440"/>
        <v>-1.0933415450395423</v>
      </c>
      <c r="X582">
        <f t="shared" si="457"/>
        <v>-27.421912690655414</v>
      </c>
      <c r="Y582">
        <f t="shared" si="441"/>
        <v>-139.33109029220168</v>
      </c>
      <c r="Z582">
        <f t="shared" si="458"/>
        <v>40.668909707798321</v>
      </c>
      <c r="AC582">
        <v>1</v>
      </c>
      <c r="AD582">
        <f t="shared" si="442"/>
        <v>236.63179556553604</v>
      </c>
      <c r="AE582">
        <f t="shared" si="443"/>
        <v>-1.5320001825600449E-2</v>
      </c>
      <c r="AF582">
        <f t="shared" si="444"/>
        <v>7.9262633886912001E-3</v>
      </c>
      <c r="AG582">
        <f t="shared" si="473"/>
        <v>6252.471247849182</v>
      </c>
      <c r="AH582">
        <f t="shared" si="474"/>
        <v>-12211.033898981445</v>
      </c>
      <c r="AJ582">
        <f t="shared" si="445"/>
        <v>55000</v>
      </c>
      <c r="AK582">
        <f t="shared" si="446"/>
        <v>68195.808290610003</v>
      </c>
      <c r="AL582">
        <v>1</v>
      </c>
      <c r="AM582">
        <f t="shared" si="447"/>
        <v>96.618676641102013</v>
      </c>
      <c r="AN582">
        <f t="shared" si="475"/>
        <v>711.63975075507426</v>
      </c>
      <c r="AO582">
        <f t="shared" si="476"/>
        <v>-561.88267254894708</v>
      </c>
      <c r="AQ582">
        <f t="shared" si="448"/>
        <v>3.362827012252852E-3</v>
      </c>
      <c r="AR582">
        <f t="shared" si="449"/>
        <v>-3.2608660972413457</v>
      </c>
      <c r="AT582">
        <f t="shared" si="470"/>
        <v>-39797.520474247794</v>
      </c>
      <c r="AU582">
        <f t="shared" si="471"/>
        <v>-20429.535110730718</v>
      </c>
      <c r="AV582">
        <f t="shared" si="459"/>
        <v>-2.6673325537752013</v>
      </c>
      <c r="AW582">
        <f t="shared" si="460"/>
        <v>4684.8339963741582</v>
      </c>
      <c r="AX582">
        <f t="shared" si="461"/>
        <v>-17369.565783261787</v>
      </c>
      <c r="AY582">
        <f t="shared" si="469"/>
        <v>-1.3073500627907455</v>
      </c>
      <c r="BA582">
        <f t="shared" si="450"/>
        <v>2.4866159420796339</v>
      </c>
      <c r="BB582">
        <f t="shared" si="462"/>
        <v>7.9121742730258129</v>
      </c>
      <c r="BC582">
        <f t="shared" si="463"/>
        <v>-1.3599824909844558</v>
      </c>
      <c r="BD582">
        <f t="shared" si="451"/>
        <v>-257.92125703413586</v>
      </c>
      <c r="BF582">
        <f t="shared" si="452"/>
        <v>-43.106522891885987</v>
      </c>
      <c r="BG582">
        <f t="shared" si="453"/>
        <v>-192.65959132854701</v>
      </c>
      <c r="BH582">
        <f t="shared" si="464"/>
        <v>-12.659591328547009</v>
      </c>
      <c r="BI582">
        <f t="shared" si="465"/>
        <v>-12.659591328547009</v>
      </c>
      <c r="BJ582">
        <f t="shared" si="454"/>
        <v>0</v>
      </c>
      <c r="BK582">
        <f t="shared" si="466"/>
        <v>0</v>
      </c>
      <c r="BM582">
        <f t="shared" si="467"/>
        <v>-51.018697164911799</v>
      </c>
      <c r="BN582">
        <f t="shared" si="455"/>
        <v>-114.73833429441115</v>
      </c>
      <c r="BQ582" s="75">
        <f t="shared" si="468"/>
        <v>24.814135073310947</v>
      </c>
    </row>
    <row r="583" spans="1:69">
      <c r="A583">
        <f t="shared" si="472"/>
        <v>1845000</v>
      </c>
      <c r="B583">
        <f t="shared" si="456"/>
        <v>1845</v>
      </c>
      <c r="C583">
        <f t="shared" si="425"/>
        <v>2.3768048838929463</v>
      </c>
      <c r="D583">
        <f t="shared" si="426"/>
        <v>1.136543279159143</v>
      </c>
      <c r="F583">
        <f t="shared" si="427"/>
        <v>1.310512505784986E-4</v>
      </c>
      <c r="G583">
        <f t="shared" si="428"/>
        <v>3.5147893042603946E-3</v>
      </c>
      <c r="H583">
        <f t="shared" si="429"/>
        <v>-3.13807786069574</v>
      </c>
      <c r="J583">
        <f t="shared" si="430"/>
        <v>9</v>
      </c>
      <c r="M583">
        <f t="shared" si="431"/>
        <v>2.2876535982495703E-3</v>
      </c>
      <c r="N583">
        <f t="shared" si="432"/>
        <v>-1.5707963250000001</v>
      </c>
      <c r="O583">
        <f t="shared" si="433"/>
        <v>237.27692400091721</v>
      </c>
      <c r="P583">
        <f t="shared" si="434"/>
        <v>1.5665818294747378</v>
      </c>
      <c r="Q583">
        <f t="shared" si="435"/>
        <v>96.886388213948678</v>
      </c>
      <c r="R583">
        <f t="shared" si="436"/>
        <v>1.5604747762201474</v>
      </c>
      <c r="S583">
        <f t="shared" si="437"/>
        <v>0.626743370292418</v>
      </c>
      <c r="T583">
        <f t="shared" si="438"/>
        <v>-0.89342949043324349</v>
      </c>
      <c r="U583">
        <f t="shared" si="439"/>
        <v>0.45853688988611785</v>
      </c>
      <c r="V583">
        <f t="shared" si="440"/>
        <v>-1.0944482232732287</v>
      </c>
      <c r="X583">
        <f t="shared" si="457"/>
        <v>-27.459004537989383</v>
      </c>
      <c r="Y583">
        <f t="shared" si="441"/>
        <v>-139.4093415066632</v>
      </c>
      <c r="Z583">
        <f t="shared" si="458"/>
        <v>40.590658493336804</v>
      </c>
      <c r="AC583">
        <v>1</v>
      </c>
      <c r="AD583">
        <f t="shared" si="442"/>
        <v>237.27481674913804</v>
      </c>
      <c r="AE583">
        <f t="shared" si="443"/>
        <v>-1.5403375831282363E-2</v>
      </c>
      <c r="AF583">
        <f t="shared" si="444"/>
        <v>7.9478021478996009E-3</v>
      </c>
      <c r="AG583">
        <f t="shared" si="473"/>
        <v>6225.7440917430895</v>
      </c>
      <c r="AH583">
        <f t="shared" si="474"/>
        <v>-12191.732289172798</v>
      </c>
      <c r="AJ583">
        <f t="shared" si="445"/>
        <v>55000</v>
      </c>
      <c r="AK583">
        <f t="shared" si="446"/>
        <v>68381.122987051887</v>
      </c>
      <c r="AL583">
        <v>1</v>
      </c>
      <c r="AM583">
        <f t="shared" si="447"/>
        <v>96.881227392844139</v>
      </c>
      <c r="AN583">
        <f t="shared" si="475"/>
        <v>711.60827667524029</v>
      </c>
      <c r="AO583">
        <f t="shared" si="476"/>
        <v>-560.36028015201043</v>
      </c>
      <c r="AQ583">
        <f t="shared" si="448"/>
        <v>3.3446250242644866E-3</v>
      </c>
      <c r="AR583">
        <f t="shared" si="449"/>
        <v>-3.2520290804677239</v>
      </c>
      <c r="AT583">
        <f t="shared" si="470"/>
        <v>-39627.045166183365</v>
      </c>
      <c r="AU583">
        <f t="shared" si="471"/>
        <v>-20287.077606802144</v>
      </c>
      <c r="AV583">
        <f t="shared" si="459"/>
        <v>-2.6684305744680739</v>
      </c>
      <c r="AW583">
        <f t="shared" si="460"/>
        <v>4669.8775438788407</v>
      </c>
      <c r="AX583">
        <f t="shared" si="461"/>
        <v>-17335.13889036667</v>
      </c>
      <c r="AY583">
        <f t="shared" si="469"/>
        <v>-1.3076550425608604</v>
      </c>
      <c r="BA583">
        <f t="shared" si="450"/>
        <v>2.4796892877821746</v>
      </c>
      <c r="BB583">
        <f t="shared" si="462"/>
        <v>7.8879453176893923</v>
      </c>
      <c r="BC583">
        <f t="shared" si="463"/>
        <v>-1.3607755319072135</v>
      </c>
      <c r="BD583">
        <f t="shared" si="451"/>
        <v>-257.96669493204297</v>
      </c>
      <c r="BF583">
        <f t="shared" si="452"/>
        <v>-43.15851047709846</v>
      </c>
      <c r="BG583">
        <f t="shared" si="453"/>
        <v>-192.64617913461373</v>
      </c>
      <c r="BH583">
        <f t="shared" si="464"/>
        <v>-12.646179134613732</v>
      </c>
      <c r="BI583">
        <f t="shared" si="465"/>
        <v>-12.646179134613732</v>
      </c>
      <c r="BJ583">
        <f t="shared" si="454"/>
        <v>0</v>
      </c>
      <c r="BK583">
        <f t="shared" si="466"/>
        <v>0</v>
      </c>
      <c r="BM583">
        <f t="shared" si="467"/>
        <v>-51.046455794787853</v>
      </c>
      <c r="BN583">
        <f t="shared" si="455"/>
        <v>-114.67948420257076</v>
      </c>
      <c r="BQ583" s="75">
        <f t="shared" si="468"/>
        <v>24.789906117974528</v>
      </c>
    </row>
    <row r="584" spans="1:69">
      <c r="A584">
        <f t="shared" si="472"/>
        <v>1850000</v>
      </c>
      <c r="B584">
        <f t="shared" si="456"/>
        <v>1850</v>
      </c>
      <c r="C584">
        <f t="shared" si="425"/>
        <v>2.3821071606588053</v>
      </c>
      <c r="D584">
        <f t="shared" si="426"/>
        <v>1.1375753465770686</v>
      </c>
      <c r="F584">
        <f t="shared" si="427"/>
        <v>1.3034373472416879E-4</v>
      </c>
      <c r="G584">
        <f t="shared" si="428"/>
        <v>3.5052874683671868E-3</v>
      </c>
      <c r="H584">
        <f t="shared" si="429"/>
        <v>-3.1380873625316332</v>
      </c>
      <c r="J584">
        <f t="shared" si="430"/>
        <v>9</v>
      </c>
      <c r="M584">
        <f t="shared" si="431"/>
        <v>2.2814707506867335E-3</v>
      </c>
      <c r="N584">
        <f t="shared" si="432"/>
        <v>-1.5707963250000001</v>
      </c>
      <c r="O584">
        <f t="shared" si="433"/>
        <v>237.91993948929451</v>
      </c>
      <c r="P584">
        <f t="shared" si="434"/>
        <v>1.5665932198737031</v>
      </c>
      <c r="Q584">
        <f t="shared" si="435"/>
        <v>97.148925018265615</v>
      </c>
      <c r="R584">
        <f t="shared" si="436"/>
        <v>1.5605026703295863</v>
      </c>
      <c r="S584">
        <f t="shared" si="437"/>
        <v>0.62571320658138807</v>
      </c>
      <c r="T584">
        <f t="shared" si="438"/>
        <v>-0.8947508237011581</v>
      </c>
      <c r="U584">
        <f t="shared" si="439"/>
        <v>0.4575573347289788</v>
      </c>
      <c r="V584">
        <f t="shared" si="440"/>
        <v>-1.0955501745413219</v>
      </c>
      <c r="X584">
        <f t="shared" si="457"/>
        <v>-27.496028937183254</v>
      </c>
      <c r="Y584">
        <f t="shared" si="441"/>
        <v>-139.48734595456727</v>
      </c>
      <c r="Z584">
        <f t="shared" si="458"/>
        <v>40.512654045432726</v>
      </c>
      <c r="AC584">
        <v>1</v>
      </c>
      <c r="AD584">
        <f t="shared" si="442"/>
        <v>237.91783793274001</v>
      </c>
      <c r="AE584">
        <f t="shared" si="443"/>
        <v>-1.5486976089354187E-2</v>
      </c>
      <c r="AF584">
        <f t="shared" si="444"/>
        <v>7.9693409071080017E-3</v>
      </c>
      <c r="AG584">
        <f t="shared" si="473"/>
        <v>6199.1728565335143</v>
      </c>
      <c r="AH584">
        <f t="shared" si="474"/>
        <v>-12172.454778084122</v>
      </c>
      <c r="AJ584">
        <f t="shared" si="445"/>
        <v>55000</v>
      </c>
      <c r="AK584">
        <f t="shared" si="446"/>
        <v>68566.437683493758</v>
      </c>
      <c r="AL584">
        <v>1</v>
      </c>
      <c r="AM584">
        <f t="shared" si="447"/>
        <v>97.143778144586264</v>
      </c>
      <c r="AN584">
        <f t="shared" si="475"/>
        <v>711.57705740958102</v>
      </c>
      <c r="AO584">
        <f t="shared" si="476"/>
        <v>-558.84611428010294</v>
      </c>
      <c r="AQ584">
        <f t="shared" si="448"/>
        <v>3.3265704202278773E-3</v>
      </c>
      <c r="AR584">
        <f t="shared" si="449"/>
        <v>-3.2432398312011688</v>
      </c>
      <c r="AT584">
        <f t="shared" si="470"/>
        <v>-39457.56819472299</v>
      </c>
      <c r="AU584">
        <f t="shared" si="471"/>
        <v>-20145.896856816958</v>
      </c>
      <c r="AV584">
        <f t="shared" si="459"/>
        <v>-2.6695239149917902</v>
      </c>
      <c r="AW584">
        <f t="shared" si="460"/>
        <v>4654.9862530222035</v>
      </c>
      <c r="AX584">
        <f t="shared" si="461"/>
        <v>-17300.82476986646</v>
      </c>
      <c r="AY584">
        <f t="shared" si="469"/>
        <v>-1.3079594098073473</v>
      </c>
      <c r="BA584">
        <f t="shared" si="450"/>
        <v>2.4728013812510108</v>
      </c>
      <c r="BB584">
        <f t="shared" si="462"/>
        <v>7.8637846928481325</v>
      </c>
      <c r="BC584">
        <f t="shared" si="463"/>
        <v>-1.3615645051844429</v>
      </c>
      <c r="BD584">
        <f t="shared" si="451"/>
        <v>-258.01189977102848</v>
      </c>
      <c r="BF584">
        <f t="shared" si="452"/>
        <v>-43.210336013615049</v>
      </c>
      <c r="BG584">
        <f t="shared" si="453"/>
        <v>-192.63279528140649</v>
      </c>
      <c r="BH584">
        <f t="shared" si="464"/>
        <v>-12.632795281406487</v>
      </c>
      <c r="BI584">
        <f t="shared" si="465"/>
        <v>-12.632795281406487</v>
      </c>
      <c r="BJ584">
        <f t="shared" si="454"/>
        <v>0</v>
      </c>
      <c r="BK584">
        <f t="shared" si="466"/>
        <v>0</v>
      </c>
      <c r="BM584">
        <f t="shared" si="467"/>
        <v>-51.074120706463177</v>
      </c>
      <c r="BN584">
        <f t="shared" si="455"/>
        <v>-114.62089551037801</v>
      </c>
      <c r="BQ584" s="75">
        <f t="shared" si="468"/>
        <v>24.76574549313327</v>
      </c>
    </row>
    <row r="585" spans="1:69">
      <c r="A585">
        <f t="shared" si="472"/>
        <v>1855000</v>
      </c>
      <c r="B585">
        <f t="shared" si="456"/>
        <v>1855</v>
      </c>
      <c r="C585">
        <f t="shared" ref="C585:C626" si="477">SQRT((A585/Fesr)^2+1)</f>
        <v>2.3874119634853899</v>
      </c>
      <c r="D585">
        <f t="shared" ref="D585:D614" si="478">ATAN(A585/Fesr)</f>
        <v>1.1386028286007366</v>
      </c>
      <c r="F585">
        <f t="shared" ref="F585:F626" si="479">(Ro/(Ro+Rdcr))/SQRT((A585/(Q*Fo))^2+(1-(A585^2/Fo^2))^2)</f>
        <v>1.2964193325209534E-4</v>
      </c>
      <c r="G585">
        <f t="shared" ref="G585:G614" si="480">-ATAN(A585*Fo/(Q*(Fo^2-A585^2)))</f>
        <v>3.495836874683746E-3</v>
      </c>
      <c r="H585">
        <f t="shared" ref="H585:H648" si="481">IF(G585&gt;0,G585-Pi,G585)</f>
        <v>-3.1380968131253164</v>
      </c>
      <c r="J585">
        <f t="shared" ref="J585:J648" si="482">Vin/Vramp</f>
        <v>9</v>
      </c>
      <c r="M585">
        <f t="shared" ref="M585:M614" si="483">1/(2*Pi*_Rfb1*(Cc1ea_u+Cc2ea_u)*A585)</f>
        <v>2.2753212338385213E-3</v>
      </c>
      <c r="N585">
        <f t="shared" ref="N585:N648" si="484">-Pi/2</f>
        <v>-1.5707963250000001</v>
      </c>
      <c r="O585">
        <f t="shared" ref="O585:O614" si="485">SQRT(1+(A585/Fz1_u)^2)</f>
        <v>238.56295500837342</v>
      </c>
      <c r="P585">
        <f t="shared" ref="P585:P648" si="486">ATAN2(Fz1_u,A585)</f>
        <v>1.5666045488699825</v>
      </c>
      <c r="Q585">
        <f t="shared" ref="Q585:Q614" si="487">SQRT(1+(A585/Fz2_u)^2)</f>
        <v>97.41146189776488</v>
      </c>
      <c r="R585">
        <f t="shared" ref="R585:R648" si="488">ATAN2(Fz2_u,A585)</f>
        <v>1.5605304140823577</v>
      </c>
      <c r="S585">
        <f t="shared" ref="S585:S614" si="489">1/SQRT(1+(A585/Fp1_u)^2)</f>
        <v>0.62468533853892383</v>
      </c>
      <c r="T585">
        <f t="shared" ref="T585:T648" si="490">-ATAN2(Fp1_u,A585)</f>
        <v>-0.89606781811600145</v>
      </c>
      <c r="U585">
        <f t="shared" ref="U585:U626" si="491">1/SQRT(1+(A585/Fp2_u)^2)</f>
        <v>0.45658140493986449</v>
      </c>
      <c r="V585">
        <f t="shared" ref="V585:V648" si="492">-ATAN2(Fp2_u,A585)</f>
        <v>-1.0966474264056585</v>
      </c>
      <c r="X585">
        <f t="shared" si="457"/>
        <v>-27.532986127062244</v>
      </c>
      <c r="Y585">
        <f t="shared" ref="Y585:Y614" si="493">(180/Pi)*(D585+H585+N585+P585+R585+T585+V585)</f>
        <v>-139.56510446919401</v>
      </c>
      <c r="Z585">
        <f t="shared" si="458"/>
        <v>40.434895530805989</v>
      </c>
      <c r="AC585">
        <v>1</v>
      </c>
      <c r="AD585">
        <f t="shared" ref="AD585:AD626" si="494">Rcea1_u*Cc1ea_u*A585*2*Pi</f>
        <v>238.56085911634204</v>
      </c>
      <c r="AE585">
        <f t="shared" ref="AE585:AE626" si="495">-Rcea1_u*Cc1ea_u*Cc2ea_u*(A585*2*Pi)^2</f>
        <v>-1.5570802599815921E-2</v>
      </c>
      <c r="AF585">
        <f t="shared" ref="AF585:AF626" si="496">(Cc2ea_u+Cc1ea_u)*A585*2*Pi</f>
        <v>7.9908796663164007E-3</v>
      </c>
      <c r="AG585">
        <f t="shared" si="473"/>
        <v>6172.7564711553005</v>
      </c>
      <c r="AH585">
        <f t="shared" si="474"/>
        <v>-12153.201720513836</v>
      </c>
      <c r="AJ585">
        <f t="shared" ref="AJ585:AJ648" si="497">_Rfb1</f>
        <v>55000</v>
      </c>
      <c r="AK585">
        <f t="shared" ref="AK585:AK626" si="498">_Rfb1*Rcea2_u*Cc3ea_u*A585*2*Pi</f>
        <v>68751.752379935642</v>
      </c>
      <c r="AL585">
        <v>1</v>
      </c>
      <c r="AM585">
        <f t="shared" ref="AM585:AM626" si="499">(_Rfb1+Rcea2_u)*Cc3ea_u*A585*2*Pi</f>
        <v>97.40632889632839</v>
      </c>
      <c r="AN585">
        <f t="shared" si="475"/>
        <v>711.54609021496321</v>
      </c>
      <c r="AO585">
        <f t="shared" si="476"/>
        <v>-557.34010843962074</v>
      </c>
      <c r="AQ585">
        <f t="shared" ref="AQ585:AQ626" si="500">Eadcg/(1+(Eadcg*A585/GBP)^2)</f>
        <v>3.3086616132440008E-3</v>
      </c>
      <c r="AR585">
        <f t="shared" ref="AR585:AR626" si="501">-(A585*Eadcg*Eadcg/GBP)/(1+(Eadcg*A585/GBP)^2)</f>
        <v>-3.2344979631831365</v>
      </c>
      <c r="AT585">
        <f t="shared" si="470"/>
        <v>-39289.082648771779</v>
      </c>
      <c r="AU585">
        <f t="shared" si="471"/>
        <v>-20005.979065188018</v>
      </c>
      <c r="AV585">
        <f t="shared" si="459"/>
        <v>-2.6706126025297916</v>
      </c>
      <c r="AW585">
        <f t="shared" si="460"/>
        <v>4640.1599842026808</v>
      </c>
      <c r="AX585">
        <f t="shared" si="461"/>
        <v>-17266.623008659943</v>
      </c>
      <c r="AY585">
        <f t="shared" si="469"/>
        <v>-1.3082631557879547</v>
      </c>
      <c r="BA585">
        <f t="shared" ref="BA585:BA648" si="502">SQRT(AT585^2+AU585^2)/SQRT(AW585^2+AX585^2)</f>
        <v>2.4659518966830563</v>
      </c>
      <c r="BB585">
        <f t="shared" si="462"/>
        <v>7.8396920112212722</v>
      </c>
      <c r="BC585">
        <f t="shared" si="463"/>
        <v>-1.3623494467418369</v>
      </c>
      <c r="BD585">
        <f t="shared" ref="BD585:BD648" si="503">BC585*180/Pi-180</f>
        <v>-258.05687360948298</v>
      </c>
      <c r="BF585">
        <f t="shared" ref="BF585:BF648" si="504">20*LOG(BA585*J585*F585*C585)</f>
        <v>-43.262000509420972</v>
      </c>
      <c r="BG585">
        <f t="shared" ref="BG585:BG648" si="505">(180/Pi)*(D585+H585+BC585)</f>
        <v>-192.61944021544451</v>
      </c>
      <c r="BH585">
        <f t="shared" si="464"/>
        <v>-12.619440215444513</v>
      </c>
      <c r="BI585">
        <f t="shared" si="465"/>
        <v>-12.619440215444513</v>
      </c>
      <c r="BJ585">
        <f t="shared" ref="BJ585:BJ648" si="506">SUM((BF586&lt;0)*(BF585&gt;0))*A585</f>
        <v>0</v>
      </c>
      <c r="BK585">
        <f t="shared" si="466"/>
        <v>0</v>
      </c>
      <c r="BM585">
        <f t="shared" si="467"/>
        <v>-51.101692520642239</v>
      </c>
      <c r="BN585">
        <f t="shared" ref="BN585:BN648" si="507">(H585+D585)*180/Pi</f>
        <v>-114.56256660596158</v>
      </c>
      <c r="BQ585" s="75">
        <f t="shared" si="468"/>
        <v>24.741652811506412</v>
      </c>
    </row>
    <row r="586" spans="1:69">
      <c r="A586">
        <f t="shared" si="472"/>
        <v>1860000</v>
      </c>
      <c r="B586">
        <f t="shared" ref="B586:B649" si="508">A586/1000</f>
        <v>1860</v>
      </c>
      <c r="C586">
        <f t="shared" si="477"/>
        <v>2.3927192755714142</v>
      </c>
      <c r="D586">
        <f t="shared" si="478"/>
        <v>1.1396257535661536</v>
      </c>
      <c r="F586">
        <f t="shared" si="479"/>
        <v>1.2894578478735136E-4</v>
      </c>
      <c r="G586">
        <f t="shared" si="480"/>
        <v>3.4864371097589127E-3</v>
      </c>
      <c r="H586">
        <f t="shared" si="481"/>
        <v>-3.1381062128902415</v>
      </c>
      <c r="J586">
        <f t="shared" si="482"/>
        <v>9</v>
      </c>
      <c r="M586">
        <f t="shared" si="483"/>
        <v>2.2692047789088479E-3</v>
      </c>
      <c r="N586">
        <f t="shared" si="484"/>
        <v>-1.5707963250000001</v>
      </c>
      <c r="O586">
        <f t="shared" si="485"/>
        <v>239.20597055790637</v>
      </c>
      <c r="P586">
        <f t="shared" si="486"/>
        <v>1.5666158169587472</v>
      </c>
      <c r="Q586">
        <f t="shared" si="487"/>
        <v>97.67399885184021</v>
      </c>
      <c r="R586">
        <f t="shared" si="488"/>
        <v>1.5605580086908448</v>
      </c>
      <c r="S586">
        <f t="shared" si="489"/>
        <v>0.62365976554080449</v>
      </c>
      <c r="T586">
        <f t="shared" si="490"/>
        <v>-0.89738049046778279</v>
      </c>
      <c r="U586">
        <f t="shared" si="491"/>
        <v>0.45560908439785663</v>
      </c>
      <c r="V586">
        <f t="shared" si="492"/>
        <v>-1.0977400062387583</v>
      </c>
      <c r="X586">
        <f t="shared" ref="X586:X614" si="509">20*LOG(C586*J586*O586*Q586*F586*M586*S586*U586)</f>
        <v>-27.569876344852105</v>
      </c>
      <c r="Y586">
        <f t="shared" si="493"/>
        <v>-139.64261788318947</v>
      </c>
      <c r="Z586">
        <f t="shared" ref="Z586:Z649" si="510">Y586+180</f>
        <v>40.357382116810527</v>
      </c>
      <c r="AC586">
        <v>1</v>
      </c>
      <c r="AD586">
        <f t="shared" si="494"/>
        <v>239.20388029994405</v>
      </c>
      <c r="AE586">
        <f t="shared" si="495"/>
        <v>-1.5654855362667565E-2</v>
      </c>
      <c r="AF586">
        <f t="shared" si="496"/>
        <v>8.0124184255248015E-3</v>
      </c>
      <c r="AG586">
        <f t="shared" si="473"/>
        <v>6146.4938720570071</v>
      </c>
      <c r="AH586">
        <f t="shared" si="474"/>
        <v>-12133.973463599668</v>
      </c>
      <c r="AJ586">
        <f t="shared" si="497"/>
        <v>55000</v>
      </c>
      <c r="AK586">
        <f t="shared" si="498"/>
        <v>68937.067076377512</v>
      </c>
      <c r="AL586">
        <v>1</v>
      </c>
      <c r="AM586">
        <f t="shared" si="499"/>
        <v>97.668879648070501</v>
      </c>
      <c r="AN586">
        <f t="shared" si="475"/>
        <v>711.51537238506603</v>
      </c>
      <c r="AO586">
        <f t="shared" si="476"/>
        <v>-555.84219685156825</v>
      </c>
      <c r="AQ586">
        <f t="shared" si="500"/>
        <v>3.2908970377143721E-3</v>
      </c>
      <c r="AR586">
        <f t="shared" si="501"/>
        <v>-3.225803094308382</v>
      </c>
      <c r="AT586">
        <f t="shared" si="470"/>
        <v>-39121.581666659724</v>
      </c>
      <c r="AU586">
        <f t="shared" si="471"/>
        <v>-19867.310608956068</v>
      </c>
      <c r="AV586">
        <f t="shared" ref="AV586:AV649" si="511">ATAN2(AT586,AU586)</f>
        <v>-2.6716966640802688</v>
      </c>
      <c r="AW586">
        <f t="shared" ref="AW586:AW649" si="512">AG586-AH586*AO586/_Rfb2+AG586*AN586/_Rfb2+AN586-AO586*AR586+AQ586*AN586</f>
        <v>4625.3985933470458</v>
      </c>
      <c r="AX586">
        <f t="shared" ref="AX586:AX649" si="513">AH586+AH586*AN586/_Rfb2+AG586*AO586/_Rfb2+AO586+AO586*AQ586+AN586*AR586</f>
        <v>-17232.533194659576</v>
      </c>
      <c r="AY586">
        <f t="shared" si="469"/>
        <v>-1.3085662720018276</v>
      </c>
      <c r="BA586">
        <f t="shared" si="502"/>
        <v>2.4591405119154706</v>
      </c>
      <c r="BB586">
        <f t="shared" ref="BB586:BB649" si="514">20*LOG(BA586)</f>
        <v>7.8156668887726868</v>
      </c>
      <c r="BC586">
        <f t="shared" ref="BC586:BC649" si="515">AV586-AY586</f>
        <v>-1.3631303920784412</v>
      </c>
      <c r="BD586">
        <f t="shared" si="503"/>
        <v>-258.10161848135192</v>
      </c>
      <c r="BF586">
        <f t="shared" si="504"/>
        <v>-43.313504963383764</v>
      </c>
      <c r="BG586">
        <f t="shared" si="505"/>
        <v>-192.60611437082881</v>
      </c>
      <c r="BH586">
        <f t="shared" ref="BH586:BH649" si="516">IF(BG586&gt;180,BG586-180,BG586+180)</f>
        <v>-12.606114370828806</v>
      </c>
      <c r="BI586">
        <f t="shared" ref="BI586:BI649" si="517">IF(BH586&gt;180,BH586-360,BH586)</f>
        <v>-12.606114370828806</v>
      </c>
      <c r="BJ586">
        <f t="shared" si="506"/>
        <v>0</v>
      </c>
      <c r="BK586">
        <f t="shared" ref="BK586:BK649" si="518">IF(BJ586&gt;0,BI586,0)</f>
        <v>0</v>
      </c>
      <c r="BM586">
        <f t="shared" ref="BM586:BM649" si="519">20*LOG(J586*F586*C586)</f>
        <v>-51.129171852156446</v>
      </c>
      <c r="BN586">
        <f t="shared" si="507"/>
        <v>-114.50449588947689</v>
      </c>
      <c r="BQ586" s="75">
        <f t="shared" ref="BQ586:BQ649" si="520">20*LOG(BA586*7)</f>
        <v>24.717627689057821</v>
      </c>
    </row>
    <row r="587" spans="1:69">
      <c r="A587">
        <f t="shared" si="472"/>
        <v>1865000</v>
      </c>
      <c r="B587">
        <f t="shared" si="508"/>
        <v>1865</v>
      </c>
      <c r="C587">
        <f t="shared" si="477"/>
        <v>2.3980290802564168</v>
      </c>
      <c r="D587">
        <f t="shared" si="478"/>
        <v>1.1406441495966806</v>
      </c>
      <c r="F587">
        <f t="shared" si="479"/>
        <v>1.282552287768278E-4</v>
      </c>
      <c r="G587">
        <f t="shared" si="480"/>
        <v>3.4770877645780899E-3</v>
      </c>
      <c r="H587">
        <f t="shared" si="481"/>
        <v>-3.1381155622354222</v>
      </c>
      <c r="J587">
        <f t="shared" si="482"/>
        <v>9</v>
      </c>
      <c r="M587">
        <f t="shared" si="483"/>
        <v>2.2631211199841592E-3</v>
      </c>
      <c r="N587">
        <f t="shared" si="484"/>
        <v>-1.5707963250000001</v>
      </c>
      <c r="O587">
        <f t="shared" si="485"/>
        <v>239.84898613764838</v>
      </c>
      <c r="P587">
        <f t="shared" si="486"/>
        <v>1.5666270246298581</v>
      </c>
      <c r="Q587">
        <f t="shared" si="487"/>
        <v>97.936535879891863</v>
      </c>
      <c r="R587">
        <f t="shared" si="488"/>
        <v>1.5605854553544325</v>
      </c>
      <c r="S587">
        <f t="shared" si="489"/>
        <v>0.622636486878968</v>
      </c>
      <c r="T587">
        <f t="shared" si="490"/>
        <v>-0.89868885749607064</v>
      </c>
      <c r="U587">
        <f t="shared" si="491"/>
        <v>0.45464035703559352</v>
      </c>
      <c r="V587">
        <f t="shared" si="492"/>
        <v>-1.0988279412251543</v>
      </c>
      <c r="X587">
        <f t="shared" si="509"/>
        <v>-27.606699826199112</v>
      </c>
      <c r="Y587">
        <f t="shared" si="493"/>
        <v>-139.71988702851772</v>
      </c>
      <c r="Z587">
        <f t="shared" si="510"/>
        <v>40.280112971482282</v>
      </c>
      <c r="AC587">
        <v>1</v>
      </c>
      <c r="AD587">
        <f t="shared" si="494"/>
        <v>239.84690148354602</v>
      </c>
      <c r="AE587">
        <f t="shared" si="495"/>
        <v>-1.5739134377909116E-2</v>
      </c>
      <c r="AF587">
        <f t="shared" si="496"/>
        <v>8.0339571847332005E-3</v>
      </c>
      <c r="AG587">
        <f t="shared" si="473"/>
        <v>6120.3840031634682</v>
      </c>
      <c r="AH587">
        <f t="shared" si="474"/>
        <v>-12114.770346940473</v>
      </c>
      <c r="AJ587">
        <f t="shared" si="497"/>
        <v>55000</v>
      </c>
      <c r="AK587">
        <f t="shared" si="498"/>
        <v>69122.381772819383</v>
      </c>
      <c r="AL587">
        <v>1</v>
      </c>
      <c r="AM587">
        <f t="shared" si="499"/>
        <v>97.931430399812641</v>
      </c>
      <c r="AN587">
        <f t="shared" si="475"/>
        <v>711.48490124978991</v>
      </c>
      <c r="AO587">
        <f t="shared" si="476"/>
        <v>-554.35231444198405</v>
      </c>
      <c r="AQ587">
        <f t="shared" si="500"/>
        <v>3.2732751489988666E-3</v>
      </c>
      <c r="AR587">
        <f t="shared" si="501"/>
        <v>-3.2171548465692807</v>
      </c>
      <c r="AT587">
        <f t="shared" si="470"/>
        <v>-38955.058435873463</v>
      </c>
      <c r="AU587">
        <f t="shared" si="471"/>
        <v>-19729.878035354915</v>
      </c>
      <c r="AV587">
        <f t="shared" si="511"/>
        <v>-2.6727761264574426</v>
      </c>
      <c r="AW587">
        <f t="shared" si="512"/>
        <v>4610.7019320592135</v>
      </c>
      <c r="AX587">
        <f t="shared" si="513"/>
        <v>-17198.554916793517</v>
      </c>
      <c r="AY587">
        <f t="shared" ref="AY587:AY650" si="521">ATAN2(AW587,AX587)</f>
        <v>-1.3088687501844247</v>
      </c>
      <c r="BA587">
        <f t="shared" si="502"/>
        <v>2.4523669083752608</v>
      </c>
      <c r="BB587">
        <f t="shared" si="514"/>
        <v>7.7917089446757508</v>
      </c>
      <c r="BC587">
        <f t="shared" si="515"/>
        <v>-1.3639073762730178</v>
      </c>
      <c r="BD587">
        <f t="shared" si="503"/>
        <v>-258.14613639650042</v>
      </c>
      <c r="BF587">
        <f t="shared" si="504"/>
        <v>-43.364850365358535</v>
      </c>
      <c r="BG587">
        <f t="shared" si="505"/>
        <v>-192.5928181695092</v>
      </c>
      <c r="BH587">
        <f t="shared" si="516"/>
        <v>-12.592818169509201</v>
      </c>
      <c r="BI587">
        <f t="shared" si="517"/>
        <v>-12.592818169509201</v>
      </c>
      <c r="BJ587">
        <f t="shared" si="506"/>
        <v>0</v>
      </c>
      <c r="BK587">
        <f t="shared" si="518"/>
        <v>0</v>
      </c>
      <c r="BM587">
        <f t="shared" si="519"/>
        <v>-51.156559310034275</v>
      </c>
      <c r="BN587">
        <f t="shared" si="507"/>
        <v>-114.44668177300882</v>
      </c>
      <c r="BQ587" s="75">
        <f t="shared" si="520"/>
        <v>24.693669744960886</v>
      </c>
    </row>
    <row r="588" spans="1:69">
      <c r="A588">
        <f t="shared" si="472"/>
        <v>1870000</v>
      </c>
      <c r="B588">
        <f t="shared" si="508"/>
        <v>1870</v>
      </c>
      <c r="C588">
        <f t="shared" si="477"/>
        <v>2.4033413610193817</v>
      </c>
      <c r="D588">
        <f t="shared" si="478"/>
        <v>1.1416580446047784</v>
      </c>
      <c r="F588">
        <f t="shared" si="479"/>
        <v>1.2757020547606292E-4</v>
      </c>
      <c r="G588">
        <f t="shared" si="480"/>
        <v>3.4677884345038893E-3</v>
      </c>
      <c r="H588">
        <f t="shared" si="481"/>
        <v>-3.1381248615654962</v>
      </c>
      <c r="J588">
        <f t="shared" si="482"/>
        <v>9</v>
      </c>
      <c r="M588">
        <f t="shared" si="483"/>
        <v>2.2570699939948968E-3</v>
      </c>
      <c r="N588">
        <f t="shared" si="484"/>
        <v>-1.5707963250000001</v>
      </c>
      <c r="O588">
        <f t="shared" si="485"/>
        <v>240.49200174735719</v>
      </c>
      <c r="P588">
        <f t="shared" si="486"/>
        <v>1.5666381723679383</v>
      </c>
      <c r="Q588">
        <f t="shared" si="487"/>
        <v>98.199072981326509</v>
      </c>
      <c r="R588">
        <f t="shared" si="488"/>
        <v>1.5606127552596798</v>
      </c>
      <c r="S588">
        <f t="shared" si="489"/>
        <v>0.62161550176279168</v>
      </c>
      <c r="T588">
        <f t="shared" si="490"/>
        <v>-0.89999293588976836</v>
      </c>
      <c r="U588">
        <f t="shared" si="491"/>
        <v>0.45367520683971341</v>
      </c>
      <c r="V588">
        <f t="shared" si="492"/>
        <v>-1.0999112583627151</v>
      </c>
      <c r="X588">
        <f t="shared" si="509"/>
        <v>-27.64345680518964</v>
      </c>
      <c r="Y588">
        <f t="shared" si="493"/>
        <v>-139.79691273641251</v>
      </c>
      <c r="Z588">
        <f t="shared" si="510"/>
        <v>40.203087263587491</v>
      </c>
      <c r="AC588">
        <v>1</v>
      </c>
      <c r="AD588">
        <f t="shared" si="494"/>
        <v>240.48992266714802</v>
      </c>
      <c r="AE588">
        <f t="shared" si="495"/>
        <v>-1.582363964554058E-2</v>
      </c>
      <c r="AF588">
        <f t="shared" si="496"/>
        <v>8.0554959439416013E-3</v>
      </c>
      <c r="AG588">
        <f t="shared" si="473"/>
        <v>6094.4258158380062</v>
      </c>
      <c r="AH588">
        <f t="shared" si="474"/>
        <v>-12095.592702716238</v>
      </c>
      <c r="AJ588">
        <f t="shared" si="497"/>
        <v>55000</v>
      </c>
      <c r="AK588">
        <f t="shared" si="498"/>
        <v>69307.696469261253</v>
      </c>
      <c r="AL588">
        <v>1</v>
      </c>
      <c r="AM588">
        <f t="shared" si="499"/>
        <v>98.193981151554766</v>
      </c>
      <c r="AN588">
        <f t="shared" si="475"/>
        <v>711.45467417467717</v>
      </c>
      <c r="AO588">
        <f t="shared" si="476"/>
        <v>-552.8703968325226</v>
      </c>
      <c r="AQ588">
        <f t="shared" si="500"/>
        <v>3.2557944230799424E-3</v>
      </c>
      <c r="AR588">
        <f t="shared" si="501"/>
        <v>-3.208552846001052</v>
      </c>
      <c r="AT588">
        <f t="shared" si="470"/>
        <v>-38789.506192786663</v>
      </c>
      <c r="AU588">
        <f t="shared" si="471"/>
        <v>-19593.668059414671</v>
      </c>
      <c r="AV588">
        <f t="shared" si="511"/>
        <v>-2.6738510162928275</v>
      </c>
      <c r="AW588">
        <f t="shared" si="512"/>
        <v>4596.0698477652895</v>
      </c>
      <c r="AX588">
        <f t="shared" si="513"/>
        <v>-17164.687765007831</v>
      </c>
      <c r="AY588">
        <f t="shared" si="521"/>
        <v>-1.309170582302547</v>
      </c>
      <c r="BA588">
        <f t="shared" si="502"/>
        <v>2.4456307710297081</v>
      </c>
      <c r="BB588">
        <f t="shared" si="514"/>
        <v>7.7678178012786496</v>
      </c>
      <c r="BC588">
        <f t="shared" si="515"/>
        <v>-1.3646804339902805</v>
      </c>
      <c r="BD588">
        <f t="shared" si="503"/>
        <v>-258.19042934107017</v>
      </c>
      <c r="BF588">
        <f t="shared" si="504"/>
        <v>-43.416037696291724</v>
      </c>
      <c r="BG588">
        <f t="shared" si="505"/>
        <v>-192.5795520215454</v>
      </c>
      <c r="BH588">
        <f t="shared" si="516"/>
        <v>-12.579552021545396</v>
      </c>
      <c r="BI588">
        <f t="shared" si="517"/>
        <v>-12.579552021545396</v>
      </c>
      <c r="BJ588">
        <f t="shared" si="506"/>
        <v>0</v>
      </c>
      <c r="BK588">
        <f t="shared" si="518"/>
        <v>0</v>
      </c>
      <c r="BM588">
        <f t="shared" si="519"/>
        <v>-51.183855497570363</v>
      </c>
      <c r="BN588">
        <f t="shared" si="507"/>
        <v>-114.3891226804752</v>
      </c>
      <c r="BQ588" s="75">
        <f t="shared" si="520"/>
        <v>24.669778601563785</v>
      </c>
    </row>
    <row r="589" spans="1:69">
      <c r="A589">
        <f t="shared" si="472"/>
        <v>1875000</v>
      </c>
      <c r="B589">
        <f t="shared" si="508"/>
        <v>1875</v>
      </c>
      <c r="C589">
        <f t="shared" si="477"/>
        <v>2.4086561014773711</v>
      </c>
      <c r="D589">
        <f t="shared" si="478"/>
        <v>1.1426674662937386</v>
      </c>
      <c r="F589">
        <f t="shared" si="479"/>
        <v>1.2689065593631779E-4</v>
      </c>
      <c r="G589">
        <f t="shared" si="480"/>
        <v>3.4585387192177229E-3</v>
      </c>
      <c r="H589">
        <f t="shared" si="481"/>
        <v>-3.1381341112807823</v>
      </c>
      <c r="J589">
        <f t="shared" si="482"/>
        <v>9</v>
      </c>
      <c r="M589">
        <f t="shared" si="483"/>
        <v>2.2510511406775768E-3</v>
      </c>
      <c r="N589">
        <f t="shared" si="484"/>
        <v>-1.5707963250000001</v>
      </c>
      <c r="O589">
        <f t="shared" si="485"/>
        <v>241.13501738679304</v>
      </c>
      <c r="P589">
        <f t="shared" si="486"/>
        <v>1.5666492606524405</v>
      </c>
      <c r="Q589">
        <f t="shared" si="487"/>
        <v>98.461610155557153</v>
      </c>
      <c r="R589">
        <f t="shared" si="488"/>
        <v>1.5606399095804908</v>
      </c>
      <c r="S589">
        <f t="shared" si="489"/>
        <v>0.62059680932035888</v>
      </c>
      <c r="T589">
        <f t="shared" si="490"/>
        <v>-0.90129274228689871</v>
      </c>
      <c r="U589">
        <f t="shared" si="491"/>
        <v>0.4527136178512805</v>
      </c>
      <c r="V589">
        <f t="shared" si="492"/>
        <v>-1.100989984463961</v>
      </c>
      <c r="X589">
        <f t="shared" si="509"/>
        <v>-27.68014751436942</v>
      </c>
      <c r="Y589">
        <f t="shared" si="493"/>
        <v>-139.8736958373311</v>
      </c>
      <c r="Z589">
        <f t="shared" si="510"/>
        <v>40.126304162668902</v>
      </c>
      <c r="AC589">
        <v>1</v>
      </c>
      <c r="AD589">
        <f t="shared" si="494"/>
        <v>241.13294385075005</v>
      </c>
      <c r="AE589">
        <f t="shared" si="495"/>
        <v>-1.5908371165561958E-2</v>
      </c>
      <c r="AF589">
        <f t="shared" si="496"/>
        <v>8.0770347031500003E-3</v>
      </c>
      <c r="AG589">
        <f t="shared" si="473"/>
        <v>6068.6182688443714</v>
      </c>
      <c r="AH589">
        <f t="shared" si="474"/>
        <v>-12076.440855806342</v>
      </c>
      <c r="AJ589">
        <f t="shared" si="497"/>
        <v>55000</v>
      </c>
      <c r="AK589">
        <f t="shared" si="498"/>
        <v>69493.011165703123</v>
      </c>
      <c r="AL589">
        <v>1</v>
      </c>
      <c r="AM589">
        <f t="shared" si="499"/>
        <v>98.456531903296877</v>
      </c>
      <c r="AN589">
        <f t="shared" si="475"/>
        <v>711.42468856034156</v>
      </c>
      <c r="AO589">
        <f t="shared" si="476"/>
        <v>-551.39638033118433</v>
      </c>
      <c r="AQ589">
        <f t="shared" si="500"/>
        <v>3.2384533562331177E-3</v>
      </c>
      <c r="AR589">
        <f t="shared" si="501"/>
        <v>-3.1999967226278496</v>
      </c>
      <c r="AT589">
        <f t="shared" si="470"/>
        <v>-38624.918222388922</v>
      </c>
      <c r="AU589">
        <f t="shared" si="471"/>
        <v>-19458.66756160232</v>
      </c>
      <c r="AV589">
        <f t="shared" si="511"/>
        <v>-2.6749213600364996</v>
      </c>
      <c r="AW589">
        <f t="shared" si="512"/>
        <v>4581.5021838550174</v>
      </c>
      <c r="AX589">
        <f t="shared" si="513"/>
        <v>-17130.931330268784</v>
      </c>
      <c r="AY589">
        <f t="shared" si="521"/>
        <v>-1.3094717605494688</v>
      </c>
      <c r="BA589">
        <f t="shared" si="502"/>
        <v>2.438931788337606</v>
      </c>
      <c r="BB589">
        <f t="shared" si="514"/>
        <v>7.7439930840701487</v>
      </c>
      <c r="BC589">
        <f t="shared" si="515"/>
        <v>-1.3654495994870308</v>
      </c>
      <c r="BD589">
        <f t="shared" si="503"/>
        <v>-258.23449927783145</v>
      </c>
      <c r="BF589">
        <f t="shared" si="504"/>
        <v>-43.467067928323537</v>
      </c>
      <c r="BG589">
        <f t="shared" si="505"/>
        <v>-192.56631632536232</v>
      </c>
      <c r="BH589">
        <f t="shared" si="516"/>
        <v>-12.566316325362322</v>
      </c>
      <c r="BI589">
        <f t="shared" si="517"/>
        <v>-12.566316325362322</v>
      </c>
      <c r="BJ589">
        <f t="shared" si="506"/>
        <v>0</v>
      </c>
      <c r="BK589">
        <f t="shared" si="518"/>
        <v>0</v>
      </c>
      <c r="BM589">
        <f t="shared" si="519"/>
        <v>-51.211061012393685</v>
      </c>
      <c r="BN589">
        <f t="shared" si="507"/>
        <v>-114.33181704753093</v>
      </c>
      <c r="BQ589" s="75">
        <f t="shared" si="520"/>
        <v>24.645953884355286</v>
      </c>
    </row>
    <row r="590" spans="1:69">
      <c r="A590">
        <f t="shared" si="472"/>
        <v>1880000</v>
      </c>
      <c r="B590">
        <f t="shared" si="508"/>
        <v>1880</v>
      </c>
      <c r="C590">
        <f t="shared" si="477"/>
        <v>2.4139732853841727</v>
      </c>
      <c r="D590">
        <f t="shared" si="478"/>
        <v>1.1436724421594018</v>
      </c>
      <c r="F590">
        <f t="shared" si="479"/>
        <v>1.2621652199189178E-4</v>
      </c>
      <c r="G590">
        <f t="shared" si="480"/>
        <v>3.4493382226623306E-3</v>
      </c>
      <c r="H590">
        <f t="shared" si="481"/>
        <v>-3.1381433117773381</v>
      </c>
      <c r="J590">
        <f t="shared" si="482"/>
        <v>9</v>
      </c>
      <c r="M590">
        <f t="shared" si="483"/>
        <v>2.245064302537477E-3</v>
      </c>
      <c r="N590">
        <f t="shared" si="484"/>
        <v>-1.5707963250000001</v>
      </c>
      <c r="O590">
        <f t="shared" si="485"/>
        <v>241.77803305571874</v>
      </c>
      <c r="P590">
        <f t="shared" si="486"/>
        <v>1.5666602899577176</v>
      </c>
      <c r="Q590">
        <f t="shared" si="487"/>
        <v>98.724147402003027</v>
      </c>
      <c r="R590">
        <f t="shared" si="488"/>
        <v>1.5606669194782845</v>
      </c>
      <c r="S590">
        <f t="shared" si="489"/>
        <v>0.61958040859971131</v>
      </c>
      <c r="T590">
        <f t="shared" si="490"/>
        <v>-0.90258829327439549</v>
      </c>
      <c r="U590">
        <f t="shared" si="491"/>
        <v>0.45175557416619222</v>
      </c>
      <c r="V590">
        <f t="shared" si="492"/>
        <v>-1.1020641461573737</v>
      </c>
      <c r="X590">
        <f t="shared" si="509"/>
        <v>-27.716772184762505</v>
      </c>
      <c r="Y590">
        <f t="shared" si="493"/>
        <v>-139.95023716090836</v>
      </c>
      <c r="Z590">
        <f t="shared" si="510"/>
        <v>40.049762839091642</v>
      </c>
      <c r="AC590">
        <v>1</v>
      </c>
      <c r="AD590">
        <f t="shared" si="494"/>
        <v>241.77596503435203</v>
      </c>
      <c r="AE590">
        <f t="shared" si="495"/>
        <v>-1.5993328937973242E-2</v>
      </c>
      <c r="AF590">
        <f t="shared" si="496"/>
        <v>8.0985734623583994E-3</v>
      </c>
      <c r="AG590">
        <f t="shared" si="473"/>
        <v>6042.9603283083534</v>
      </c>
      <c r="AH590">
        <f t="shared" si="474"/>
        <v>-12057.31512390607</v>
      </c>
      <c r="AJ590">
        <f t="shared" si="497"/>
        <v>55000</v>
      </c>
      <c r="AK590">
        <f t="shared" si="498"/>
        <v>69678.325862145008</v>
      </c>
      <c r="AL590">
        <v>1</v>
      </c>
      <c r="AM590">
        <f t="shared" si="499"/>
        <v>98.719082655039017</v>
      </c>
      <c r="AN590">
        <f t="shared" si="475"/>
        <v>711.39494184191017</v>
      </c>
      <c r="AO590">
        <f t="shared" si="476"/>
        <v>-549.93020192319398</v>
      </c>
      <c r="AQ590">
        <f t="shared" si="500"/>
        <v>3.2212504647035822E-3</v>
      </c>
      <c r="AR590">
        <f t="shared" si="501"/>
        <v>-3.1914861104097212</v>
      </c>
      <c r="AT590">
        <f t="shared" si="470"/>
        <v>-38461.287858013537</v>
      </c>
      <c r="AU590">
        <f t="shared" si="471"/>
        <v>-19324.863585499039</v>
      </c>
      <c r="AV590">
        <f t="shared" si="511"/>
        <v>-2.6759871839583496</v>
      </c>
      <c r="AW590">
        <f t="shared" si="512"/>
        <v>4566.998779819638</v>
      </c>
      <c r="AX590">
        <f t="shared" si="513"/>
        <v>-17097.285204565356</v>
      </c>
      <c r="AY590">
        <f t="shared" si="521"/>
        <v>-1.309772277340173</v>
      </c>
      <c r="BA590">
        <f t="shared" si="502"/>
        <v>2.4322696522012914</v>
      </c>
      <c r="BB590">
        <f t="shared" si="514"/>
        <v>7.7202344216457908</v>
      </c>
      <c r="BC590">
        <f t="shared" si="515"/>
        <v>-1.3662149066181766</v>
      </c>
      <c r="BD590">
        <f t="shared" si="503"/>
        <v>-258.27834814652743</v>
      </c>
      <c r="BF590">
        <f t="shared" si="504"/>
        <v>-43.517942024888931</v>
      </c>
      <c r="BG590">
        <f t="shared" si="505"/>
        <v>-192.55311146800022</v>
      </c>
      <c r="BH590">
        <f t="shared" si="516"/>
        <v>-12.553111468000225</v>
      </c>
      <c r="BI590">
        <f t="shared" si="517"/>
        <v>-12.553111468000225</v>
      </c>
      <c r="BJ590">
        <f t="shared" si="506"/>
        <v>0</v>
      </c>
      <c r="BK590">
        <f t="shared" si="518"/>
        <v>0</v>
      </c>
      <c r="BM590">
        <f t="shared" si="519"/>
        <v>-51.238176446534716</v>
      </c>
      <c r="BN590">
        <f t="shared" si="507"/>
        <v>-114.27476332147279</v>
      </c>
      <c r="BQ590" s="75">
        <f t="shared" si="520"/>
        <v>24.622195221930923</v>
      </c>
    </row>
    <row r="591" spans="1:69">
      <c r="A591">
        <f t="shared" si="472"/>
        <v>1885000</v>
      </c>
      <c r="B591">
        <f t="shared" si="508"/>
        <v>1885</v>
      </c>
      <c r="C591">
        <f t="shared" si="477"/>
        <v>2.4192928966289644</v>
      </c>
      <c r="D591">
        <f t="shared" si="478"/>
        <v>1.1446729994918625</v>
      </c>
      <c r="F591">
        <f t="shared" si="479"/>
        <v>1.2554774624767346E-4</v>
      </c>
      <c r="G591">
        <f t="shared" si="480"/>
        <v>3.4401865529852236E-3</v>
      </c>
      <c r="H591">
        <f t="shared" si="481"/>
        <v>-3.1381524634470148</v>
      </c>
      <c r="J591">
        <f t="shared" si="482"/>
        <v>9</v>
      </c>
      <c r="M591">
        <f t="shared" si="483"/>
        <v>2.2391092248119134E-3</v>
      </c>
      <c r="N591">
        <f t="shared" si="484"/>
        <v>-1.5707963250000001</v>
      </c>
      <c r="O591">
        <f t="shared" si="485"/>
        <v>242.42104875389967</v>
      </c>
      <c r="P591">
        <f t="shared" si="486"/>
        <v>1.5666712607530897</v>
      </c>
      <c r="Q591">
        <f t="shared" si="487"/>
        <v>98.986684720089542</v>
      </c>
      <c r="R591">
        <f t="shared" si="488"/>
        <v>1.5606937861021584</v>
      </c>
      <c r="S591">
        <f t="shared" si="489"/>
        <v>0.61856629857008849</v>
      </c>
      <c r="T591">
        <f t="shared" si="490"/>
        <v>-0.90387960538790402</v>
      </c>
      <c r="U591">
        <f t="shared" si="491"/>
        <v>0.45080105993557068</v>
      </c>
      <c r="V591">
        <f t="shared" si="492"/>
        <v>-1.103133769888698</v>
      </c>
      <c r="X591">
        <f t="shared" si="509"/>
        <v>-27.753331045889812</v>
      </c>
      <c r="Y591">
        <f t="shared" si="493"/>
        <v>-140.02653753591224</v>
      </c>
      <c r="Z591">
        <f t="shared" si="510"/>
        <v>39.97346246408776</v>
      </c>
      <c r="AC591">
        <v>1</v>
      </c>
      <c r="AD591">
        <f t="shared" si="494"/>
        <v>242.41898621795403</v>
      </c>
      <c r="AE591">
        <f t="shared" si="495"/>
        <v>-1.607851296277444E-2</v>
      </c>
      <c r="AF591">
        <f t="shared" si="496"/>
        <v>8.1201122215668001E-3</v>
      </c>
      <c r="AG591">
        <f t="shared" si="473"/>
        <v>6017.4509676791458</v>
      </c>
      <c r="AH591">
        <f t="shared" si="474"/>
        <v>-12038.215817641405</v>
      </c>
      <c r="AJ591">
        <f t="shared" si="497"/>
        <v>55000</v>
      </c>
      <c r="AK591">
        <f t="shared" si="498"/>
        <v>69863.640558586892</v>
      </c>
      <c r="AL591">
        <v>1</v>
      </c>
      <c r="AM591">
        <f t="shared" si="499"/>
        <v>98.981633406781143</v>
      </c>
      <c r="AN591">
        <f t="shared" si="475"/>
        <v>711.365431488475</v>
      </c>
      <c r="AO591">
        <f t="shared" si="476"/>
        <v>-548.47179926202614</v>
      </c>
      <c r="AQ591">
        <f t="shared" si="500"/>
        <v>3.204184284388796E-3</v>
      </c>
      <c r="AR591">
        <f t="shared" si="501"/>
        <v>-3.1830206471904083</v>
      </c>
      <c r="AT591">
        <f t="shared" si="470"/>
        <v>-38298.608481064039</v>
      </c>
      <c r="AU591">
        <f t="shared" si="471"/>
        <v>-19192.243335513591</v>
      </c>
      <c r="AV591">
        <f t="shared" si="511"/>
        <v>-2.6770485141493374</v>
      </c>
      <c r="AW591">
        <f t="shared" si="512"/>
        <v>4552.5594713862956</v>
      </c>
      <c r="AX591">
        <f t="shared" si="513"/>
        <v>-17063.748980911827</v>
      </c>
      <c r="AY591">
        <f t="shared" si="521"/>
        <v>-1.3100721253066878</v>
      </c>
      <c r="BA591">
        <f t="shared" si="502"/>
        <v>2.4256440579194556</v>
      </c>
      <c r="BB591">
        <f t="shared" si="514"/>
        <v>7.6965414456745176</v>
      </c>
      <c r="BC591">
        <f t="shared" si="515"/>
        <v>-1.3669763888426496</v>
      </c>
      <c r="BD591">
        <f t="shared" si="503"/>
        <v>-258.32197786421386</v>
      </c>
      <c r="BF591">
        <f t="shared" si="504"/>
        <v>-43.568660940817203</v>
      </c>
      <c r="BG591">
        <f t="shared" si="505"/>
        <v>-192.53993782535883</v>
      </c>
      <c r="BH591">
        <f t="shared" si="516"/>
        <v>-12.539937825358834</v>
      </c>
      <c r="BI591">
        <f t="shared" si="517"/>
        <v>-12.539937825358834</v>
      </c>
      <c r="BJ591">
        <f t="shared" si="506"/>
        <v>0</v>
      </c>
      <c r="BK591">
        <f t="shared" si="518"/>
        <v>0</v>
      </c>
      <c r="BM591">
        <f t="shared" si="519"/>
        <v>-51.265202386491723</v>
      </c>
      <c r="BN591">
        <f t="shared" si="507"/>
        <v>-114.21795996114498</v>
      </c>
      <c r="BQ591" s="75">
        <f t="shared" si="520"/>
        <v>24.598502245959651</v>
      </c>
    </row>
    <row r="592" spans="1:69">
      <c r="A592">
        <f>A591+5000</f>
        <v>1890000</v>
      </c>
      <c r="B592">
        <f t="shared" si="508"/>
        <v>1890</v>
      </c>
      <c r="C592">
        <f t="shared" si="477"/>
        <v>2.4246149192349882</v>
      </c>
      <c r="D592">
        <f t="shared" si="478"/>
        <v>1.1456691653771602</v>
      </c>
      <c r="F592">
        <f t="shared" si="479"/>
        <v>1.2488427206692191E-4</v>
      </c>
      <c r="G592">
        <f t="shared" si="480"/>
        <v>3.4310833224830226E-3</v>
      </c>
      <c r="H592">
        <f t="shared" si="481"/>
        <v>-3.1381615666775171</v>
      </c>
      <c r="J592">
        <f t="shared" si="482"/>
        <v>9</v>
      </c>
      <c r="M592">
        <f t="shared" si="483"/>
        <v>2.2331856554341041E-3</v>
      </c>
      <c r="N592">
        <f t="shared" si="484"/>
        <v>-1.5707963250000001</v>
      </c>
      <c r="O592">
        <f t="shared" si="485"/>
        <v>243.0640644811036</v>
      </c>
      <c r="P592">
        <f t="shared" si="486"/>
        <v>1.5666821735029106</v>
      </c>
      <c r="Q592">
        <f t="shared" si="487"/>
        <v>99.24922210924818</v>
      </c>
      <c r="R592">
        <f t="shared" si="488"/>
        <v>1.5607205105890525</v>
      </c>
      <c r="S592">
        <f t="shared" si="489"/>
        <v>0.61755447812315289</v>
      </c>
      <c r="T592">
        <f t="shared" si="490"/>
        <v>-0.90516669511158843</v>
      </c>
      <c r="U592">
        <f t="shared" si="491"/>
        <v>0.44985005936613637</v>
      </c>
      <c r="V592">
        <f t="shared" si="492"/>
        <v>-1.1041988819222386</v>
      </c>
      <c r="X592">
        <f t="shared" si="509"/>
        <v>-27.789824325787453</v>
      </c>
      <c r="Y592">
        <f t="shared" si="493"/>
        <v>-140.10259779020038</v>
      </c>
      <c r="Z592">
        <f t="shared" si="510"/>
        <v>39.897402209799623</v>
      </c>
      <c r="AC592">
        <v>1</v>
      </c>
      <c r="AD592">
        <f t="shared" si="494"/>
        <v>243.062007401556</v>
      </c>
      <c r="AE592">
        <f t="shared" si="495"/>
        <v>-1.6163923239965544E-2</v>
      </c>
      <c r="AF592">
        <f t="shared" si="496"/>
        <v>8.1416509807751992E-3</v>
      </c>
      <c r="AG592">
        <f t="shared" si="473"/>
        <v>5992.0891676904394</v>
      </c>
      <c r="AH592">
        <f t="shared" si="474"/>
        <v>-12019.143240682133</v>
      </c>
      <c r="AJ592">
        <f t="shared" si="497"/>
        <v>55000</v>
      </c>
      <c r="AK592">
        <f t="shared" si="498"/>
        <v>70048.955255028763</v>
      </c>
      <c r="AL592">
        <v>1</v>
      </c>
      <c r="AM592">
        <f t="shared" si="499"/>
        <v>99.244184158523254</v>
      </c>
      <c r="AN592">
        <f t="shared" si="475"/>
        <v>711.33615500255428</v>
      </c>
      <c r="AO592">
        <f t="shared" si="476"/>
        <v>-547.02111066056909</v>
      </c>
      <c r="AQ592">
        <f t="shared" si="500"/>
        <v>3.187253370526966E-3</v>
      </c>
      <c r="AR592">
        <f t="shared" si="501"/>
        <v>-3.1745999746459739</v>
      </c>
      <c r="AT592">
        <f t="shared" si="470"/>
        <v>-38136.873520739609</v>
      </c>
      <c r="AU592">
        <f t="shared" si="471"/>
        <v>-19060.794174631195</v>
      </c>
      <c r="AV592">
        <f t="shared" si="511"/>
        <v>-2.6781053765227361</v>
      </c>
      <c r="AW592">
        <f t="shared" si="512"/>
        <v>4538.1840906490625</v>
      </c>
      <c r="AX592">
        <f t="shared" si="513"/>
        <v>-17030.322253350449</v>
      </c>
      <c r="AY592">
        <f t="shared" si="521"/>
        <v>-1.3103712972935202</v>
      </c>
      <c r="BA592">
        <f t="shared" si="502"/>
        <v>2.4190547041407258</v>
      </c>
      <c r="BB592">
        <f t="shared" si="514"/>
        <v>7.6729137908657528</v>
      </c>
      <c r="BC592">
        <f t="shared" si="515"/>
        <v>-1.3677340792292159</v>
      </c>
      <c r="BD592">
        <f t="shared" si="503"/>
        <v>-258.36539032559131</v>
      </c>
      <c r="BF592">
        <f t="shared" si="504"/>
        <v>-43.619225622430278</v>
      </c>
      <c r="BG592">
        <f t="shared" si="505"/>
        <v>-192.52679576243693</v>
      </c>
      <c r="BH592">
        <f t="shared" si="516"/>
        <v>-12.526795762436933</v>
      </c>
      <c r="BI592">
        <f t="shared" si="517"/>
        <v>-12.526795762436933</v>
      </c>
      <c r="BJ592">
        <f t="shared" si="506"/>
        <v>0</v>
      </c>
      <c r="BK592">
        <f t="shared" si="518"/>
        <v>0</v>
      </c>
      <c r="BM592">
        <f t="shared" si="519"/>
        <v>-51.292139413296027</v>
      </c>
      <c r="BN592">
        <f t="shared" si="507"/>
        <v>-114.16140543684561</v>
      </c>
      <c r="BQ592" s="75">
        <f t="shared" si="520"/>
        <v>24.574874591150891</v>
      </c>
    </row>
    <row r="593" spans="1:69">
      <c r="A593">
        <f t="shared" ref="A593:A598" si="522">A592+5000</f>
        <v>1895000</v>
      </c>
      <c r="B593">
        <f t="shared" si="508"/>
        <v>1895</v>
      </c>
      <c r="C593">
        <f t="shared" si="477"/>
        <v>2.4299393373582445</v>
      </c>
      <c r="D593">
        <f t="shared" si="478"/>
        <v>1.1466609666989576</v>
      </c>
      <c r="F593">
        <f t="shared" si="479"/>
        <v>1.2422604355927328E-4</v>
      </c>
      <c r="G593">
        <f t="shared" si="480"/>
        <v>3.4220281475466825E-3</v>
      </c>
      <c r="H593">
        <f t="shared" si="481"/>
        <v>-3.1381706218524537</v>
      </c>
      <c r="J593">
        <f t="shared" si="482"/>
        <v>9</v>
      </c>
      <c r="M593">
        <f t="shared" si="483"/>
        <v>2.2272933449976025E-3</v>
      </c>
      <c r="N593">
        <f t="shared" si="484"/>
        <v>-1.5707963250000001</v>
      </c>
      <c r="O593">
        <f t="shared" si="485"/>
        <v>243.70708023710085</v>
      </c>
      <c r="P593">
        <f t="shared" si="486"/>
        <v>1.5666930286666332</v>
      </c>
      <c r="Q593">
        <f t="shared" si="487"/>
        <v>99.511759568916418</v>
      </c>
      <c r="R593">
        <f t="shared" si="488"/>
        <v>1.5607470940639097</v>
      </c>
      <c r="S593">
        <f t="shared" si="489"/>
        <v>0.61654494607420229</v>
      </c>
      <c r="T593">
        <f t="shared" si="490"/>
        <v>-0.90644957887794697</v>
      </c>
      <c r="U593">
        <f t="shared" si="491"/>
        <v>0.4489025567205665</v>
      </c>
      <c r="V593">
        <f t="shared" si="492"/>
        <v>-1.1052595083421468</v>
      </c>
      <c r="X593">
        <f t="shared" si="509"/>
        <v>-27.826252251024641</v>
      </c>
      <c r="Y593">
        <f t="shared" si="493"/>
        <v>-140.17841875067683</v>
      </c>
      <c r="Z593">
        <f t="shared" si="510"/>
        <v>39.821581249323174</v>
      </c>
      <c r="AC593">
        <v>1</v>
      </c>
      <c r="AD593">
        <f t="shared" si="494"/>
        <v>243.70502858515803</v>
      </c>
      <c r="AE593">
        <f t="shared" si="495"/>
        <v>-1.6249559769546562E-2</v>
      </c>
      <c r="AF593">
        <f t="shared" si="496"/>
        <v>8.1631897399836E-3</v>
      </c>
      <c r="AG593">
        <f t="shared" si="473"/>
        <v>5966.8739163212867</v>
      </c>
      <c r="AH593">
        <f t="shared" si="474"/>
        <v>-12000.09768985327</v>
      </c>
      <c r="AJ593">
        <f t="shared" si="497"/>
        <v>55000</v>
      </c>
      <c r="AK593">
        <f t="shared" si="498"/>
        <v>70234.269951470633</v>
      </c>
      <c r="AL593">
        <v>1</v>
      </c>
      <c r="AM593">
        <f t="shared" si="499"/>
        <v>99.506734910265394</v>
      </c>
      <c r="AN593">
        <f t="shared" si="475"/>
        <v>711.30710991956403</v>
      </c>
      <c r="AO593">
        <f t="shared" si="476"/>
        <v>-545.57807508243206</v>
      </c>
      <c r="AQ593">
        <f t="shared" si="500"/>
        <v>3.1704562973912625E-3</v>
      </c>
      <c r="AR593">
        <f t="shared" si="501"/>
        <v>-3.1662237382342453</v>
      </c>
      <c r="AT593">
        <f t="shared" si="470"/>
        <v>-37976.076453759611</v>
      </c>
      <c r="AU593">
        <f t="shared" si="471"/>
        <v>-18930.503622197302</v>
      </c>
      <c r="AV593">
        <f t="shared" si="511"/>
        <v>-2.679157796815371</v>
      </c>
      <c r="AW593">
        <f t="shared" si="512"/>
        <v>4523.8724661966744</v>
      </c>
      <c r="AX593">
        <f t="shared" si="513"/>
        <v>-16997.004616954287</v>
      </c>
      <c r="AY593">
        <f t="shared" si="521"/>
        <v>-1.3106697863531864</v>
      </c>
      <c r="BA593">
        <f t="shared" si="502"/>
        <v>2.412501292817983</v>
      </c>
      <c r="BB593">
        <f t="shared" si="514"/>
        <v>7.6493510949368373</v>
      </c>
      <c r="BC593">
        <f t="shared" si="515"/>
        <v>-1.3684880104621846</v>
      </c>
      <c r="BD593">
        <f t="shared" si="503"/>
        <v>-258.40858740333289</v>
      </c>
      <c r="BF593">
        <f t="shared" si="504"/>
        <v>-43.669637007639615</v>
      </c>
      <c r="BG593">
        <f t="shared" si="505"/>
        <v>-192.5136856335663</v>
      </c>
      <c r="BH593">
        <f t="shared" si="516"/>
        <v>-12.513685633566297</v>
      </c>
      <c r="BI593">
        <f t="shared" si="517"/>
        <v>-12.513685633566297</v>
      </c>
      <c r="BJ593">
        <f t="shared" si="506"/>
        <v>0</v>
      </c>
      <c r="BK593">
        <f t="shared" si="518"/>
        <v>0</v>
      </c>
      <c r="BM593">
        <f t="shared" si="519"/>
        <v>-51.318988102576455</v>
      </c>
      <c r="BN593">
        <f t="shared" si="507"/>
        <v>-114.10509823023341</v>
      </c>
      <c r="BQ593" s="75">
        <f t="shared" si="520"/>
        <v>24.551311895221971</v>
      </c>
    </row>
    <row r="594" spans="1:69">
      <c r="A594">
        <f t="shared" si="522"/>
        <v>1900000</v>
      </c>
      <c r="B594">
        <f t="shared" si="508"/>
        <v>1900</v>
      </c>
      <c r="C594">
        <f t="shared" si="477"/>
        <v>2.4352661352861986</v>
      </c>
      <c r="D594">
        <f t="shared" si="478"/>
        <v>1.1476484301402063</v>
      </c>
      <c r="F594">
        <f t="shared" si="479"/>
        <v>1.2357300556896831E-4</v>
      </c>
      <c r="G594">
        <f t="shared" si="480"/>
        <v>3.4130206486075792E-3</v>
      </c>
      <c r="H594">
        <f t="shared" si="481"/>
        <v>-3.1381796293513928</v>
      </c>
      <c r="J594">
        <f t="shared" si="482"/>
        <v>9</v>
      </c>
      <c r="M594">
        <f t="shared" si="483"/>
        <v>2.2214320467212928E-3</v>
      </c>
      <c r="N594">
        <f t="shared" si="484"/>
        <v>-1.5707963250000001</v>
      </c>
      <c r="O594">
        <f t="shared" si="485"/>
        <v>244.35009602166406</v>
      </c>
      <c r="P594">
        <f t="shared" si="486"/>
        <v>1.5667038266988746</v>
      </c>
      <c r="Q594">
        <f t="shared" si="487"/>
        <v>99.774297098537645</v>
      </c>
      <c r="R594">
        <f t="shared" si="488"/>
        <v>1.5607735376398333</v>
      </c>
      <c r="S594">
        <f t="shared" si="489"/>
        <v>0.61553770116336737</v>
      </c>
      <c r="T594">
        <f t="shared" si="490"/>
        <v>-0.90772827306763471</v>
      </c>
      <c r="U594">
        <f t="shared" si="491"/>
        <v>0.44795853631783622</v>
      </c>
      <c r="V594">
        <f t="shared" si="492"/>
        <v>-1.106315675053704</v>
      </c>
      <c r="X594">
        <f t="shared" si="509"/>
        <v>-27.862615046721395</v>
      </c>
      <c r="Y594">
        <f t="shared" si="493"/>
        <v>-140.25400124325066</v>
      </c>
      <c r="Z594">
        <f t="shared" si="510"/>
        <v>39.745998756749344</v>
      </c>
      <c r="AC594">
        <v>1</v>
      </c>
      <c r="AD594">
        <f t="shared" si="494"/>
        <v>244.34804976876003</v>
      </c>
      <c r="AE594">
        <f t="shared" si="495"/>
        <v>-1.6335422551517487E-2</v>
      </c>
      <c r="AF594">
        <f t="shared" si="496"/>
        <v>8.184728499191999E-3</v>
      </c>
      <c r="AG594">
        <f t="shared" si="473"/>
        <v>5941.8042087567401</v>
      </c>
      <c r="AH594">
        <f t="shared" si="474"/>
        <v>-11981.079455244861</v>
      </c>
      <c r="AJ594">
        <f t="shared" si="497"/>
        <v>55000</v>
      </c>
      <c r="AK594">
        <f t="shared" si="498"/>
        <v>70419.584647912503</v>
      </c>
      <c r="AL594">
        <v>1</v>
      </c>
      <c r="AM594">
        <f t="shared" si="499"/>
        <v>99.769285662007519</v>
      </c>
      <c r="AN594">
        <f t="shared" si="475"/>
        <v>711.27829380730054</v>
      </c>
      <c r="AO594">
        <f t="shared" si="476"/>
        <v>-544.14263213338836</v>
      </c>
      <c r="AQ594">
        <f t="shared" si="500"/>
        <v>3.1537916579896671E-3</v>
      </c>
      <c r="AR594">
        <f t="shared" si="501"/>
        <v>-3.1578915871450537</v>
      </c>
      <c r="AT594">
        <f t="shared" si="470"/>
        <v>-37816.210804087204</v>
      </c>
      <c r="AU594">
        <f t="shared" si="471"/>
        <v>-18801.359351735646</v>
      </c>
      <c r="AV594">
        <f t="shared" si="511"/>
        <v>-2.6802058005888529</v>
      </c>
      <c r="AW594">
        <f t="shared" si="512"/>
        <v>4509.6244232370145</v>
      </c>
      <c r="AX594">
        <f t="shared" si="513"/>
        <v>-16963.795667830127</v>
      </c>
      <c r="AY594">
        <f t="shared" si="521"/>
        <v>-1.3109675857418372</v>
      </c>
      <c r="BA594">
        <f t="shared" si="502"/>
        <v>2.4059835291634362</v>
      </c>
      <c r="BB594">
        <f t="shared" si="514"/>
        <v>7.6258529985809531</v>
      </c>
      <c r="BC594">
        <f t="shared" si="515"/>
        <v>-1.3692382148470157</v>
      </c>
      <c r="BD594">
        <f t="shared" si="503"/>
        <v>-258.45157094840505</v>
      </c>
      <c r="BF594">
        <f t="shared" si="504"/>
        <v>-43.719896026041809</v>
      </c>
      <c r="BG594">
        <f t="shared" si="505"/>
        <v>-192.50060778264051</v>
      </c>
      <c r="BH594">
        <f t="shared" si="516"/>
        <v>-12.500607782640515</v>
      </c>
      <c r="BI594">
        <f t="shared" si="517"/>
        <v>-12.500607782640515</v>
      </c>
      <c r="BJ594">
        <f t="shared" si="506"/>
        <v>0</v>
      </c>
      <c r="BK594">
        <f t="shared" si="518"/>
        <v>0</v>
      </c>
      <c r="BM594">
        <f t="shared" si="519"/>
        <v>-51.345749024622762</v>
      </c>
      <c r="BN594">
        <f t="shared" si="507"/>
        <v>-114.04903683423551</v>
      </c>
      <c r="BQ594" s="75">
        <f t="shared" si="520"/>
        <v>24.527813798866092</v>
      </c>
    </row>
    <row r="595" spans="1:69">
      <c r="A595">
        <f t="shared" si="522"/>
        <v>1905000</v>
      </c>
      <c r="B595">
        <f t="shared" si="508"/>
        <v>1905</v>
      </c>
      <c r="C595">
        <f t="shared" si="477"/>
        <v>2.4405952974364977</v>
      </c>
      <c r="D595">
        <f t="shared" si="478"/>
        <v>1.1486315821847981</v>
      </c>
      <c r="F595">
        <f t="shared" si="479"/>
        <v>1.2292510366329558E-4</v>
      </c>
      <c r="G595">
        <f t="shared" si="480"/>
        <v>3.4040604500844493E-3</v>
      </c>
      <c r="H595">
        <f t="shared" si="481"/>
        <v>-3.138188589549916</v>
      </c>
      <c r="J595">
        <f t="shared" si="482"/>
        <v>9</v>
      </c>
      <c r="M595">
        <f t="shared" si="483"/>
        <v>2.2156015164149379E-3</v>
      </c>
      <c r="N595">
        <f t="shared" si="484"/>
        <v>-1.5707963250000001</v>
      </c>
      <c r="O595">
        <f t="shared" si="485"/>
        <v>244.99311183456834</v>
      </c>
      <c r="P595">
        <f t="shared" si="486"/>
        <v>1.5667145680494792</v>
      </c>
      <c r="Q595">
        <f t="shared" si="487"/>
        <v>100.0368346975611</v>
      </c>
      <c r="R595">
        <f t="shared" si="488"/>
        <v>1.5607998424182419</v>
      </c>
      <c r="S595">
        <f t="shared" si="489"/>
        <v>0.61453274205679775</v>
      </c>
      <c r="T595">
        <f t="shared" si="490"/>
        <v>-0.9090027940092934</v>
      </c>
      <c r="U595">
        <f t="shared" si="491"/>
        <v>0.44701798253354491</v>
      </c>
      <c r="V595">
        <f t="shared" si="492"/>
        <v>-1.1073674077845956</v>
      </c>
      <c r="X595">
        <f t="shared" si="509"/>
        <v>-27.898912936565839</v>
      </c>
      <c r="Y595">
        <f t="shared" si="493"/>
        <v>-140.32934609279511</v>
      </c>
      <c r="Z595">
        <f t="shared" si="510"/>
        <v>39.670653907204894</v>
      </c>
      <c r="AC595">
        <v>1</v>
      </c>
      <c r="AD595">
        <f t="shared" si="494"/>
        <v>244.99107095236201</v>
      </c>
      <c r="AE595">
        <f t="shared" si="495"/>
        <v>-1.6421511585878325E-2</v>
      </c>
      <c r="AF595">
        <f t="shared" si="496"/>
        <v>8.2062672584004015E-3</v>
      </c>
      <c r="AG595">
        <f t="shared" si="473"/>
        <v>5916.8790473482804</v>
      </c>
      <c r="AH595">
        <f t="shared" si="474"/>
        <v>-11962.088820320121</v>
      </c>
      <c r="AJ595">
        <f t="shared" si="497"/>
        <v>55000</v>
      </c>
      <c r="AK595">
        <f t="shared" si="498"/>
        <v>70604.899344354388</v>
      </c>
      <c r="AL595">
        <v>1</v>
      </c>
      <c r="AM595">
        <f t="shared" si="499"/>
        <v>100.03183641374963</v>
      </c>
      <c r="AN595">
        <f t="shared" si="475"/>
        <v>711.24970426543041</v>
      </c>
      <c r="AO595">
        <f t="shared" si="476"/>
        <v>-542.71472205295277</v>
      </c>
      <c r="AQ595">
        <f t="shared" si="500"/>
        <v>3.1372580637703215E-3</v>
      </c>
      <c r="AR595">
        <f t="shared" si="501"/>
        <v>-3.1496031742512582</v>
      </c>
      <c r="AT595">
        <f t="shared" si="470"/>
        <v>-37657.270142652094</v>
      </c>
      <c r="AU595">
        <f t="shared" si="471"/>
        <v>-18673.349188799992</v>
      </c>
      <c r="AV595">
        <f t="shared" si="511"/>
        <v>-2.6812494132308049</v>
      </c>
      <c r="AW595">
        <f t="shared" si="512"/>
        <v>4495.439783718487</v>
      </c>
      <c r="AX595">
        <f t="shared" si="513"/>
        <v>-16930.695003121444</v>
      </c>
      <c r="AY595">
        <f t="shared" si="521"/>
        <v>-1.3112646889149735</v>
      </c>
      <c r="BA595">
        <f t="shared" si="502"/>
        <v>2.3995011216044033</v>
      </c>
      <c r="BB595">
        <f t="shared" si="514"/>
        <v>7.6024191454353964</v>
      </c>
      <c r="BC595">
        <f t="shared" si="515"/>
        <v>-1.3699847243158314</v>
      </c>
      <c r="BD595">
        <f t="shared" si="503"/>
        <v>-258.4943427903836</v>
      </c>
      <c r="BF595">
        <f t="shared" si="504"/>
        <v>-43.770003599012938</v>
      </c>
      <c r="BG595">
        <f t="shared" si="505"/>
        <v>-192.48756254333955</v>
      </c>
      <c r="BH595">
        <f t="shared" si="516"/>
        <v>-12.48756254333955</v>
      </c>
      <c r="BI595">
        <f t="shared" si="517"/>
        <v>-12.48756254333955</v>
      </c>
      <c r="BJ595">
        <f t="shared" si="506"/>
        <v>0</v>
      </c>
      <c r="BK595">
        <f t="shared" si="518"/>
        <v>0</v>
      </c>
      <c r="BM595">
        <f t="shared" si="519"/>
        <v>-51.372422744448329</v>
      </c>
      <c r="BN595">
        <f t="shared" si="507"/>
        <v>-113.99321975295594</v>
      </c>
      <c r="BQ595" s="75">
        <f t="shared" si="520"/>
        <v>24.50437994572053</v>
      </c>
    </row>
    <row r="596" spans="1:69">
      <c r="A596">
        <f t="shared" si="522"/>
        <v>1910000</v>
      </c>
      <c r="B596">
        <f t="shared" si="508"/>
        <v>1910</v>
      </c>
      <c r="C596">
        <f t="shared" si="477"/>
        <v>2.4459268083557069</v>
      </c>
      <c r="D596">
        <f t="shared" si="478"/>
        <v>1.1496104491192041</v>
      </c>
      <c r="F596">
        <f t="shared" si="479"/>
        <v>1.2228228412124672E-4</v>
      </c>
      <c r="G596">
        <f t="shared" si="480"/>
        <v>3.3951471803311609E-3</v>
      </c>
      <c r="H596">
        <f t="shared" si="481"/>
        <v>-3.1381975028196689</v>
      </c>
      <c r="J596">
        <f t="shared" si="482"/>
        <v>9</v>
      </c>
      <c r="M596">
        <f t="shared" si="483"/>
        <v>2.2098015124452654E-3</v>
      </c>
      <c r="N596">
        <f t="shared" si="484"/>
        <v>-1.5707963250000001</v>
      </c>
      <c r="O596">
        <f t="shared" si="485"/>
        <v>245.6361276755911</v>
      </c>
      <c r="P596">
        <f t="shared" si="486"/>
        <v>1.5667252531635802</v>
      </c>
      <c r="Q596">
        <f t="shared" si="487"/>
        <v>100.29937236544184</v>
      </c>
      <c r="R596">
        <f t="shared" si="488"/>
        <v>1.5608260094890238</v>
      </c>
      <c r="S596">
        <f t="shared" si="489"/>
        <v>0.61353006734783389</v>
      </c>
      <c r="T596">
        <f t="shared" si="490"/>
        <v>-0.91027315797938901</v>
      </c>
      <c r="U596">
        <f t="shared" si="491"/>
        <v>0.44608087980022798</v>
      </c>
      <c r="V596">
        <f t="shared" si="492"/>
        <v>-1.1084147320861788</v>
      </c>
      <c r="X596">
        <f t="shared" si="509"/>
        <v>-27.935146142831279</v>
      </c>
      <c r="Y596">
        <f t="shared" si="493"/>
        <v>-140.40445412310763</v>
      </c>
      <c r="Z596">
        <f t="shared" si="510"/>
        <v>39.595545876892373</v>
      </c>
      <c r="AC596">
        <v>1</v>
      </c>
      <c r="AD596">
        <f t="shared" si="494"/>
        <v>245.63409213596404</v>
      </c>
      <c r="AE596">
        <f t="shared" si="495"/>
        <v>-1.6507826872629073E-2</v>
      </c>
      <c r="AF596">
        <f t="shared" si="496"/>
        <v>8.2278060176088005E-3</v>
      </c>
      <c r="AG596">
        <f t="shared" si="473"/>
        <v>5892.0974415740557</v>
      </c>
      <c r="AH596">
        <f t="shared" si="474"/>
        <v>-11943.126062022009</v>
      </c>
      <c r="AJ596">
        <f t="shared" si="497"/>
        <v>55000</v>
      </c>
      <c r="AK596">
        <f t="shared" si="498"/>
        <v>70790.214040796258</v>
      </c>
      <c r="AL596">
        <v>1</v>
      </c>
      <c r="AM596">
        <f t="shared" si="499"/>
        <v>100.29438716549176</v>
      </c>
      <c r="AN596">
        <f t="shared" si="475"/>
        <v>711.2213389249896</v>
      </c>
      <c r="AO596">
        <f t="shared" si="476"/>
        <v>-541.29428570609116</v>
      </c>
      <c r="AQ596">
        <f t="shared" si="500"/>
        <v>3.1208541443322746E-3</v>
      </c>
      <c r="AR596">
        <f t="shared" si="501"/>
        <v>-3.1413581560605377</v>
      </c>
      <c r="AT596">
        <f t="shared" si="470"/>
        <v>-37499.248087072665</v>
      </c>
      <c r="AU596">
        <f t="shared" si="471"/>
        <v>-18546.461108859032</v>
      </c>
      <c r="AV596">
        <f t="shared" si="511"/>
        <v>-2.6822886599560825</v>
      </c>
      <c r="AW596">
        <f t="shared" si="512"/>
        <v>4481.318366448304</v>
      </c>
      <c r="AX596">
        <f t="shared" si="513"/>
        <v>-16897.702221011437</v>
      </c>
      <c r="AY596">
        <f t="shared" si="521"/>
        <v>-1.3115610895232526</v>
      </c>
      <c r="BA596">
        <f t="shared" si="502"/>
        <v>2.3930537817398174</v>
      </c>
      <c r="BB596">
        <f t="shared" si="514"/>
        <v>7.5790491820503005</v>
      </c>
      <c r="BC596">
        <f t="shared" si="515"/>
        <v>-1.3707275704328299</v>
      </c>
      <c r="BD596">
        <f t="shared" si="503"/>
        <v>-258.53690473776396</v>
      </c>
      <c r="BF596">
        <f t="shared" si="504"/>
        <v>-43.819960639801536</v>
      </c>
      <c r="BG596">
        <f t="shared" si="505"/>
        <v>-192.4745502393485</v>
      </c>
      <c r="BH596">
        <f t="shared" si="516"/>
        <v>-12.474550239348503</v>
      </c>
      <c r="BI596">
        <f t="shared" si="517"/>
        <v>-12.474550239348503</v>
      </c>
      <c r="BJ596">
        <f t="shared" si="506"/>
        <v>0</v>
      </c>
      <c r="BK596">
        <f t="shared" si="518"/>
        <v>0</v>
      </c>
      <c r="BM596">
        <f t="shared" si="519"/>
        <v>-51.399009821851834</v>
      </c>
      <c r="BN596">
        <f t="shared" si="507"/>
        <v>-113.93764550158457</v>
      </c>
      <c r="BQ596" s="75">
        <f t="shared" si="520"/>
        <v>24.481009982335436</v>
      </c>
    </row>
    <row r="597" spans="1:69">
      <c r="A597">
        <f t="shared" si="522"/>
        <v>1915000</v>
      </c>
      <c r="B597">
        <f t="shared" si="508"/>
        <v>1915</v>
      </c>
      <c r="C597">
        <f t="shared" si="477"/>
        <v>2.4512606527180529</v>
      </c>
      <c r="D597">
        <f t="shared" si="478"/>
        <v>1.150585057034101</v>
      </c>
      <c r="F597">
        <f t="shared" si="479"/>
        <v>1.216444939223785E-4</v>
      </c>
      <c r="G597">
        <f t="shared" si="480"/>
        <v>3.3862804715853023E-3</v>
      </c>
      <c r="H597">
        <f t="shared" si="481"/>
        <v>-3.1382063695284148</v>
      </c>
      <c r="J597">
        <f t="shared" si="482"/>
        <v>9</v>
      </c>
      <c r="M597">
        <f t="shared" si="483"/>
        <v>2.2040317957025884E-3</v>
      </c>
      <c r="N597">
        <f t="shared" si="484"/>
        <v>-1.5707963250000001</v>
      </c>
      <c r="O597">
        <f t="shared" si="485"/>
        <v>246.27914354451204</v>
      </c>
      <c r="P597">
        <f t="shared" si="486"/>
        <v>1.5667358824816633</v>
      </c>
      <c r="Q597">
        <f t="shared" si="487"/>
        <v>100.56191010164052</v>
      </c>
      <c r="R597">
        <f t="shared" si="488"/>
        <v>1.5608520399306858</v>
      </c>
      <c r="S597">
        <f t="shared" si="489"/>
        <v>0.61252967555816518</v>
      </c>
      <c r="T597">
        <f t="shared" si="490"/>
        <v>-0.91153938120205547</v>
      </c>
      <c r="U597">
        <f t="shared" si="491"/>
        <v>0.44514721260765167</v>
      </c>
      <c r="V597">
        <f t="shared" si="492"/>
        <v>-1.1094576733347428</v>
      </c>
      <c r="X597">
        <f t="shared" si="509"/>
        <v>-27.971314886392975</v>
      </c>
      <c r="Y597">
        <f t="shared" si="493"/>
        <v>-140.47932615687057</v>
      </c>
      <c r="Z597">
        <f t="shared" si="510"/>
        <v>39.52067384312943</v>
      </c>
      <c r="AC597">
        <v>1</v>
      </c>
      <c r="AD597">
        <f t="shared" si="494"/>
        <v>246.27711331956604</v>
      </c>
      <c r="AE597">
        <f t="shared" si="495"/>
        <v>-1.6594368411769728E-2</v>
      </c>
      <c r="AF597">
        <f t="shared" si="496"/>
        <v>8.2493447768172013E-3</v>
      </c>
      <c r="AG597">
        <f t="shared" si="473"/>
        <v>5867.4584079989427</v>
      </c>
      <c r="AH597">
        <f t="shared" si="474"/>
        <v>-11924.191450878196</v>
      </c>
      <c r="AJ597">
        <f t="shared" si="497"/>
        <v>55000</v>
      </c>
      <c r="AK597">
        <f t="shared" si="498"/>
        <v>70975.528737238128</v>
      </c>
      <c r="AL597">
        <v>1</v>
      </c>
      <c r="AM597">
        <f t="shared" si="499"/>
        <v>100.5569379172339</v>
      </c>
      <c r="AN597">
        <f t="shared" si="475"/>
        <v>711.19319544789516</v>
      </c>
      <c r="AO597">
        <f t="shared" si="476"/>
        <v>-539.88126457506064</v>
      </c>
      <c r="AQ597">
        <f t="shared" si="500"/>
        <v>3.1045785471415068E-3</v>
      </c>
      <c r="AR597">
        <f t="shared" si="501"/>
        <v>-3.1331561926679443</v>
      </c>
      <c r="AT597">
        <f t="shared" si="470"/>
        <v>-37342.138301377461</v>
      </c>
      <c r="AU597">
        <f t="shared" si="471"/>
        <v>-18420.683235213888</v>
      </c>
      <c r="AV597">
        <f t="shared" si="511"/>
        <v>-2.6833235658079868</v>
      </c>
      <c r="AW597">
        <f t="shared" si="512"/>
        <v>4467.2599872077863</v>
      </c>
      <c r="AX597">
        <f t="shared" si="513"/>
        <v>-16864.816920726218</v>
      </c>
      <c r="AY597">
        <f t="shared" si="521"/>
        <v>-1.3118567814083835</v>
      </c>
      <c r="BA597">
        <f t="shared" si="502"/>
        <v>2.3866412242974149</v>
      </c>
      <c r="BB597">
        <f t="shared" si="514"/>
        <v>7.5557427578577059</v>
      </c>
      <c r="BC597">
        <f t="shared" si="515"/>
        <v>-1.3714667843996033</v>
      </c>
      <c r="BD597">
        <f t="shared" si="503"/>
        <v>-258.57925857826558</v>
      </c>
      <c r="BF597">
        <f t="shared" si="504"/>
        <v>-43.86976805362049</v>
      </c>
      <c r="BG597">
        <f t="shared" si="505"/>
        <v>-192.46157118457259</v>
      </c>
      <c r="BH597">
        <f t="shared" si="516"/>
        <v>-12.461571184572591</v>
      </c>
      <c r="BI597">
        <f t="shared" si="517"/>
        <v>-12.461571184572591</v>
      </c>
      <c r="BJ597">
        <f t="shared" si="506"/>
        <v>0</v>
      </c>
      <c r="BK597">
        <f t="shared" si="518"/>
        <v>0</v>
      </c>
      <c r="BM597">
        <f t="shared" si="519"/>
        <v>-51.42551081147819</v>
      </c>
      <c r="BN597">
        <f t="shared" si="507"/>
        <v>-113.88231260630702</v>
      </c>
      <c r="BQ597" s="75">
        <f t="shared" si="520"/>
        <v>24.457703558142843</v>
      </c>
    </row>
    <row r="598" spans="1:69">
      <c r="A598">
        <f t="shared" si="522"/>
        <v>1920000</v>
      </c>
      <c r="B598">
        <f t="shared" si="508"/>
        <v>1920</v>
      </c>
      <c r="C598">
        <f t="shared" si="477"/>
        <v>2.4565968153241902</v>
      </c>
      <c r="D598">
        <f t="shared" si="478"/>
        <v>1.1515554318259842</v>
      </c>
      <c r="F598">
        <f t="shared" si="479"/>
        <v>1.2101168073587769E-4</v>
      </c>
      <c r="G598">
        <f t="shared" si="480"/>
        <v>3.3774599599175822E-3</v>
      </c>
      <c r="H598">
        <f t="shared" si="481"/>
        <v>-3.1382151900400825</v>
      </c>
      <c r="J598">
        <f t="shared" si="482"/>
        <v>9</v>
      </c>
      <c r="M598">
        <f t="shared" si="483"/>
        <v>2.1982921295679463E-3</v>
      </c>
      <c r="N598">
        <f t="shared" si="484"/>
        <v>-1.5707963250000001</v>
      </c>
      <c r="O598">
        <f t="shared" si="485"/>
        <v>246.92215944111334</v>
      </c>
      <c r="P598">
        <f t="shared" si="486"/>
        <v>1.566746456439625</v>
      </c>
      <c r="Q598">
        <f t="shared" si="487"/>
        <v>100.82444790562347</v>
      </c>
      <c r="R598">
        <f t="shared" si="488"/>
        <v>1.5608779348105024</v>
      </c>
      <c r="S598">
        <f t="shared" si="489"/>
        <v>0.61153156513897666</v>
      </c>
      <c r="T598">
        <f t="shared" si="490"/>
        <v>-0.91280147984894666</v>
      </c>
      <c r="U598">
        <f t="shared" si="491"/>
        <v>0.44421696550309547</v>
      </c>
      <c r="V598">
        <f t="shared" si="492"/>
        <v>-1.1104962567327628</v>
      </c>
      <c r="X598">
        <f t="shared" si="509"/>
        <v>-28.007419386744559</v>
      </c>
      <c r="Y598">
        <f t="shared" si="493"/>
        <v>-140.55396301561325</v>
      </c>
      <c r="Z598">
        <f t="shared" si="510"/>
        <v>39.446036984386751</v>
      </c>
      <c r="AC598">
        <v>1</v>
      </c>
      <c r="AD598">
        <f t="shared" si="494"/>
        <v>246.92013450316801</v>
      </c>
      <c r="AE598">
        <f t="shared" si="495"/>
        <v>-1.6681136203300296E-2</v>
      </c>
      <c r="AF598">
        <f t="shared" si="496"/>
        <v>8.2708835360256003E-3</v>
      </c>
      <c r="AG598">
        <f t="shared" si="473"/>
        <v>5842.9609702344424</v>
      </c>
      <c r="AH598">
        <f t="shared" si="474"/>
        <v>-11905.285251104469</v>
      </c>
      <c r="AJ598">
        <f t="shared" si="497"/>
        <v>55000</v>
      </c>
      <c r="AK598">
        <f t="shared" si="498"/>
        <v>71160.843433680013</v>
      </c>
      <c r="AL598">
        <v>1</v>
      </c>
      <c r="AM598">
        <f t="shared" si="499"/>
        <v>100.81948866897599</v>
      </c>
      <c r="AN598">
        <f t="shared" si="475"/>
        <v>711.16527152646222</v>
      </c>
      <c r="AO598">
        <f t="shared" si="476"/>
        <v>-538.47560075137744</v>
      </c>
      <c r="AQ598">
        <f t="shared" si="500"/>
        <v>3.0884299372521207E-3</v>
      </c>
      <c r="AR598">
        <f t="shared" si="501"/>
        <v>-3.1249969477091857</v>
      </c>
      <c r="AT598">
        <f t="shared" ref="AT598:AT626" si="523">-AR598*AH598+AG598*AQ598</f>
        <v>-37185.934495725982</v>
      </c>
      <c r="AU598">
        <f t="shared" ref="AU598:AU626" si="524">AQ598*AH598+AG598*AR598</f>
        <v>-18296.00383694757</v>
      </c>
      <c r="AV598">
        <f t="shared" si="511"/>
        <v>-2.6843541556594746</v>
      </c>
      <c r="AW598">
        <f t="shared" si="512"/>
        <v>4453.2644588647254</v>
      </c>
      <c r="AX598">
        <f t="shared" si="513"/>
        <v>-16832.038702537917</v>
      </c>
      <c r="AY598">
        <f t="shared" si="521"/>
        <v>-1.312151758599106</v>
      </c>
      <c r="BA598">
        <f t="shared" si="502"/>
        <v>2.3802631670916186</v>
      </c>
      <c r="BB598">
        <f t="shared" si="514"/>
        <v>7.5324995251410645</v>
      </c>
      <c r="BC598">
        <f t="shared" si="515"/>
        <v>-1.3722023970603685</v>
      </c>
      <c r="BD598">
        <f t="shared" si="503"/>
        <v>-258.62140607913199</v>
      </c>
      <c r="BF598">
        <f t="shared" si="504"/>
        <v>-43.919426737737474</v>
      </c>
      <c r="BG598">
        <f t="shared" si="505"/>
        <v>-192.44862568334693</v>
      </c>
      <c r="BH598">
        <f t="shared" si="516"/>
        <v>-12.448625683346933</v>
      </c>
      <c r="BI598">
        <f t="shared" si="517"/>
        <v>-12.448625683346933</v>
      </c>
      <c r="BJ598">
        <f t="shared" si="506"/>
        <v>0</v>
      </c>
      <c r="BK598">
        <f t="shared" si="518"/>
        <v>0</v>
      </c>
      <c r="BM598">
        <f t="shared" si="519"/>
        <v>-51.451926262878544</v>
      </c>
      <c r="BN598">
        <f t="shared" si="507"/>
        <v>-113.82721960421499</v>
      </c>
      <c r="BQ598" s="75">
        <f t="shared" si="520"/>
        <v>24.434460325426201</v>
      </c>
    </row>
    <row r="599" spans="1:69">
      <c r="A599">
        <f t="shared" ref="A599:A614" si="525">A598+5000</f>
        <v>1925000</v>
      </c>
      <c r="B599">
        <f t="shared" si="508"/>
        <v>1925</v>
      </c>
      <c r="C599">
        <f t="shared" si="477"/>
        <v>2.46193528109997</v>
      </c>
      <c r="D599">
        <f t="shared" si="478"/>
        <v>1.1525215991987676</v>
      </c>
      <c r="F599">
        <f t="shared" si="479"/>
        <v>1.2038379290982495E-4</v>
      </c>
      <c r="G599">
        <f t="shared" si="480"/>
        <v>3.3686852851820101E-3</v>
      </c>
      <c r="H599">
        <f t="shared" si="481"/>
        <v>-3.1382239647148182</v>
      </c>
      <c r="J599">
        <f t="shared" si="482"/>
        <v>9</v>
      </c>
      <c r="M599">
        <f t="shared" si="483"/>
        <v>2.1925822798807568E-3</v>
      </c>
      <c r="N599">
        <f t="shared" si="484"/>
        <v>-1.5707963250000001</v>
      </c>
      <c r="O599">
        <f t="shared" si="485"/>
        <v>247.56517536517921</v>
      </c>
      <c r="P599">
        <f t="shared" si="486"/>
        <v>1.5667569754688335</v>
      </c>
      <c r="Q599">
        <f t="shared" si="487"/>
        <v>101.08698577686256</v>
      </c>
      <c r="R599">
        <f t="shared" si="488"/>
        <v>1.5609036951846613</v>
      </c>
      <c r="S599">
        <f t="shared" si="489"/>
        <v>0.61053573447208143</v>
      </c>
      <c r="T599">
        <f t="shared" si="490"/>
        <v>-0.91405947003909382</v>
      </c>
      <c r="U599">
        <f t="shared" si="491"/>
        <v>0.44329012309161892</v>
      </c>
      <c r="V599">
        <f t="shared" si="492"/>
        <v>-1.1115305073101462</v>
      </c>
      <c r="X599">
        <f t="shared" si="509"/>
        <v>-28.043459862014309</v>
      </c>
      <c r="Y599">
        <f t="shared" si="493"/>
        <v>-140.62836551967465</v>
      </c>
      <c r="Z599">
        <f t="shared" si="510"/>
        <v>39.371634480325355</v>
      </c>
      <c r="AC599">
        <v>1</v>
      </c>
      <c r="AD599">
        <f t="shared" si="494"/>
        <v>247.56315568677002</v>
      </c>
      <c r="AE599">
        <f t="shared" si="495"/>
        <v>-1.6768130247220774E-2</v>
      </c>
      <c r="AF599">
        <f t="shared" si="496"/>
        <v>8.2924222952340011E-3</v>
      </c>
      <c r="AG599">
        <f t="shared" si="473"/>
        <v>5818.6041588984244</v>
      </c>
      <c r="AH599">
        <f t="shared" si="474"/>
        <v>-11886.407720706633</v>
      </c>
      <c r="AJ599">
        <f t="shared" si="497"/>
        <v>55000</v>
      </c>
      <c r="AK599">
        <f t="shared" si="498"/>
        <v>71346.158130121883</v>
      </c>
      <c r="AL599">
        <v>1</v>
      </c>
      <c r="AM599">
        <f t="shared" si="499"/>
        <v>101.08203942071813</v>
      </c>
      <c r="AN599">
        <f t="shared" si="475"/>
        <v>711.1375648829295</v>
      </c>
      <c r="AO599">
        <f t="shared" si="476"/>
        <v>-537.07723692790694</v>
      </c>
      <c r="AQ599">
        <f t="shared" si="500"/>
        <v>3.0724069970326016E-3</v>
      </c>
      <c r="AR599">
        <f t="shared" si="501"/>
        <v>-3.1168800883146486</v>
      </c>
      <c r="AT599">
        <f t="shared" si="523"/>
        <v>-37030.630426129253</v>
      </c>
      <c r="AU599">
        <f t="shared" si="524"/>
        <v>-18172.411326905985</v>
      </c>
      <c r="AV599">
        <f t="shared" si="511"/>
        <v>-2.6853804542143567</v>
      </c>
      <c r="AW599">
        <f t="shared" si="512"/>
        <v>4439.3315914829254</v>
      </c>
      <c r="AX599">
        <f t="shared" si="513"/>
        <v>-16799.367167767949</v>
      </c>
      <c r="AY599">
        <f t="shared" si="521"/>
        <v>-1.3124460153072559</v>
      </c>
      <c r="BA599">
        <f t="shared" si="502"/>
        <v>2.3739193309820923</v>
      </c>
      <c r="BB599">
        <f t="shared" si="514"/>
        <v>7.5093191390051084</v>
      </c>
      <c r="BC599">
        <f t="shared" si="515"/>
        <v>-1.3729344389071008</v>
      </c>
      <c r="BD599">
        <f t="shared" si="503"/>
        <v>-258.66334898742463</v>
      </c>
      <c r="BF599">
        <f t="shared" si="504"/>
        <v>-43.968937581564369</v>
      </c>
      <c r="BG599">
        <f t="shared" si="505"/>
        <v>-192.43571403064212</v>
      </c>
      <c r="BH599">
        <f t="shared" si="516"/>
        <v>-12.435714030642117</v>
      </c>
      <c r="BI599">
        <f t="shared" si="517"/>
        <v>-12.435714030642117</v>
      </c>
      <c r="BJ599">
        <f t="shared" si="506"/>
        <v>0</v>
      </c>
      <c r="BK599">
        <f t="shared" si="518"/>
        <v>0</v>
      </c>
      <c r="BM599">
        <f t="shared" si="519"/>
        <v>-51.478256720569469</v>
      </c>
      <c r="BN599">
        <f t="shared" si="507"/>
        <v>-113.77236504321752</v>
      </c>
      <c r="BQ599" s="75">
        <f t="shared" si="520"/>
        <v>24.411279939290246</v>
      </c>
    </row>
    <row r="600" spans="1:69">
      <c r="A600">
        <f t="shared" si="525"/>
        <v>1930000</v>
      </c>
      <c r="B600">
        <f t="shared" si="508"/>
        <v>1930</v>
      </c>
      <c r="C600">
        <f t="shared" si="477"/>
        <v>2.4672760350952294</v>
      </c>
      <c r="D600">
        <f t="shared" si="478"/>
        <v>1.1534835846653706</v>
      </c>
      <c r="F600">
        <f t="shared" si="479"/>
        <v>1.197607794606526E-4</v>
      </c>
      <c r="G600">
        <f t="shared" si="480"/>
        <v>3.3599560909668555E-3</v>
      </c>
      <c r="H600">
        <f t="shared" si="481"/>
        <v>-3.1382326939090333</v>
      </c>
      <c r="J600">
        <f t="shared" si="482"/>
        <v>9</v>
      </c>
      <c r="M600">
        <f t="shared" si="483"/>
        <v>2.1869020149069725E-3</v>
      </c>
      <c r="N600">
        <f t="shared" si="484"/>
        <v>-1.5707963250000001</v>
      </c>
      <c r="O600">
        <f t="shared" si="485"/>
        <v>248.20819131649625</v>
      </c>
      <c r="P600">
        <f t="shared" si="486"/>
        <v>1.5667674399961871</v>
      </c>
      <c r="Q600">
        <f t="shared" si="487"/>
        <v>101.34952371483513</v>
      </c>
      <c r="R600">
        <f t="shared" si="488"/>
        <v>1.5609293220984071</v>
      </c>
      <c r="S600">
        <f t="shared" si="489"/>
        <v>0.60954218187104037</v>
      </c>
      <c r="T600">
        <f t="shared" si="490"/>
        <v>-0.91531336783877104</v>
      </c>
      <c r="U600">
        <f t="shared" si="491"/>
        <v>0.44236667003631552</v>
      </c>
      <c r="V600">
        <f t="shared" si="492"/>
        <v>-1.1125604499254715</v>
      </c>
      <c r="X600">
        <f t="shared" si="509"/>
        <v>-28.079436528981006</v>
      </c>
      <c r="Y600">
        <f t="shared" si="493"/>
        <v>-140.70253448816669</v>
      </c>
      <c r="Z600">
        <f t="shared" si="510"/>
        <v>39.297465511833309</v>
      </c>
      <c r="AC600">
        <v>1</v>
      </c>
      <c r="AD600">
        <f t="shared" si="494"/>
        <v>248.20617687037205</v>
      </c>
      <c r="AE600">
        <f t="shared" si="495"/>
        <v>-1.6855350543531163E-2</v>
      </c>
      <c r="AF600">
        <f t="shared" si="496"/>
        <v>8.3139610544424002E-3</v>
      </c>
      <c r="AG600">
        <f t="shared" si="473"/>
        <v>5794.3870115747486</v>
      </c>
      <c r="AH600">
        <f t="shared" si="474"/>
        <v>-11867.559111580864</v>
      </c>
      <c r="AJ600">
        <f t="shared" si="497"/>
        <v>55000</v>
      </c>
      <c r="AK600">
        <f t="shared" si="498"/>
        <v>71531.472826563768</v>
      </c>
      <c r="AL600">
        <v>1</v>
      </c>
      <c r="AM600">
        <f t="shared" si="499"/>
        <v>101.34459017246027</v>
      </c>
      <c r="AN600">
        <f t="shared" si="475"/>
        <v>711.11007326899846</v>
      </c>
      <c r="AO600">
        <f t="shared" si="476"/>
        <v>-535.68611639108144</v>
      </c>
      <c r="AQ600">
        <f t="shared" si="500"/>
        <v>3.0565084258970285E-3</v>
      </c>
      <c r="AR600">
        <f t="shared" si="501"/>
        <v>-3.1088052850641268</v>
      </c>
      <c r="AT600">
        <f t="shared" si="523"/>
        <v>-36876.219894169735</v>
      </c>
      <c r="AU600">
        <f t="shared" si="524"/>
        <v>-18049.894259709887</v>
      </c>
      <c r="AV600">
        <f t="shared" si="511"/>
        <v>-2.6864024860084963</v>
      </c>
      <c r="AW600">
        <f t="shared" si="512"/>
        <v>4425.4611924289338</v>
      </c>
      <c r="AX600">
        <f t="shared" si="513"/>
        <v>-16766.801918790294</v>
      </c>
      <c r="AY600">
        <f t="shared" si="521"/>
        <v>-1.3127395459239108</v>
      </c>
      <c r="BA600">
        <f t="shared" si="502"/>
        <v>2.3676094398329437</v>
      </c>
      <c r="BB600">
        <f t="shared" si="514"/>
        <v>7.4862012573460817</v>
      </c>
      <c r="BC600">
        <f t="shared" si="515"/>
        <v>-1.3736629400845854</v>
      </c>
      <c r="BD600">
        <f t="shared" si="503"/>
        <v>-258.70508903031248</v>
      </c>
      <c r="BF600">
        <f t="shared" si="504"/>
        <v>-44.018301466745349</v>
      </c>
      <c r="BG600">
        <f t="shared" si="505"/>
        <v>-192.42283651226538</v>
      </c>
      <c r="BH600">
        <f t="shared" si="516"/>
        <v>-12.422836512265377</v>
      </c>
      <c r="BI600">
        <f t="shared" si="517"/>
        <v>-12.422836512265377</v>
      </c>
      <c r="BJ600">
        <f t="shared" si="506"/>
        <v>0</v>
      </c>
      <c r="BK600">
        <f t="shared" si="518"/>
        <v>0</v>
      </c>
      <c r="BM600">
        <f t="shared" si="519"/>
        <v>-51.504502724091438</v>
      </c>
      <c r="BN600">
        <f t="shared" si="507"/>
        <v>-113.71774748195291</v>
      </c>
      <c r="BQ600" s="75">
        <f t="shared" si="520"/>
        <v>24.388162057631217</v>
      </c>
    </row>
    <row r="601" spans="1:69">
      <c r="A601">
        <f t="shared" si="525"/>
        <v>1935000</v>
      </c>
      <c r="B601">
        <f t="shared" si="508"/>
        <v>1935</v>
      </c>
      <c r="C601">
        <f t="shared" si="477"/>
        <v>2.4726190624825941</v>
      </c>
      <c r="D601">
        <f t="shared" si="478"/>
        <v>1.154441413549294</v>
      </c>
      <c r="F601">
        <f t="shared" si="479"/>
        <v>1.1914259006279353E-4</v>
      </c>
      <c r="G601">
        <f t="shared" si="480"/>
        <v>3.3512720245463708E-3</v>
      </c>
      <c r="H601">
        <f t="shared" si="481"/>
        <v>-3.1382413779754539</v>
      </c>
      <c r="J601">
        <f t="shared" si="482"/>
        <v>9</v>
      </c>
      <c r="M601">
        <f t="shared" si="483"/>
        <v>2.1812511053077299E-3</v>
      </c>
      <c r="N601">
        <f t="shared" si="484"/>
        <v>-1.5707963250000001</v>
      </c>
      <c r="O601">
        <f t="shared" si="485"/>
        <v>248.8512072948532</v>
      </c>
      <c r="P601">
        <f t="shared" si="486"/>
        <v>1.5667778504441714</v>
      </c>
      <c r="Q601">
        <f t="shared" si="487"/>
        <v>101.6120617190239</v>
      </c>
      <c r="R601">
        <f t="shared" si="488"/>
        <v>1.5609548165861824</v>
      </c>
      <c r="S601">
        <f t="shared" si="489"/>
        <v>0.60855090558227043</v>
      </c>
      <c r="T601">
        <f t="shared" si="490"/>
        <v>-0.91656318926136648</v>
      </c>
      <c r="U601">
        <f t="shared" si="491"/>
        <v>0.44144659105855172</v>
      </c>
      <c r="V601">
        <f t="shared" si="492"/>
        <v>-1.1135861092672208</v>
      </c>
      <c r="X601">
        <f t="shared" si="509"/>
        <v>-28.115349603089609</v>
      </c>
      <c r="Y601">
        <f t="shared" si="493"/>
        <v>-140.77647073893897</v>
      </c>
      <c r="Z601">
        <f t="shared" si="510"/>
        <v>39.223529261061032</v>
      </c>
      <c r="AC601">
        <v>1</v>
      </c>
      <c r="AD601">
        <f t="shared" si="494"/>
        <v>248.84919805397405</v>
      </c>
      <c r="AE601">
        <f t="shared" si="495"/>
        <v>-1.6942797092231461E-2</v>
      </c>
      <c r="AF601">
        <f t="shared" si="496"/>
        <v>8.3354998136508009E-3</v>
      </c>
      <c r="AG601">
        <f t="shared" si="473"/>
        <v>5770.3085727727457</v>
      </c>
      <c r="AH601">
        <f t="shared" si="474"/>
        <v>-11848.739669612558</v>
      </c>
      <c r="AJ601">
        <f t="shared" si="497"/>
        <v>55000</v>
      </c>
      <c r="AK601">
        <f t="shared" si="498"/>
        <v>71716.787523005638</v>
      </c>
      <c r="AL601">
        <v>1</v>
      </c>
      <c r="AM601">
        <f t="shared" si="499"/>
        <v>101.60714092420237</v>
      </c>
      <c r="AN601">
        <f t="shared" si="475"/>
        <v>711.08279446537392</v>
      </c>
      <c r="AO601">
        <f t="shared" si="476"/>
        <v>-534.30218301323384</v>
      </c>
      <c r="AQ601">
        <f t="shared" si="500"/>
        <v>3.0407329400411473E-3</v>
      </c>
      <c r="AR601">
        <f t="shared" si="501"/>
        <v>-3.1007722119422598</v>
      </c>
      <c r="AT601">
        <f t="shared" si="523"/>
        <v>-36722.6967467211</v>
      </c>
      <c r="AU601">
        <f t="shared" si="524"/>
        <v>-17928.441329797297</v>
      </c>
      <c r="AV601">
        <f t="shared" si="511"/>
        <v>-2.6874202754109935</v>
      </c>
      <c r="AW601">
        <f t="shared" si="512"/>
        <v>4411.6530664760749</v>
      </c>
      <c r="AX601">
        <f t="shared" si="513"/>
        <v>-16734.342559034754</v>
      </c>
      <c r="AY601">
        <f t="shared" si="521"/>
        <v>-1.3130323450156161</v>
      </c>
      <c r="BA601">
        <f t="shared" si="502"/>
        <v>2.3613332204725954</v>
      </c>
      <c r="BB601">
        <f t="shared" si="514"/>
        <v>7.4631455408224046</v>
      </c>
      <c r="BC601">
        <f t="shared" si="515"/>
        <v>-1.3743879303953774</v>
      </c>
      <c r="BD601">
        <f t="shared" si="503"/>
        <v>-258.74662791535621</v>
      </c>
      <c r="BF601">
        <f t="shared" si="504"/>
        <v>-44.067519267243888</v>
      </c>
      <c r="BG601">
        <f t="shared" si="505"/>
        <v>-192.40999340505735</v>
      </c>
      <c r="BH601">
        <f t="shared" si="516"/>
        <v>-12.409993405057349</v>
      </c>
      <c r="BI601">
        <f t="shared" si="517"/>
        <v>-12.409993405057349</v>
      </c>
      <c r="BJ601">
        <f t="shared" si="506"/>
        <v>0</v>
      </c>
      <c r="BK601">
        <f t="shared" si="518"/>
        <v>0</v>
      </c>
      <c r="BM601">
        <f t="shared" si="519"/>
        <v>-51.530664808066291</v>
      </c>
      <c r="BN601">
        <f t="shared" si="507"/>
        <v>-113.66336548970115</v>
      </c>
      <c r="BQ601" s="75">
        <f t="shared" si="520"/>
        <v>24.365106341107541</v>
      </c>
    </row>
    <row r="602" spans="1:69">
      <c r="A602">
        <f t="shared" si="525"/>
        <v>1940000</v>
      </c>
      <c r="B602">
        <f t="shared" si="508"/>
        <v>1940</v>
      </c>
      <c r="C602">
        <f t="shared" si="477"/>
        <v>2.477964348556287</v>
      </c>
      <c r="D602">
        <f t="shared" si="478"/>
        <v>1.1553951109861811</v>
      </c>
      <c r="F602">
        <f t="shared" si="479"/>
        <v>1.1852917503851621E-4</v>
      </c>
      <c r="G602">
        <f t="shared" si="480"/>
        <v>3.342632736833254E-3</v>
      </c>
      <c r="H602">
        <f t="shared" si="481"/>
        <v>-3.1382500172631671</v>
      </c>
      <c r="J602">
        <f t="shared" si="482"/>
        <v>9</v>
      </c>
      <c r="M602">
        <f t="shared" si="483"/>
        <v>2.1756293241084828E-3</v>
      </c>
      <c r="N602">
        <f t="shared" si="484"/>
        <v>-1.5707963250000001</v>
      </c>
      <c r="O602">
        <f t="shared" si="485"/>
        <v>249.49422330004097</v>
      </c>
      <c r="P602">
        <f t="shared" si="486"/>
        <v>1.5667882072309172</v>
      </c>
      <c r="Q602">
        <f t="shared" si="487"/>
        <v>101.87459978891695</v>
      </c>
      <c r="R602">
        <f t="shared" si="488"/>
        <v>1.5609801796717673</v>
      </c>
      <c r="S602">
        <f t="shared" si="489"/>
        <v>0.60756190378613839</v>
      </c>
      <c r="T602">
        <f t="shared" si="490"/>
        <v>-0.91780895026726028</v>
      </c>
      <c r="U602">
        <f t="shared" si="491"/>
        <v>0.44052987093819446</v>
      </c>
      <c r="V602">
        <f t="shared" si="492"/>
        <v>-1.1146075098550041</v>
      </c>
      <c r="X602">
        <f t="shared" si="509"/>
        <v>-28.151199298466626</v>
      </c>
      <c r="Y602">
        <f t="shared" si="493"/>
        <v>-140.85017508854364</v>
      </c>
      <c r="Z602">
        <f t="shared" si="510"/>
        <v>39.149824911456363</v>
      </c>
      <c r="AC602">
        <v>1</v>
      </c>
      <c r="AD602">
        <f t="shared" si="494"/>
        <v>249.49221923757602</v>
      </c>
      <c r="AE602">
        <f t="shared" si="495"/>
        <v>-1.7030469893321666E-2</v>
      </c>
      <c r="AF602">
        <f t="shared" si="496"/>
        <v>8.3570385728592E-3</v>
      </c>
      <c r="AG602">
        <f t="shared" si="473"/>
        <v>5746.3678938865942</v>
      </c>
      <c r="AH602">
        <f t="shared" si="474"/>
        <v>-11829.949634773755</v>
      </c>
      <c r="AJ602">
        <f t="shared" si="497"/>
        <v>55000</v>
      </c>
      <c r="AK602">
        <f t="shared" si="498"/>
        <v>71902.102219447508</v>
      </c>
      <c r="AL602">
        <v>1</v>
      </c>
      <c r="AM602">
        <f t="shared" si="499"/>
        <v>101.86969167594451</v>
      </c>
      <c r="AN602">
        <f t="shared" si="475"/>
        <v>711.05572628131699</v>
      </c>
      <c r="AO602">
        <f t="shared" si="476"/>
        <v>-532.92538124505256</v>
      </c>
      <c r="AQ602">
        <f t="shared" si="500"/>
        <v>3.0250792721831939E-3</v>
      </c>
      <c r="AR602">
        <f t="shared" si="501"/>
        <v>-3.0927805462946538</v>
      </c>
      <c r="AT602">
        <f t="shared" si="523"/>
        <v>-36570.05487566768</v>
      </c>
      <c r="AU602">
        <f t="shared" si="524"/>
        <v>-17808.041369495764</v>
      </c>
      <c r="AV602">
        <f t="shared" si="511"/>
        <v>-2.6884338466253705</v>
      </c>
      <c r="AW602">
        <f t="shared" si="512"/>
        <v>4397.9070159058083</v>
      </c>
      <c r="AX602">
        <f t="shared" si="513"/>
        <v>-16701.98869299033</v>
      </c>
      <c r="AY602">
        <f t="shared" si="521"/>
        <v>-1.3133244073206929</v>
      </c>
      <c r="BA602">
        <f t="shared" si="502"/>
        <v>2.3550904026542701</v>
      </c>
      <c r="BB602">
        <f t="shared" si="514"/>
        <v>7.4401516528256408</v>
      </c>
      <c r="BC602">
        <f t="shared" si="515"/>
        <v>-1.3751094393046777</v>
      </c>
      <c r="BD602">
        <f t="shared" si="503"/>
        <v>-258.78796733078747</v>
      </c>
      <c r="BF602">
        <f t="shared" si="504"/>
        <v>-44.116591849428481</v>
      </c>
      <c r="BG602">
        <f t="shared" si="505"/>
        <v>-192.39718497708461</v>
      </c>
      <c r="BH602">
        <f t="shared" si="516"/>
        <v>-12.397184977084606</v>
      </c>
      <c r="BI602">
        <f t="shared" si="517"/>
        <v>-12.397184977084606</v>
      </c>
      <c r="BJ602">
        <f t="shared" si="506"/>
        <v>0</v>
      </c>
      <c r="BK602">
        <f t="shared" si="518"/>
        <v>0</v>
      </c>
      <c r="BM602">
        <f t="shared" si="519"/>
        <v>-51.556743502254115</v>
      </c>
      <c r="BN602">
        <f t="shared" si="507"/>
        <v>-113.60921764629715</v>
      </c>
      <c r="BQ602" s="75">
        <f t="shared" si="520"/>
        <v>24.342112453110776</v>
      </c>
    </row>
    <row r="603" spans="1:69">
      <c r="A603">
        <f t="shared" si="525"/>
        <v>1945000</v>
      </c>
      <c r="B603">
        <f t="shared" si="508"/>
        <v>1945</v>
      </c>
      <c r="C603">
        <f t="shared" si="477"/>
        <v>2.4833118787309583</v>
      </c>
      <c r="D603">
        <f t="shared" si="478"/>
        <v>1.1563447019253674</v>
      </c>
      <c r="F603">
        <f t="shared" si="479"/>
        <v>1.1792048534794266E-4</v>
      </c>
      <c r="G603">
        <f t="shared" si="480"/>
        <v>3.3340378823318527E-3</v>
      </c>
      <c r="H603">
        <f t="shared" si="481"/>
        <v>-3.1382586121176685</v>
      </c>
      <c r="J603">
        <f t="shared" si="482"/>
        <v>9</v>
      </c>
      <c r="M603">
        <f t="shared" si="483"/>
        <v>2.1700364466686155E-3</v>
      </c>
      <c r="N603">
        <f t="shared" si="484"/>
        <v>-1.5707963250000001</v>
      </c>
      <c r="O603">
        <f t="shared" si="485"/>
        <v>250.13723933185267</v>
      </c>
      <c r="P603">
        <f t="shared" si="486"/>
        <v>1.5667985107702551</v>
      </c>
      <c r="Q603">
        <f t="shared" si="487"/>
        <v>102.13713792400762</v>
      </c>
      <c r="R603">
        <f t="shared" si="488"/>
        <v>1.5610054123684163</v>
      </c>
      <c r="S603">
        <f t="shared" si="489"/>
        <v>0.60657517459804333</v>
      </c>
      <c r="T603">
        <f t="shared" si="490"/>
        <v>-0.91905066676370917</v>
      </c>
      <c r="U603">
        <f t="shared" si="491"/>
        <v>0.43961649451382412</v>
      </c>
      <c r="V603">
        <f t="shared" si="492"/>
        <v>-1.1156246760407775</v>
      </c>
      <c r="X603">
        <f t="shared" si="509"/>
        <v>-28.186985827935263</v>
      </c>
      <c r="Y603">
        <f t="shared" si="493"/>
        <v>-140.92364835220152</v>
      </c>
      <c r="Z603">
        <f t="shared" si="510"/>
        <v>39.076351647798475</v>
      </c>
      <c r="AC603">
        <v>1</v>
      </c>
      <c r="AD603">
        <f t="shared" si="494"/>
        <v>250.13524042117803</v>
      </c>
      <c r="AE603">
        <f t="shared" si="495"/>
        <v>-1.7118368946801785E-2</v>
      </c>
      <c r="AF603">
        <f t="shared" si="496"/>
        <v>8.3785773320676007E-3</v>
      </c>
      <c r="AG603">
        <f t="shared" si="473"/>
        <v>5722.5640331546083</v>
      </c>
      <c r="AH603">
        <f t="shared" si="474"/>
        <v>-11811.18924121905</v>
      </c>
      <c r="AJ603">
        <f t="shared" si="497"/>
        <v>55000</v>
      </c>
      <c r="AK603">
        <f t="shared" si="498"/>
        <v>72087.416915889378</v>
      </c>
      <c r="AL603">
        <v>1</v>
      </c>
      <c r="AM603">
        <f t="shared" si="499"/>
        <v>102.13224242768663</v>
      </c>
      <c r="AN603">
        <f t="shared" si="475"/>
        <v>711.02886655420707</v>
      </c>
      <c r="AO603">
        <f t="shared" si="476"/>
        <v>-531.55565610815188</v>
      </c>
      <c r="AQ603">
        <f t="shared" si="500"/>
        <v>3.0095461713093748E-3</v>
      </c>
      <c r="AR603">
        <f t="shared" si="501"/>
        <v>-3.0848299687846792</v>
      </c>
      <c r="AT603">
        <f t="shared" si="523"/>
        <v>-36418.288217623645</v>
      </c>
      <c r="AU603">
        <f t="shared" si="524"/>
        <v>-17688.683347124177</v>
      </c>
      <c r="AV603">
        <f t="shared" si="511"/>
        <v>-2.6894432236907444</v>
      </c>
      <c r="AW603">
        <f t="shared" si="512"/>
        <v>4384.2228406065342</v>
      </c>
      <c r="AX603">
        <f t="shared" si="513"/>
        <v>-16669.739926208531</v>
      </c>
      <c r="AY603">
        <f t="shared" si="521"/>
        <v>-1.3136157277456173</v>
      </c>
      <c r="BA603">
        <f t="shared" si="502"/>
        <v>2.3488807190171124</v>
      </c>
      <c r="BB603">
        <f t="shared" si="514"/>
        <v>7.417219259451862</v>
      </c>
      <c r="BC603">
        <f t="shared" si="515"/>
        <v>-1.3758274959451271</v>
      </c>
      <c r="BD603">
        <f t="shared" si="503"/>
        <v>-258.82910894578356</v>
      </c>
      <c r="BF603">
        <f t="shared" si="504"/>
        <v>-44.165520072157378</v>
      </c>
      <c r="BG603">
        <f t="shared" si="505"/>
        <v>-192.38441148782832</v>
      </c>
      <c r="BH603">
        <f t="shared" si="516"/>
        <v>-12.384411487828316</v>
      </c>
      <c r="BI603">
        <f t="shared" si="517"/>
        <v>-12.384411487828316</v>
      </c>
      <c r="BJ603">
        <f t="shared" si="506"/>
        <v>0</v>
      </c>
      <c r="BK603">
        <f t="shared" si="518"/>
        <v>0</v>
      </c>
      <c r="BM603">
        <f t="shared" si="519"/>
        <v>-51.58273933160924</v>
      </c>
      <c r="BN603">
        <f t="shared" si="507"/>
        <v>-113.55530254204477</v>
      </c>
      <c r="BQ603" s="75">
        <f t="shared" si="520"/>
        <v>24.319180059736997</v>
      </c>
    </row>
    <row r="604" spans="1:69">
      <c r="A604">
        <f t="shared" si="525"/>
        <v>1950000</v>
      </c>
      <c r="B604">
        <f t="shared" si="508"/>
        <v>1950</v>
      </c>
      <c r="C604">
        <f t="shared" si="477"/>
        <v>2.4886616385405222</v>
      </c>
      <c r="D604">
        <f t="shared" si="478"/>
        <v>1.1572902111314167</v>
      </c>
      <c r="F604">
        <f t="shared" si="479"/>
        <v>1.1731647257924521E-4</v>
      </c>
      <c r="G604">
        <f t="shared" si="480"/>
        <v>3.3254871190920867E-3</v>
      </c>
      <c r="H604">
        <f t="shared" si="481"/>
        <v>-3.1382671628809082</v>
      </c>
      <c r="J604">
        <f t="shared" si="482"/>
        <v>9</v>
      </c>
      <c r="M604">
        <f t="shared" si="483"/>
        <v>2.1644722506515162E-3</v>
      </c>
      <c r="N604">
        <f t="shared" si="484"/>
        <v>-1.5707963250000001</v>
      </c>
      <c r="O604">
        <f t="shared" si="485"/>
        <v>250.78025539008351</v>
      </c>
      <c r="P604">
        <f t="shared" si="486"/>
        <v>1.5668087614717723</v>
      </c>
      <c r="Q604">
        <f t="shared" si="487"/>
        <v>102.39967612379441</v>
      </c>
      <c r="R604">
        <f t="shared" si="488"/>
        <v>1.5610305156789932</v>
      </c>
      <c r="S604">
        <f t="shared" si="489"/>
        <v>0.60559071606948678</v>
      </c>
      <c r="T604">
        <f t="shared" si="490"/>
        <v>-0.92028835460473701</v>
      </c>
      <c r="U604">
        <f t="shared" si="491"/>
        <v>0.43870644668293562</v>
      </c>
      <c r="V604">
        <f t="shared" si="492"/>
        <v>-1.1166376320100528</v>
      </c>
      <c r="X604">
        <f t="shared" si="509"/>
        <v>-28.222709403030301</v>
      </c>
      <c r="Y604">
        <f t="shared" si="493"/>
        <v>-140.99689134376885</v>
      </c>
      <c r="Z604">
        <f t="shared" si="510"/>
        <v>39.003108656231149</v>
      </c>
      <c r="AC604">
        <v>1</v>
      </c>
      <c r="AD604">
        <f t="shared" si="494"/>
        <v>250.77826160478006</v>
      </c>
      <c r="AE604">
        <f t="shared" si="495"/>
        <v>-1.7206494252671817E-2</v>
      </c>
      <c r="AF604">
        <f t="shared" si="496"/>
        <v>8.4001160912759998E-3</v>
      </c>
      <c r="AG604">
        <f t="shared" si="473"/>
        <v>5698.8960556184265</v>
      </c>
      <c r="AH604">
        <f t="shared" si="474"/>
        <v>-11792.458717380103</v>
      </c>
      <c r="AJ604">
        <f t="shared" si="497"/>
        <v>55000</v>
      </c>
      <c r="AK604">
        <f t="shared" si="498"/>
        <v>72272.731612331248</v>
      </c>
      <c r="AL604">
        <v>1</v>
      </c>
      <c r="AM604">
        <f t="shared" si="499"/>
        <v>102.39479317942875</v>
      </c>
      <c r="AN604">
        <f t="shared" si="475"/>
        <v>711.00221314910777</v>
      </c>
      <c r="AO604">
        <f t="shared" si="476"/>
        <v>-530.19295318775664</v>
      </c>
      <c r="AQ604">
        <f t="shared" si="500"/>
        <v>2.9941324024239219E-3</v>
      </c>
      <c r="AR604">
        <f t="shared" si="501"/>
        <v>-3.0769201633509433</v>
      </c>
      <c r="AT604">
        <f t="shared" si="523"/>
        <v>-36267.390753652267</v>
      </c>
      <c r="AU604">
        <f t="shared" si="524"/>
        <v>-17570.356365123451</v>
      </c>
      <c r="AV604">
        <f t="shared" si="511"/>
        <v>-2.6904484304829972</v>
      </c>
      <c r="AW604">
        <f t="shared" si="512"/>
        <v>4370.6003381698438</v>
      </c>
      <c r="AX604">
        <f t="shared" si="513"/>
        <v>-16637.595865306765</v>
      </c>
      <c r="AY604">
        <f t="shared" si="521"/>
        <v>-1.3139063013614802</v>
      </c>
      <c r="BA604">
        <f t="shared" si="502"/>
        <v>2.342703905047923</v>
      </c>
      <c r="BB604">
        <f t="shared" si="514"/>
        <v>7.3943480294733765</v>
      </c>
      <c r="BC604">
        <f t="shared" si="515"/>
        <v>-1.376542129121517</v>
      </c>
      <c r="BD604">
        <f t="shared" si="503"/>
        <v>-258.87005441073751</v>
      </c>
      <c r="BF604">
        <f t="shared" si="504"/>
        <v>-44.214304786862058</v>
      </c>
      <c r="BG604">
        <f t="shared" si="505"/>
        <v>-192.37167318836879</v>
      </c>
      <c r="BH604">
        <f t="shared" si="516"/>
        <v>-12.371673188368788</v>
      </c>
      <c r="BI604">
        <f t="shared" si="517"/>
        <v>-12.371673188368788</v>
      </c>
      <c r="BJ604">
        <f t="shared" si="506"/>
        <v>0</v>
      </c>
      <c r="BK604">
        <f t="shared" si="518"/>
        <v>0</v>
      </c>
      <c r="BM604">
        <f t="shared" si="519"/>
        <v>-51.608652816335436</v>
      </c>
      <c r="BN604">
        <f t="shared" si="507"/>
        <v>-113.50161877763128</v>
      </c>
      <c r="BQ604" s="75">
        <f t="shared" si="520"/>
        <v>24.296308829758516</v>
      </c>
    </row>
    <row r="605" spans="1:69">
      <c r="A605">
        <f t="shared" si="525"/>
        <v>1955000</v>
      </c>
      <c r="B605">
        <f t="shared" si="508"/>
        <v>1955</v>
      </c>
      <c r="C605">
        <f t="shared" si="477"/>
        <v>2.4940136136370077</v>
      </c>
      <c r="D605">
        <f t="shared" si="478"/>
        <v>1.1582316631856464</v>
      </c>
      <c r="F605">
        <f t="shared" si="479"/>
        <v>1.1671708893901905E-4</v>
      </c>
      <c r="G605">
        <f t="shared" si="480"/>
        <v>3.3169801086640766E-3</v>
      </c>
      <c r="H605">
        <f t="shared" si="481"/>
        <v>-3.1382756698913363</v>
      </c>
      <c r="J605">
        <f t="shared" si="482"/>
        <v>9</v>
      </c>
      <c r="M605">
        <f t="shared" si="483"/>
        <v>2.1589365159951183E-3</v>
      </c>
      <c r="N605">
        <f t="shared" si="484"/>
        <v>-1.5707963250000001</v>
      </c>
      <c r="O605">
        <f t="shared" si="485"/>
        <v>251.42327147453074</v>
      </c>
      <c r="P605">
        <f t="shared" si="486"/>
        <v>1.566818959740865</v>
      </c>
      <c r="Q605">
        <f t="shared" si="487"/>
        <v>102.66221438778099</v>
      </c>
      <c r="R605">
        <f t="shared" si="488"/>
        <v>1.561055490596104</v>
      </c>
      <c r="S605">
        <f t="shared" si="489"/>
        <v>0.60460852618912941</v>
      </c>
      <c r="T605">
        <f t="shared" si="490"/>
        <v>-0.92152202959103224</v>
      </c>
      <c r="U605">
        <f t="shared" si="491"/>
        <v>0.43779971240212739</v>
      </c>
      <c r="V605">
        <f t="shared" si="492"/>
        <v>-1.1176464017831018</v>
      </c>
      <c r="X605">
        <f t="shared" si="509"/>
        <v>-28.258370234012684</v>
      </c>
      <c r="Y605">
        <f t="shared" si="493"/>
        <v>-141.06990487570496</v>
      </c>
      <c r="Z605">
        <f t="shared" si="510"/>
        <v>38.930095124295036</v>
      </c>
      <c r="AC605">
        <v>1</v>
      </c>
      <c r="AD605">
        <f t="shared" si="494"/>
        <v>251.42128278838203</v>
      </c>
      <c r="AE605">
        <f t="shared" si="495"/>
        <v>-1.7294845810931752E-2</v>
      </c>
      <c r="AF605">
        <f t="shared" si="496"/>
        <v>8.4216548504844006E-3</v>
      </c>
      <c r="AG605">
        <f t="shared" si="473"/>
        <v>5675.3630330821352</v>
      </c>
      <c r="AH605">
        <f t="shared" si="474"/>
        <v>-11773.758286058739</v>
      </c>
      <c r="AJ605">
        <f t="shared" si="497"/>
        <v>55000</v>
      </c>
      <c r="AK605">
        <f t="shared" si="498"/>
        <v>72458.046308773133</v>
      </c>
      <c r="AL605">
        <v>1</v>
      </c>
      <c r="AM605">
        <f t="shared" si="499"/>
        <v>102.65734393117089</v>
      </c>
      <c r="AN605">
        <f t="shared" si="475"/>
        <v>710.97576395834346</v>
      </c>
      <c r="AO605">
        <f t="shared" si="476"/>
        <v>-528.83721862549908</v>
      </c>
      <c r="AQ605">
        <f t="shared" si="500"/>
        <v>2.9788367463035948E-3</v>
      </c>
      <c r="AR605">
        <f t="shared" si="501"/>
        <v>-3.0690508171653992</v>
      </c>
      <c r="AT605">
        <f t="shared" si="523"/>
        <v>-36117.3565089849</v>
      </c>
      <c r="AU605">
        <f t="shared" si="524"/>
        <v>-17453.049658215634</v>
      </c>
      <c r="AV605">
        <f t="shared" si="511"/>
        <v>-2.6914494907159381</v>
      </c>
      <c r="AW605">
        <f t="shared" si="512"/>
        <v>4357.0393039843211</v>
      </c>
      <c r="AX605">
        <f t="shared" si="513"/>
        <v>-16605.556117971682</v>
      </c>
      <c r="AY605">
        <f t="shared" si="521"/>
        <v>-1.3141961234005171</v>
      </c>
      <c r="BA605">
        <f t="shared" si="502"/>
        <v>2.33655969904349</v>
      </c>
      <c r="BB605">
        <f t="shared" si="514"/>
        <v>7.3715376343107994</v>
      </c>
      <c r="BC605">
        <f t="shared" si="515"/>
        <v>-1.377253367315421</v>
      </c>
      <c r="BD605">
        <f t="shared" si="503"/>
        <v>-258.91080535752326</v>
      </c>
      <c r="BF605">
        <f t="shared" si="504"/>
        <v>-44.262946837629677</v>
      </c>
      <c r="BG605">
        <f t="shared" si="505"/>
        <v>-192.35897032156601</v>
      </c>
      <c r="BH605">
        <f t="shared" si="516"/>
        <v>-12.358970321566005</v>
      </c>
      <c r="BI605">
        <f t="shared" si="517"/>
        <v>-12.358970321566005</v>
      </c>
      <c r="BJ605">
        <f t="shared" si="506"/>
        <v>0</v>
      </c>
      <c r="BK605">
        <f t="shared" si="518"/>
        <v>0</v>
      </c>
      <c r="BM605">
        <f t="shared" si="519"/>
        <v>-51.634484471940482</v>
      </c>
      <c r="BN605">
        <f t="shared" si="507"/>
        <v>-113.44816496404273</v>
      </c>
      <c r="BQ605" s="75">
        <f t="shared" si="520"/>
        <v>24.273498434595936</v>
      </c>
    </row>
    <row r="606" spans="1:69">
      <c r="A606">
        <f t="shared" si="525"/>
        <v>1960000</v>
      </c>
      <c r="B606">
        <f t="shared" si="508"/>
        <v>1960</v>
      </c>
      <c r="C606">
        <f t="shared" si="477"/>
        <v>2.499367789789424</v>
      </c>
      <c r="D606">
        <f t="shared" si="478"/>
        <v>1.1591690824876395</v>
      </c>
      <c r="F606">
        <f t="shared" si="479"/>
        <v>1.1612228724282582E-4</v>
      </c>
      <c r="G606">
        <f t="shared" si="480"/>
        <v>3.3085165160534643E-3</v>
      </c>
      <c r="H606">
        <f t="shared" si="481"/>
        <v>-3.1382841334839466</v>
      </c>
      <c r="J606">
        <f t="shared" si="482"/>
        <v>9</v>
      </c>
      <c r="M606">
        <f t="shared" si="483"/>
        <v>2.1534290248828862E-3</v>
      </c>
      <c r="N606">
        <f t="shared" si="484"/>
        <v>-1.5707963250000001</v>
      </c>
      <c r="O606">
        <f t="shared" si="485"/>
        <v>252.06628758499377</v>
      </c>
      <c r="P606">
        <f t="shared" si="486"/>
        <v>1.5668291059787935</v>
      </c>
      <c r="Q606">
        <f t="shared" si="487"/>
        <v>102.9247527154761</v>
      </c>
      <c r="R606">
        <f t="shared" si="488"/>
        <v>1.5610803381022276</v>
      </c>
      <c r="S606">
        <f t="shared" si="489"/>
        <v>0.60362860288383691</v>
      </c>
      <c r="T606">
        <f t="shared" si="490"/>
        <v>-0.92275170746985002</v>
      </c>
      <c r="U606">
        <f t="shared" si="491"/>
        <v>0.43689627668727787</v>
      </c>
      <c r="V606">
        <f t="shared" si="492"/>
        <v>-1.1186510092161506</v>
      </c>
      <c r="X606">
        <f t="shared" si="509"/>
        <v>-28.293968529883934</v>
      </c>
      <c r="Y606">
        <f t="shared" si="493"/>
        <v>-141.14268975904039</v>
      </c>
      <c r="Z606">
        <f t="shared" si="510"/>
        <v>38.857310240959606</v>
      </c>
      <c r="AC606">
        <v>1</v>
      </c>
      <c r="AD606">
        <f t="shared" si="494"/>
        <v>252.06430397198403</v>
      </c>
      <c r="AE606">
        <f t="shared" si="495"/>
        <v>-1.7383423621581604E-2</v>
      </c>
      <c r="AF606">
        <f t="shared" si="496"/>
        <v>8.4431936096928013E-3</v>
      </c>
      <c r="AG606">
        <f t="shared" si="473"/>
        <v>5651.9640440713174</v>
      </c>
      <c r="AH606">
        <f t="shared" si="474"/>
        <v>-11755.088164518636</v>
      </c>
      <c r="AJ606">
        <f t="shared" si="497"/>
        <v>55000</v>
      </c>
      <c r="AK606">
        <f t="shared" si="498"/>
        <v>72643.361005215018</v>
      </c>
      <c r="AL606">
        <v>1</v>
      </c>
      <c r="AM606">
        <f t="shared" si="499"/>
        <v>102.91989468291301</v>
      </c>
      <c r="AN606">
        <f t="shared" si="475"/>
        <v>710.94951690108303</v>
      </c>
      <c r="AO606">
        <f t="shared" si="476"/>
        <v>-527.4883991123254</v>
      </c>
      <c r="AQ606">
        <f t="shared" si="500"/>
        <v>2.9636579992565817E-3</v>
      </c>
      <c r="AR606">
        <f t="shared" si="501"/>
        <v>-3.0612216205921086</v>
      </c>
      <c r="AT606">
        <f t="shared" si="523"/>
        <v>-35968.179552740134</v>
      </c>
      <c r="AU606">
        <f t="shared" si="524"/>
        <v>-17336.75259159107</v>
      </c>
      <c r="AV606">
        <f t="shared" si="511"/>
        <v>-2.6924464279424587</v>
      </c>
      <c r="AW606">
        <f t="shared" si="512"/>
        <v>4343.5395313269401</v>
      </c>
      <c r="AX606">
        <f t="shared" si="513"/>
        <v>-16573.62029296258</v>
      </c>
      <c r="AY606">
        <f t="shared" si="521"/>
        <v>-1.314485189252711</v>
      </c>
      <c r="BA606">
        <f t="shared" si="502"/>
        <v>2.3304478420735149</v>
      </c>
      <c r="BB606">
        <f t="shared" si="514"/>
        <v>7.3487877480054724</v>
      </c>
      <c r="BC606">
        <f t="shared" si="515"/>
        <v>-1.3779612386897477</v>
      </c>
      <c r="BD606">
        <f t="shared" si="503"/>
        <v>-258.9513633997567</v>
      </c>
      <c r="BF606">
        <f t="shared" si="504"/>
        <v>-44.311447061284355</v>
      </c>
      <c r="BG606">
        <f t="shared" si="505"/>
        <v>-192.34630312223635</v>
      </c>
      <c r="BH606">
        <f t="shared" si="516"/>
        <v>-12.34630312223635</v>
      </c>
      <c r="BI606">
        <f t="shared" si="517"/>
        <v>-12.34630312223635</v>
      </c>
      <c r="BJ606">
        <f t="shared" si="506"/>
        <v>0</v>
      </c>
      <c r="BK606">
        <f t="shared" si="518"/>
        <v>0</v>
      </c>
      <c r="BM606">
        <f t="shared" si="519"/>
        <v>-51.660234809289818</v>
      </c>
      <c r="BN606">
        <f t="shared" si="507"/>
        <v>-113.39493972247971</v>
      </c>
      <c r="BQ606" s="75">
        <f t="shared" si="520"/>
        <v>24.250748548290609</v>
      </c>
    </row>
    <row r="607" spans="1:69">
      <c r="A607">
        <f t="shared" si="525"/>
        <v>1965000</v>
      </c>
      <c r="B607">
        <f t="shared" si="508"/>
        <v>1965</v>
      </c>
      <c r="C607">
        <f t="shared" si="477"/>
        <v>2.5047241528826345</v>
      </c>
      <c r="D607">
        <f t="shared" si="478"/>
        <v>1.160102493256743</v>
      </c>
      <c r="F607">
        <f t="shared" si="479"/>
        <v>1.1553202090590619E-4</v>
      </c>
      <c r="G607">
        <f t="shared" si="480"/>
        <v>3.3000960096774244E-3</v>
      </c>
      <c r="H607">
        <f t="shared" si="481"/>
        <v>-3.1382925539903228</v>
      </c>
      <c r="J607">
        <f t="shared" si="482"/>
        <v>9</v>
      </c>
      <c r="M607">
        <f t="shared" si="483"/>
        <v>2.1479495617152452E-3</v>
      </c>
      <c r="N607">
        <f t="shared" si="484"/>
        <v>-1.5707963250000001</v>
      </c>
      <c r="O607">
        <f t="shared" si="485"/>
        <v>252.70930372127398</v>
      </c>
      <c r="P607">
        <f t="shared" si="486"/>
        <v>1.5668392005827343</v>
      </c>
      <c r="Q607">
        <f t="shared" si="487"/>
        <v>103.18729110639345</v>
      </c>
      <c r="R607">
        <f t="shared" si="488"/>
        <v>1.5611050591698445</v>
      </c>
      <c r="S607">
        <f t="shared" si="489"/>
        <v>0.60265094401971231</v>
      </c>
      <c r="T607">
        <f t="shared" si="490"/>
        <v>-0.92397740393492178</v>
      </c>
      <c r="U607">
        <f t="shared" si="491"/>
        <v>0.43599612461370996</v>
      </c>
      <c r="V607">
        <f t="shared" si="492"/>
        <v>-1.1196514780025699</v>
      </c>
      <c r="X607">
        <f t="shared" si="509"/>
        <v>-28.32950449840029</v>
      </c>
      <c r="Y607">
        <f t="shared" si="493"/>
        <v>-141.21524680334628</v>
      </c>
      <c r="Z607">
        <f t="shared" si="510"/>
        <v>38.784753196653725</v>
      </c>
      <c r="AC607">
        <v>1</v>
      </c>
      <c r="AD607">
        <f t="shared" si="494"/>
        <v>252.70732515558601</v>
      </c>
      <c r="AE607">
        <f t="shared" si="495"/>
        <v>-1.7472227684621363E-2</v>
      </c>
      <c r="AF607">
        <f t="shared" si="496"/>
        <v>8.4647323689012004E-3</v>
      </c>
      <c r="AG607">
        <f t="shared" si="473"/>
        <v>5628.6981737920678</v>
      </c>
      <c r="AH607">
        <f t="shared" si="474"/>
        <v>-11736.448564575641</v>
      </c>
      <c r="AJ607">
        <f t="shared" si="497"/>
        <v>55000</v>
      </c>
      <c r="AK607">
        <f t="shared" si="498"/>
        <v>72828.675701656888</v>
      </c>
      <c r="AL607">
        <v>1</v>
      </c>
      <c r="AM607">
        <f t="shared" si="499"/>
        <v>103.18244543465512</v>
      </c>
      <c r="AN607">
        <f t="shared" si="475"/>
        <v>710.92346992292983</v>
      </c>
      <c r="AO607">
        <f t="shared" si="476"/>
        <v>-526.14644188151203</v>
      </c>
      <c r="AQ607">
        <f t="shared" si="500"/>
        <v>2.948594972885678E-3</v>
      </c>
      <c r="AR607">
        <f t="shared" si="501"/>
        <v>-3.0534322671466283</v>
      </c>
      <c r="AT607">
        <f t="shared" si="523"/>
        <v>-35819.853997642858</v>
      </c>
      <c r="AU607">
        <f t="shared" si="524"/>
        <v>-17221.454659123039</v>
      </c>
      <c r="AV607">
        <f t="shared" si="511"/>
        <v>-2.6934392655556803</v>
      </c>
      <c r="AW607">
        <f t="shared" si="512"/>
        <v>4330.1008114520992</v>
      </c>
      <c r="AX607">
        <f t="shared" si="513"/>
        <v>-16541.788000114735</v>
      </c>
      <c r="AY607">
        <f t="shared" si="521"/>
        <v>-1.3147734944624661</v>
      </c>
      <c r="BA607">
        <f t="shared" si="502"/>
        <v>2.3243680779441158</v>
      </c>
      <c r="BB607">
        <f t="shared" si="514"/>
        <v>7.326098047192227</v>
      </c>
      <c r="BC607">
        <f t="shared" si="515"/>
        <v>-1.3786657710932142</v>
      </c>
      <c r="BD607">
        <f t="shared" si="503"/>
        <v>-258.99173013305165</v>
      </c>
      <c r="BF607">
        <f t="shared" si="504"/>
        <v>-44.35980628746745</v>
      </c>
      <c r="BG607">
        <f t="shared" si="505"/>
        <v>-192.33367181732578</v>
      </c>
      <c r="BH607">
        <f t="shared" si="516"/>
        <v>-12.333671817325779</v>
      </c>
      <c r="BI607">
        <f t="shared" si="517"/>
        <v>-12.333671817325779</v>
      </c>
      <c r="BJ607">
        <f t="shared" si="506"/>
        <v>0</v>
      </c>
      <c r="BK607">
        <f t="shared" si="518"/>
        <v>0</v>
      </c>
      <c r="BM607">
        <f t="shared" si="519"/>
        <v>-51.685904334659668</v>
      </c>
      <c r="BN607">
        <f t="shared" si="507"/>
        <v>-113.34194168427416</v>
      </c>
      <c r="BQ607" s="75">
        <f t="shared" si="520"/>
        <v>24.228058847477364</v>
      </c>
    </row>
    <row r="608" spans="1:69">
      <c r="A608">
        <f t="shared" si="525"/>
        <v>1970000</v>
      </c>
      <c r="B608">
        <f t="shared" si="508"/>
        <v>1970</v>
      </c>
      <c r="C608">
        <f t="shared" si="477"/>
        <v>2.5100826889162455</v>
      </c>
      <c r="D608">
        <f t="shared" si="478"/>
        <v>1.1610319195335568</v>
      </c>
      <c r="F608">
        <f t="shared" si="479"/>
        <v>1.1494624393405668E-4</v>
      </c>
      <c r="G608">
        <f t="shared" si="480"/>
        <v>3.2917182613213412E-3</v>
      </c>
      <c r="H608">
        <f t="shared" si="481"/>
        <v>-3.1383009317386787</v>
      </c>
      <c r="J608">
        <f t="shared" si="482"/>
        <v>9</v>
      </c>
      <c r="M608">
        <f t="shared" si="483"/>
        <v>2.14249791308145E-3</v>
      </c>
      <c r="N608">
        <f t="shared" si="484"/>
        <v>-1.5707963250000001</v>
      </c>
      <c r="O608">
        <f t="shared" si="485"/>
        <v>253.35231988317483</v>
      </c>
      <c r="P608">
        <f t="shared" si="486"/>
        <v>1.5668492439458308</v>
      </c>
      <c r="Q608">
        <f t="shared" si="487"/>
        <v>103.44982956005168</v>
      </c>
      <c r="R608">
        <f t="shared" si="488"/>
        <v>1.5611296547615643</v>
      </c>
      <c r="S608">
        <f t="shared" si="489"/>
        <v>0.60167554740311802</v>
      </c>
      <c r="T608">
        <f t="shared" si="490"/>
        <v>-0.92519913462636982</v>
      </c>
      <c r="U608">
        <f t="shared" si="491"/>
        <v>0.43509924131634492</v>
      </c>
      <c r="V608">
        <f t="shared" si="492"/>
        <v>-1.1206478316740551</v>
      </c>
      <c r="X608">
        <f t="shared" si="509"/>
        <v>-28.364978346086609</v>
      </c>
      <c r="Y608">
        <f t="shared" si="493"/>
        <v>-141.28757681670388</v>
      </c>
      <c r="Z608">
        <f t="shared" si="510"/>
        <v>38.712423183296124</v>
      </c>
      <c r="AC608">
        <v>1</v>
      </c>
      <c r="AD608">
        <f t="shared" si="494"/>
        <v>253.35034633918804</v>
      </c>
      <c r="AE608">
        <f t="shared" si="495"/>
        <v>-1.7561258000051032E-2</v>
      </c>
      <c r="AF608">
        <f t="shared" si="496"/>
        <v>8.4862711281096011E-3</v>
      </c>
      <c r="AG608">
        <f t="shared" si="473"/>
        <v>5605.5645140899478</v>
      </c>
      <c r="AH608">
        <f t="shared" si="474"/>
        <v>-11717.839692686754</v>
      </c>
      <c r="AJ608">
        <f t="shared" si="497"/>
        <v>55000</v>
      </c>
      <c r="AK608">
        <f t="shared" si="498"/>
        <v>73013.990398098758</v>
      </c>
      <c r="AL608">
        <v>1</v>
      </c>
      <c r="AM608">
        <f t="shared" si="499"/>
        <v>103.44499618639726</v>
      </c>
      <c r="AN608">
        <f t="shared" si="475"/>
        <v>710.89762099552092</v>
      </c>
      <c r="AO608">
        <f t="shared" si="476"/>
        <v>-524.81129470178621</v>
      </c>
      <c r="AQ608">
        <f t="shared" si="500"/>
        <v>2.9336464938556723E-3</v>
      </c>
      <c r="AR608">
        <f t="shared" si="501"/>
        <v>-3.0456824534560201</v>
      </c>
      <c r="AT608">
        <f t="shared" si="523"/>
        <v>-35672.373999743686</v>
      </c>
      <c r="AU608">
        <f t="shared" si="524"/>
        <v>-17107.145481609488</v>
      </c>
      <c r="AV608">
        <f t="shared" si="511"/>
        <v>-2.6944280267900993</v>
      </c>
      <c r="AW608">
        <f t="shared" si="512"/>
        <v>4316.7229336783812</v>
      </c>
      <c r="AX608">
        <f t="shared" si="513"/>
        <v>-16510.058850342797</v>
      </c>
      <c r="AY608">
        <f t="shared" si="521"/>
        <v>-1.31506103472535</v>
      </c>
      <c r="BA608">
        <f t="shared" si="502"/>
        <v>2.3183201531619058</v>
      </c>
      <c r="BB608">
        <f t="shared" si="514"/>
        <v>7.3034682110725022</v>
      </c>
      <c r="BC608">
        <f t="shared" si="515"/>
        <v>-1.3793669920647493</v>
      </c>
      <c r="BD608">
        <f t="shared" si="503"/>
        <v>-259.0319071352726</v>
      </c>
      <c r="BF608">
        <f t="shared" si="504"/>
        <v>-44.408025338716747</v>
      </c>
      <c r="BG608">
        <f t="shared" si="505"/>
        <v>-192.32107662607908</v>
      </c>
      <c r="BH608">
        <f t="shared" si="516"/>
        <v>-12.321076626079076</v>
      </c>
      <c r="BI608">
        <f t="shared" si="517"/>
        <v>-12.321076626079076</v>
      </c>
      <c r="BJ608">
        <f t="shared" si="506"/>
        <v>0</v>
      </c>
      <c r="BK608">
        <f t="shared" si="518"/>
        <v>0</v>
      </c>
      <c r="BM608">
        <f t="shared" si="519"/>
        <v>-51.711493549789253</v>
      </c>
      <c r="BN608">
        <f t="shared" si="507"/>
        <v>-113.2891694908065</v>
      </c>
      <c r="BQ608" s="75">
        <f t="shared" si="520"/>
        <v>24.205429011357641</v>
      </c>
    </row>
    <row r="609" spans="1:69">
      <c r="A609">
        <f t="shared" si="525"/>
        <v>1975000</v>
      </c>
      <c r="B609">
        <f t="shared" si="508"/>
        <v>1975</v>
      </c>
      <c r="C609">
        <f t="shared" si="477"/>
        <v>2.5154433840035049</v>
      </c>
      <c r="D609">
        <f t="shared" si="478"/>
        <v>1.1619573851814076</v>
      </c>
      <c r="F609">
        <f t="shared" si="479"/>
        <v>1.1436491091466853E-4</v>
      </c>
      <c r="G609">
        <f t="shared" si="480"/>
        <v>3.283382946096142E-3</v>
      </c>
      <c r="H609">
        <f t="shared" si="481"/>
        <v>-3.1383092670539039</v>
      </c>
      <c r="J609">
        <f t="shared" si="482"/>
        <v>9</v>
      </c>
      <c r="M609">
        <f t="shared" si="483"/>
        <v>2.137073867731877E-3</v>
      </c>
      <c r="N609">
        <f t="shared" si="484"/>
        <v>-1.5707963250000001</v>
      </c>
      <c r="O609">
        <f t="shared" si="485"/>
        <v>253.99533607050171</v>
      </c>
      <c r="P609">
        <f t="shared" si="486"/>
        <v>1.5668592364572465</v>
      </c>
      <c r="Q609">
        <f t="shared" si="487"/>
        <v>103.71236807597435</v>
      </c>
      <c r="R609">
        <f t="shared" si="488"/>
        <v>1.5611541258302497</v>
      </c>
      <c r="S609">
        <f t="shared" si="489"/>
        <v>0.60070241078168385</v>
      </c>
      <c r="T609">
        <f t="shared" si="490"/>
        <v>-0.92641691513062829</v>
      </c>
      <c r="U609">
        <f t="shared" si="491"/>
        <v>0.43420561198984464</v>
      </c>
      <c r="V609">
        <f t="shared" si="492"/>
        <v>-1.1216400936018007</v>
      </c>
      <c r="X609">
        <f t="shared" si="509"/>
        <v>-28.400390278250022</v>
      </c>
      <c r="Y609">
        <f t="shared" si="493"/>
        <v>-141.35968060567535</v>
      </c>
      <c r="Z609">
        <f t="shared" si="510"/>
        <v>38.640319394324649</v>
      </c>
      <c r="AC609">
        <v>1</v>
      </c>
      <c r="AD609">
        <f t="shared" si="494"/>
        <v>253.99336752279004</v>
      </c>
      <c r="AE609">
        <f t="shared" si="495"/>
        <v>-1.7650514567870614E-2</v>
      </c>
      <c r="AF609">
        <f t="shared" si="496"/>
        <v>8.5078098873180002E-3</v>
      </c>
      <c r="AG609">
        <f t="shared" si="473"/>
        <v>5582.5621634089102</v>
      </c>
      <c r="AH609">
        <f t="shared" si="474"/>
        <v>-11699.261750037726</v>
      </c>
      <c r="AJ609">
        <f t="shared" si="497"/>
        <v>55000</v>
      </c>
      <c r="AK609">
        <f t="shared" si="498"/>
        <v>73199.305094540628</v>
      </c>
      <c r="AL609">
        <v>1</v>
      </c>
      <c r="AM609">
        <f t="shared" si="499"/>
        <v>103.70754693813939</v>
      </c>
      <c r="AN609">
        <f t="shared" si="475"/>
        <v>710.87196811613103</v>
      </c>
      <c r="AO609">
        <f t="shared" si="476"/>
        <v>-523.48290587055192</v>
      </c>
      <c r="AQ609">
        <f t="shared" si="500"/>
        <v>2.9188114036648445E-3</v>
      </c>
      <c r="AR609">
        <f t="shared" si="501"/>
        <v>-3.0379718792194614</v>
      </c>
      <c r="AT609">
        <f t="shared" si="523"/>
        <v>-35525.733758138245</v>
      </c>
      <c r="AU609">
        <f t="shared" si="524"/>
        <v>-16993.8148050413</v>
      </c>
      <c r="AV609">
        <f t="shared" si="511"/>
        <v>-2.6954127347227193</v>
      </c>
      <c r="AW609">
        <f t="shared" si="512"/>
        <v>4303.4056854730752</v>
      </c>
      <c r="AX609">
        <f t="shared" si="513"/>
        <v>-16478.432455644095</v>
      </c>
      <c r="AY609">
        <f t="shared" si="521"/>
        <v>-1.3153478058849022</v>
      </c>
      <c r="BA609">
        <f t="shared" si="502"/>
        <v>2.312303816898627</v>
      </c>
      <c r="BB609">
        <f t="shared" si="514"/>
        <v>7.2808979213877887</v>
      </c>
      <c r="BC609">
        <f t="shared" si="515"/>
        <v>-1.3800649288378171</v>
      </c>
      <c r="BD609">
        <f t="shared" si="503"/>
        <v>-259.07189596678199</v>
      </c>
      <c r="BF609">
        <f t="shared" si="504"/>
        <v>-44.456105030544592</v>
      </c>
      <c r="BG609">
        <f t="shared" si="505"/>
        <v>-192.30851776020558</v>
      </c>
      <c r="BH609">
        <f t="shared" si="516"/>
        <v>-12.308517760205575</v>
      </c>
      <c r="BI609">
        <f t="shared" si="517"/>
        <v>-12.308517760205575</v>
      </c>
      <c r="BJ609">
        <f t="shared" si="506"/>
        <v>0</v>
      </c>
      <c r="BK609">
        <f t="shared" si="518"/>
        <v>0</v>
      </c>
      <c r="BM609">
        <f t="shared" si="519"/>
        <v>-51.737002951932382</v>
      </c>
      <c r="BN609">
        <f t="shared" si="507"/>
        <v>-113.23662179342357</v>
      </c>
      <c r="BQ609" s="75">
        <f t="shared" si="520"/>
        <v>24.182858721672925</v>
      </c>
    </row>
    <row r="610" spans="1:69">
      <c r="A610">
        <f t="shared" si="525"/>
        <v>1980000</v>
      </c>
      <c r="B610">
        <f t="shared" si="508"/>
        <v>1980</v>
      </c>
      <c r="C610">
        <f t="shared" si="477"/>
        <v>2.5208062243702134</v>
      </c>
      <c r="D610">
        <f t="shared" si="478"/>
        <v>1.1628789138878124</v>
      </c>
      <c r="F610">
        <f t="shared" si="479"/>
        <v>1.1378797700792437E-4</v>
      </c>
      <c r="G610">
        <f t="shared" si="480"/>
        <v>3.2750897423962804E-3</v>
      </c>
      <c r="H610">
        <f t="shared" si="481"/>
        <v>-3.1383175602576041</v>
      </c>
      <c r="J610">
        <f t="shared" si="482"/>
        <v>9</v>
      </c>
      <c r="M610">
        <f t="shared" si="483"/>
        <v>2.1316772165507359E-3</v>
      </c>
      <c r="N610">
        <f t="shared" si="484"/>
        <v>-1.5707963250000001</v>
      </c>
      <c r="O610">
        <f t="shared" si="485"/>
        <v>254.63835228306201</v>
      </c>
      <c r="P610">
        <f t="shared" si="486"/>
        <v>1.5668691785022129</v>
      </c>
      <c r="Q610">
        <f t="shared" si="487"/>
        <v>103.97490665368979</v>
      </c>
      <c r="R610">
        <f t="shared" si="488"/>
        <v>1.5611784733191403</v>
      </c>
      <c r="S610">
        <f t="shared" si="489"/>
        <v>0.59973153184530503</v>
      </c>
      <c r="T610">
        <f t="shared" si="490"/>
        <v>-0.9276307609803689</v>
      </c>
      <c r="U610">
        <f t="shared" si="491"/>
        <v>0.43331522188874222</v>
      </c>
      <c r="V610">
        <f t="shared" si="492"/>
        <v>-1.1226282869976674</v>
      </c>
      <c r="X610">
        <f t="shared" si="509"/>
        <v>-28.43574049899345</v>
      </c>
      <c r="Y610">
        <f t="shared" si="493"/>
        <v>-141.43155897527501</v>
      </c>
      <c r="Z610">
        <f t="shared" si="510"/>
        <v>38.56844102472499</v>
      </c>
      <c r="AC610">
        <v>1</v>
      </c>
      <c r="AD610">
        <f t="shared" si="494"/>
        <v>254.63638870639201</v>
      </c>
      <c r="AE610">
        <f t="shared" si="495"/>
        <v>-1.7739997388080103E-2</v>
      </c>
      <c r="AF610">
        <f t="shared" si="496"/>
        <v>8.529348646526401E-3</v>
      </c>
      <c r="AG610">
        <f t="shared" si="473"/>
        <v>5559.6902267502201</v>
      </c>
      <c r="AH610">
        <f t="shared" si="474"/>
        <v>-11680.714932629409</v>
      </c>
      <c r="AJ610">
        <f t="shared" si="497"/>
        <v>55000</v>
      </c>
      <c r="AK610">
        <f t="shared" si="498"/>
        <v>73384.619790982513</v>
      </c>
      <c r="AL610">
        <v>1</v>
      </c>
      <c r="AM610">
        <f t="shared" si="499"/>
        <v>103.9700976898815</v>
      </c>
      <c r="AN610">
        <f t="shared" si="475"/>
        <v>710.84650930728537</v>
      </c>
      <c r="AO610">
        <f t="shared" si="476"/>
        <v>-522.16122420721933</v>
      </c>
      <c r="AQ610">
        <f t="shared" si="500"/>
        <v>2.9040885584205017E-3</v>
      </c>
      <c r="AR610">
        <f t="shared" si="501"/>
        <v>-3.0303002471694569</v>
      </c>
      <c r="AT610">
        <f t="shared" si="523"/>
        <v>-35379.927514686999</v>
      </c>
      <c r="AU610">
        <f t="shared" si="524"/>
        <v>-16881.452498896826</v>
      </c>
      <c r="AV610">
        <f t="shared" si="511"/>
        <v>-2.6963934122741815</v>
      </c>
      <c r="AW610">
        <f t="shared" si="512"/>
        <v>4290.1488525345076</v>
      </c>
      <c r="AX610">
        <f t="shared" si="513"/>
        <v>-16446.908429102012</v>
      </c>
      <c r="AY610">
        <f t="shared" si="521"/>
        <v>-1.3156338039295099</v>
      </c>
      <c r="BA610">
        <f t="shared" si="502"/>
        <v>2.3063188209563346</v>
      </c>
      <c r="BB610">
        <f t="shared" si="514"/>
        <v>7.2583868623933876</v>
      </c>
      <c r="BC610">
        <f t="shared" si="515"/>
        <v>-1.3807596083446716</v>
      </c>
      <c r="BD610">
        <f t="shared" si="503"/>
        <v>-259.11169817068452</v>
      </c>
      <c r="BF610">
        <f t="shared" si="504"/>
        <v>-44.504046171515</v>
      </c>
      <c r="BG610">
        <f t="shared" si="505"/>
        <v>-192.29599542404179</v>
      </c>
      <c r="BH610">
        <f t="shared" si="516"/>
        <v>-12.295995424041791</v>
      </c>
      <c r="BI610">
        <f t="shared" si="517"/>
        <v>-12.295995424041791</v>
      </c>
      <c r="BJ610">
        <f t="shared" si="506"/>
        <v>0</v>
      </c>
      <c r="BK610">
        <f t="shared" si="518"/>
        <v>0</v>
      </c>
      <c r="BM610">
        <f t="shared" si="519"/>
        <v>-51.762433033908394</v>
      </c>
      <c r="BN610">
        <f t="shared" si="507"/>
        <v>-113.1842972533573</v>
      </c>
      <c r="BQ610" s="75">
        <f t="shared" si="520"/>
        <v>24.160347662678525</v>
      </c>
    </row>
    <row r="611" spans="1:69">
      <c r="A611">
        <f t="shared" si="525"/>
        <v>1985000</v>
      </c>
      <c r="B611">
        <f t="shared" si="508"/>
        <v>1985</v>
      </c>
      <c r="C611">
        <f t="shared" si="477"/>
        <v>2.5261711963536513</v>
      </c>
      <c r="D611">
        <f t="shared" si="478"/>
        <v>1.1637965291659302</v>
      </c>
      <c r="F611">
        <f t="shared" si="479"/>
        <v>1.1321539793815021E-4</v>
      </c>
      <c r="G611">
        <f t="shared" si="480"/>
        <v>3.2668383318583591E-3</v>
      </c>
      <c r="H611">
        <f t="shared" si="481"/>
        <v>-3.1383258116681421</v>
      </c>
      <c r="J611">
        <f t="shared" si="482"/>
        <v>9</v>
      </c>
      <c r="M611">
        <f t="shared" si="483"/>
        <v>2.1263077525291974E-3</v>
      </c>
      <c r="N611">
        <f t="shared" si="484"/>
        <v>-1.5707963250000001</v>
      </c>
      <c r="O611">
        <f t="shared" si="485"/>
        <v>255.28136852066504</v>
      </c>
      <c r="P611">
        <f t="shared" si="486"/>
        <v>1.566879070462081</v>
      </c>
      <c r="Q611">
        <f t="shared" si="487"/>
        <v>104.2374452927311</v>
      </c>
      <c r="R611">
        <f t="shared" si="488"/>
        <v>1.5612026981619735</v>
      </c>
      <c r="S611">
        <f t="shared" si="489"/>
        <v>0.5987629082271273</v>
      </c>
      <c r="T611">
        <f t="shared" si="490"/>
        <v>-0.92884068765443306</v>
      </c>
      <c r="U611">
        <f t="shared" si="491"/>
        <v>0.43242805632756315</v>
      </c>
      <c r="V611">
        <f t="shared" si="492"/>
        <v>-1.1236124349153414</v>
      </c>
      <c r="X611">
        <f t="shared" si="509"/>
        <v>-28.471029211228753</v>
      </c>
      <c r="Y611">
        <f t="shared" si="493"/>
        <v>-141.50321272894107</v>
      </c>
      <c r="Z611">
        <f t="shared" si="510"/>
        <v>38.496787271058935</v>
      </c>
      <c r="AC611">
        <v>1</v>
      </c>
      <c r="AD611">
        <f t="shared" si="494"/>
        <v>255.27940988999404</v>
      </c>
      <c r="AE611">
        <f t="shared" si="495"/>
        <v>-1.7829706460679502E-2</v>
      </c>
      <c r="AF611">
        <f t="shared" si="496"/>
        <v>8.5508874057348E-3</v>
      </c>
      <c r="AG611">
        <f t="shared" si="473"/>
        <v>5536.9478156313362</v>
      </c>
      <c r="AH611">
        <f t="shared" si="474"/>
        <v>-11662.199431362749</v>
      </c>
      <c r="AJ611">
        <f t="shared" si="497"/>
        <v>55000</v>
      </c>
      <c r="AK611">
        <f t="shared" si="498"/>
        <v>73569.934487424383</v>
      </c>
      <c r="AL611">
        <v>1</v>
      </c>
      <c r="AM611">
        <f t="shared" si="499"/>
        <v>104.23264844162364</v>
      </c>
      <c r="AN611">
        <f t="shared" si="475"/>
        <v>710.8212426163783</v>
      </c>
      <c r="AO611">
        <f t="shared" si="476"/>
        <v>-520.84619904663305</v>
      </c>
      <c r="AQ611">
        <f t="shared" si="500"/>
        <v>2.8894768286184674E-3</v>
      </c>
      <c r="AR611">
        <f t="shared" si="501"/>
        <v>-3.022667263033636</v>
      </c>
      <c r="AT611">
        <f t="shared" si="523"/>
        <v>-35234.949553735132</v>
      </c>
      <c r="AU611">
        <f t="shared" si="524"/>
        <v>-16770.04855446209</v>
      </c>
      <c r="AV611">
        <f t="shared" si="511"/>
        <v>-2.6973700822098881</v>
      </c>
      <c r="AW611">
        <f t="shared" si="512"/>
        <v>4276.9522188722431</v>
      </c>
      <c r="AX611">
        <f t="shared" si="513"/>
        <v>-16415.48638488926</v>
      </c>
      <c r="AY611">
        <f t="shared" si="521"/>
        <v>-1.3159190249893482</v>
      </c>
      <c r="BA611">
        <f t="shared" si="502"/>
        <v>2.3003649197331186</v>
      </c>
      <c r="BB611">
        <f t="shared" si="514"/>
        <v>7.2359347208325033</v>
      </c>
      <c r="BC611">
        <f t="shared" si="515"/>
        <v>-1.3814510572205398</v>
      </c>
      <c r="BD611">
        <f t="shared" si="503"/>
        <v>-259.15131527306607</v>
      </c>
      <c r="BF611">
        <f t="shared" si="504"/>
        <v>-44.551849563319777</v>
      </c>
      <c r="BG611">
        <f t="shared" si="505"/>
        <v>-192.28350981470984</v>
      </c>
      <c r="BH611">
        <f t="shared" si="516"/>
        <v>-12.283509814709845</v>
      </c>
      <c r="BI611">
        <f t="shared" si="517"/>
        <v>-12.283509814709845</v>
      </c>
      <c r="BJ611">
        <f t="shared" si="506"/>
        <v>0</v>
      </c>
      <c r="BK611">
        <f t="shared" si="518"/>
        <v>0</v>
      </c>
      <c r="BM611">
        <f t="shared" si="519"/>
        <v>-51.787784284152288</v>
      </c>
      <c r="BN611">
        <f t="shared" si="507"/>
        <v>-113.13219454164376</v>
      </c>
      <c r="BQ611" s="75">
        <f t="shared" si="520"/>
        <v>24.137895521117638</v>
      </c>
    </row>
    <row r="612" spans="1:69">
      <c r="A612">
        <f t="shared" si="525"/>
        <v>1990000</v>
      </c>
      <c r="B612">
        <f t="shared" si="508"/>
        <v>1990</v>
      </c>
      <c r="C612">
        <f t="shared" si="477"/>
        <v>2.5315382864015068</v>
      </c>
      <c r="D612">
        <f t="shared" si="478"/>
        <v>1.1647102543559995</v>
      </c>
      <c r="F612">
        <f t="shared" si="479"/>
        <v>1.1264712998531943E-4</v>
      </c>
      <c r="G612">
        <f t="shared" si="480"/>
        <v>3.2586283993203649E-3</v>
      </c>
      <c r="H612">
        <f t="shared" si="481"/>
        <v>-3.1383340216006799</v>
      </c>
      <c r="J612">
        <f t="shared" si="482"/>
        <v>9</v>
      </c>
      <c r="M612">
        <f t="shared" si="483"/>
        <v>2.1209652707389233E-3</v>
      </c>
      <c r="N612">
        <f t="shared" si="484"/>
        <v>-1.5707963250000001</v>
      </c>
      <c r="O612">
        <f t="shared" si="485"/>
        <v>255.92438478312206</v>
      </c>
      <c r="P612">
        <f t="shared" si="486"/>
        <v>1.5668889127143688</v>
      </c>
      <c r="Q612">
        <f t="shared" si="487"/>
        <v>104.49998399263605</v>
      </c>
      <c r="R612">
        <f t="shared" si="488"/>
        <v>1.5612268012831036</v>
      </c>
      <c r="S612">
        <f t="shared" si="489"/>
        <v>0.59779653750452133</v>
      </c>
      <c r="T612">
        <f t="shared" si="490"/>
        <v>-0.93004671057776933</v>
      </c>
      <c r="U612">
        <f t="shared" si="491"/>
        <v>0.43154410068093552</v>
      </c>
      <c r="V612">
        <f t="shared" si="492"/>
        <v>-1.1245925602514859</v>
      </c>
      <c r="X612">
        <f t="shared" si="509"/>
        <v>-28.506256616689811</v>
      </c>
      <c r="Y612">
        <f t="shared" si="493"/>
        <v>-141.57464266850872</v>
      </c>
      <c r="Z612">
        <f t="shared" si="510"/>
        <v>38.425357331491284</v>
      </c>
      <c r="AC612">
        <v>1</v>
      </c>
      <c r="AD612">
        <f t="shared" si="494"/>
        <v>255.92243107359604</v>
      </c>
      <c r="AE612">
        <f t="shared" si="495"/>
        <v>-1.7919641785668815E-2</v>
      </c>
      <c r="AF612">
        <f t="shared" si="496"/>
        <v>8.5724261649432008E-3</v>
      </c>
      <c r="AG612">
        <f t="shared" si="473"/>
        <v>5514.3340480448087</v>
      </c>
      <c r="AH612">
        <f t="shared" si="474"/>
        <v>-11643.715432122521</v>
      </c>
      <c r="AJ612">
        <f t="shared" si="497"/>
        <v>55000</v>
      </c>
      <c r="AK612">
        <f t="shared" si="498"/>
        <v>73755.249183866254</v>
      </c>
      <c r="AL612">
        <v>1</v>
      </c>
      <c r="AM612">
        <f t="shared" si="499"/>
        <v>104.49519919336576</v>
      </c>
      <c r="AN612">
        <f t="shared" si="475"/>
        <v>710.79616611529877</v>
      </c>
      <c r="AO612">
        <f t="shared" si="476"/>
        <v>-519.53778023260088</v>
      </c>
      <c r="AQ612">
        <f t="shared" si="500"/>
        <v>2.8749750989264405E-3</v>
      </c>
      <c r="AR612">
        <f t="shared" si="501"/>
        <v>-3.0150726354971256</v>
      </c>
      <c r="AT612">
        <f t="shared" si="523"/>
        <v>-35090.794201832912</v>
      </c>
      <c r="AU612">
        <f t="shared" si="524"/>
        <v>-16659.593083176333</v>
      </c>
      <c r="AV612">
        <f t="shared" si="511"/>
        <v>-2.698342767141114</v>
      </c>
      <c r="AW612">
        <f t="shared" si="512"/>
        <v>4263.8155668852123</v>
      </c>
      <c r="AX612">
        <f t="shared" si="513"/>
        <v>-16384.165938271166</v>
      </c>
      <c r="AY612">
        <f t="shared" si="521"/>
        <v>-1.3162034653333821</v>
      </c>
      <c r="BA612">
        <f t="shared" si="502"/>
        <v>2.2944418701893659</v>
      </c>
      <c r="BB612">
        <f t="shared" si="514"/>
        <v>7.2135411859106879</v>
      </c>
      <c r="BC612">
        <f t="shared" si="515"/>
        <v>-1.3821393018077319</v>
      </c>
      <c r="BD612">
        <f t="shared" si="503"/>
        <v>-259.19074878322999</v>
      </c>
      <c r="BF612">
        <f t="shared" si="504"/>
        <v>-44.599516000853626</v>
      </c>
      <c r="BG612">
        <f t="shared" si="505"/>
        <v>-192.27106112227318</v>
      </c>
      <c r="BH612">
        <f t="shared" si="516"/>
        <v>-12.271061122273181</v>
      </c>
      <c r="BI612">
        <f t="shared" si="517"/>
        <v>-12.271061122273181</v>
      </c>
      <c r="BJ612">
        <f t="shared" si="506"/>
        <v>0</v>
      </c>
      <c r="BK612">
        <f t="shared" si="518"/>
        <v>0</v>
      </c>
      <c r="BM612">
        <f t="shared" si="519"/>
        <v>-51.813057186764311</v>
      </c>
      <c r="BN612">
        <f t="shared" si="507"/>
        <v>-113.08031233904322</v>
      </c>
      <c r="BQ612" s="75">
        <f t="shared" si="520"/>
        <v>24.115501986195827</v>
      </c>
    </row>
    <row r="613" spans="1:69">
      <c r="A613">
        <f t="shared" si="525"/>
        <v>1995000</v>
      </c>
      <c r="B613">
        <f t="shared" si="508"/>
        <v>1995</v>
      </c>
      <c r="C613">
        <f t="shared" si="477"/>
        <v>2.5369074810708283</v>
      </c>
      <c r="D613">
        <f t="shared" si="478"/>
        <v>1.1656201126267667</v>
      </c>
      <c r="F613">
        <f t="shared" si="479"/>
        <v>1.1208312997670535E-4</v>
      </c>
      <c r="G613">
        <f t="shared" si="480"/>
        <v>3.2504596327815323E-3</v>
      </c>
      <c r="H613">
        <f t="shared" si="481"/>
        <v>-3.1383421903672186</v>
      </c>
      <c r="J613">
        <f t="shared" si="482"/>
        <v>9</v>
      </c>
      <c r="M613">
        <f t="shared" si="483"/>
        <v>2.1156495683059932E-3</v>
      </c>
      <c r="N613">
        <f t="shared" si="484"/>
        <v>-1.5707963250000001</v>
      </c>
      <c r="O613">
        <f t="shared" si="485"/>
        <v>256.56740107024621</v>
      </c>
      <c r="P613">
        <f t="shared" si="486"/>
        <v>1.5668987056328101</v>
      </c>
      <c r="Q613">
        <f t="shared" si="487"/>
        <v>104.76252275294706</v>
      </c>
      <c r="R613">
        <f t="shared" si="488"/>
        <v>1.5612507835976202</v>
      </c>
      <c r="S613">
        <f t="shared" si="489"/>
        <v>0.59683241720004465</v>
      </c>
      <c r="T613">
        <f t="shared" si="490"/>
        <v>-0.93124884512137573</v>
      </c>
      <c r="U613">
        <f t="shared" si="491"/>
        <v>0.43066334038368947</v>
      </c>
      <c r="V613">
        <f t="shared" si="492"/>
        <v>-1.1255686857468874</v>
      </c>
      <c r="X613">
        <f t="shared" si="509"/>
        <v>-28.54142291594529</v>
      </c>
      <c r="Y613">
        <f t="shared" si="493"/>
        <v>-141.64584959418315</v>
      </c>
      <c r="Z613">
        <f t="shared" si="510"/>
        <v>38.354150405816853</v>
      </c>
      <c r="AC613">
        <v>1</v>
      </c>
      <c r="AD613">
        <f t="shared" si="494"/>
        <v>256.56545225719805</v>
      </c>
      <c r="AE613">
        <f t="shared" si="495"/>
        <v>-1.8009803363048034E-2</v>
      </c>
      <c r="AF613">
        <f t="shared" si="496"/>
        <v>8.5939649241515998E-3</v>
      </c>
      <c r="AG613">
        <f t="shared" si="473"/>
        <v>5491.8480484171832</v>
      </c>
      <c r="AH613">
        <f t="shared" si="474"/>
        <v>-11625.263115859812</v>
      </c>
      <c r="AJ613">
        <f t="shared" si="497"/>
        <v>55000</v>
      </c>
      <c r="AK613">
        <f t="shared" si="498"/>
        <v>73940.563880308138</v>
      </c>
      <c r="AL613">
        <v>1</v>
      </c>
      <c r="AM613">
        <f t="shared" si="499"/>
        <v>104.75774994510788</v>
      </c>
      <c r="AN613">
        <f t="shared" si="475"/>
        <v>710.77127790006375</v>
      </c>
      <c r="AO613">
        <f t="shared" si="476"/>
        <v>-518.23591811151925</v>
      </c>
      <c r="AQ613">
        <f t="shared" si="500"/>
        <v>2.8605822679711535E-3</v>
      </c>
      <c r="AR613">
        <f t="shared" si="501"/>
        <v>-3.0075160761654915</v>
      </c>
      <c r="AT613">
        <f t="shared" si="523"/>
        <v>-34947.455827456419</v>
      </c>
      <c r="AU613">
        <f t="shared" si="524"/>
        <v>-16550.076315002487</v>
      </c>
      <c r="AV613">
        <f t="shared" si="511"/>
        <v>-2.699311489526119</v>
      </c>
      <c r="AW613">
        <f t="shared" si="512"/>
        <v>4250.7386774378201</v>
      </c>
      <c r="AX613">
        <f t="shared" si="513"/>
        <v>-16352.946705608931</v>
      </c>
      <c r="AY613">
        <f t="shared" si="521"/>
        <v>-1.3164871213664304</v>
      </c>
      <c r="BA613">
        <f t="shared" si="502"/>
        <v>2.2885494318145301</v>
      </c>
      <c r="BB613">
        <f t="shared" si="514"/>
        <v>7.1912059492705547</v>
      </c>
      <c r="BC613">
        <f t="shared" si="515"/>
        <v>-1.3828243681596886</v>
      </c>
      <c r="BD613">
        <f t="shared" si="503"/>
        <v>-259.23000019392839</v>
      </c>
      <c r="BF613">
        <f t="shared" si="504"/>
        <v>-44.647046272288236</v>
      </c>
      <c r="BG613">
        <f t="shared" si="505"/>
        <v>-192.25864952988897</v>
      </c>
      <c r="BH613">
        <f t="shared" si="516"/>
        <v>-12.25864952988897</v>
      </c>
      <c r="BI613">
        <f t="shared" si="517"/>
        <v>-12.25864952988897</v>
      </c>
      <c r="BJ613">
        <f t="shared" si="506"/>
        <v>0</v>
      </c>
      <c r="BK613">
        <f t="shared" si="518"/>
        <v>0</v>
      </c>
      <c r="BM613">
        <f t="shared" si="519"/>
        <v>-51.83825222155879</v>
      </c>
      <c r="BN613">
        <f t="shared" si="507"/>
        <v>-113.02864933596065</v>
      </c>
      <c r="BQ613" s="75">
        <f t="shared" si="520"/>
        <v>24.093166749555692</v>
      </c>
    </row>
    <row r="614" spans="1:69">
      <c r="A614">
        <f t="shared" si="525"/>
        <v>2000000</v>
      </c>
      <c r="B614">
        <f t="shared" si="508"/>
        <v>2000</v>
      </c>
      <c r="C614">
        <f t="shared" si="477"/>
        <v>2.5422787670269775</v>
      </c>
      <c r="D614">
        <f t="shared" si="478"/>
        <v>1.1665261269769003</v>
      </c>
      <c r="F614">
        <f t="shared" si="479"/>
        <v>1.1152335527868025E-4</v>
      </c>
      <c r="G614">
        <f t="shared" si="480"/>
        <v>3.2423317233627965E-3</v>
      </c>
      <c r="H614">
        <f t="shared" si="481"/>
        <v>-3.1383503182766375</v>
      </c>
      <c r="J614">
        <f t="shared" si="482"/>
        <v>9</v>
      </c>
      <c r="M614">
        <f t="shared" si="483"/>
        <v>2.1103604443852286E-3</v>
      </c>
      <c r="N614">
        <f t="shared" si="484"/>
        <v>-1.5707963250000001</v>
      </c>
      <c r="O614">
        <f t="shared" si="485"/>
        <v>257.21041738185244</v>
      </c>
      <c r="P614">
        <f t="shared" si="486"/>
        <v>1.5669084495874011</v>
      </c>
      <c r="Q614">
        <f t="shared" si="487"/>
        <v>105.02506157321116</v>
      </c>
      <c r="R614">
        <f t="shared" si="488"/>
        <v>1.5612746460114624</v>
      </c>
      <c r="S614">
        <f t="shared" si="489"/>
        <v>0.5958705447823931</v>
      </c>
      <c r="T614">
        <f t="shared" si="490"/>
        <v>-0.93244710660224828</v>
      </c>
      <c r="U614">
        <f t="shared" si="491"/>
        <v>0.42978576093094806</v>
      </c>
      <c r="V614">
        <f t="shared" si="492"/>
        <v>-1.1265408339875922</v>
      </c>
      <c r="X614">
        <f t="shared" si="509"/>
        <v>-28.576528308411234</v>
      </c>
      <c r="Y614">
        <f t="shared" si="493"/>
        <v>-141.71683430451384</v>
      </c>
      <c r="Z614">
        <f t="shared" si="510"/>
        <v>38.283165695486161</v>
      </c>
      <c r="AC614">
        <v>1</v>
      </c>
      <c r="AD614">
        <f t="shared" si="494"/>
        <v>257.20847344079999</v>
      </c>
      <c r="AE614">
        <f t="shared" si="495"/>
        <v>-1.8100191192817167E-2</v>
      </c>
      <c r="AF614">
        <f t="shared" si="496"/>
        <v>8.6155036833600006E-3</v>
      </c>
      <c r="AG614">
        <f t="shared" si="473"/>
        <v>5469.4889475678974</v>
      </c>
      <c r="AH614">
        <f t="shared" si="474"/>
        <v>-11606.842658673237</v>
      </c>
      <c r="AJ614">
        <f t="shared" si="497"/>
        <v>55000</v>
      </c>
      <c r="AK614">
        <f t="shared" si="498"/>
        <v>74125.878576750009</v>
      </c>
      <c r="AL614">
        <v>1</v>
      </c>
      <c r="AM614">
        <f t="shared" si="499"/>
        <v>105.02030069685001</v>
      </c>
      <c r="AN614">
        <f t="shared" si="475"/>
        <v>710.74657609045425</v>
      </c>
      <c r="AO614">
        <f t="shared" si="476"/>
        <v>-516.94056352609448</v>
      </c>
      <c r="AQ614">
        <f t="shared" si="500"/>
        <v>2.8462972481292483E-3</v>
      </c>
      <c r="AR614">
        <f t="shared" si="501"/>
        <v>-2.9999972995282276</v>
      </c>
      <c r="AT614">
        <f t="shared" si="523"/>
        <v>-34804.928840728608</v>
      </c>
      <c r="AU614">
        <f t="shared" si="524"/>
        <v>-16441.48859682203</v>
      </c>
      <c r="AV614">
        <f t="shared" si="511"/>
        <v>-2.7002762716712483</v>
      </c>
      <c r="AW614">
        <f t="shared" si="512"/>
        <v>4237.7213299340374</v>
      </c>
      <c r="AX614">
        <f t="shared" si="513"/>
        <v>-16321.828304362825</v>
      </c>
      <c r="AY614">
        <f t="shared" si="521"/>
        <v>-1.3167699896262917</v>
      </c>
      <c r="BA614">
        <f t="shared" si="502"/>
        <v>2.2826873665944221</v>
      </c>
      <c r="BB614">
        <f t="shared" si="514"/>
        <v>7.1689287049668309</v>
      </c>
      <c r="BC614">
        <f t="shared" si="515"/>
        <v>-1.3835062820449566</v>
      </c>
      <c r="BD614">
        <f t="shared" si="503"/>
        <v>-259.26907098159023</v>
      </c>
      <c r="BF614">
        <f t="shared" si="504"/>
        <v>-44.69444115914547</v>
      </c>
      <c r="BG614">
        <f t="shared" si="505"/>
        <v>-192.24627521395709</v>
      </c>
      <c r="BH614">
        <f t="shared" si="516"/>
        <v>-12.246275213957091</v>
      </c>
      <c r="BI614">
        <f t="shared" si="517"/>
        <v>-12.246275213957091</v>
      </c>
      <c r="BJ614">
        <f t="shared" si="506"/>
        <v>0</v>
      </c>
      <c r="BK614">
        <f t="shared" si="518"/>
        <v>0</v>
      </c>
      <c r="BM614">
        <f t="shared" si="519"/>
        <v>-51.8633698641123</v>
      </c>
      <c r="BN614">
        <f t="shared" si="507"/>
        <v>-112.97720423236687</v>
      </c>
      <c r="BQ614" s="75">
        <f t="shared" si="520"/>
        <v>24.070889505251966</v>
      </c>
    </row>
    <row r="615" spans="1:69">
      <c r="A615">
        <f>A614+250000</f>
        <v>2250000</v>
      </c>
      <c r="B615">
        <f t="shared" si="508"/>
        <v>2250</v>
      </c>
      <c r="C615">
        <f t="shared" si="477"/>
        <v>2.8132434785964047</v>
      </c>
      <c r="D615">
        <f t="shared" ref="D615:D626" si="526">ATAN(A615/Fesr)</f>
        <v>1.2073884634446446</v>
      </c>
      <c r="F615">
        <f t="shared" si="479"/>
        <v>8.8115250830612268E-5</v>
      </c>
      <c r="G615">
        <f t="shared" ref="G615:G626" si="527">-ATAN(A615*Fo/(Q*(Fo^2-A615^2)))</f>
        <v>2.882007210055962E-3</v>
      </c>
      <c r="H615">
        <f t="shared" si="481"/>
        <v>-3.138710642789944</v>
      </c>
      <c r="J615">
        <f t="shared" si="482"/>
        <v>9</v>
      </c>
      <c r="M615">
        <f t="shared" ref="M615:M626" si="528">1/(2*Pi*_Rfb1*(Cc1ea_u+Cc2ea_u)*A615)</f>
        <v>1.8758759505646475E-3</v>
      </c>
      <c r="N615">
        <f t="shared" si="484"/>
        <v>-1.5707963250000001</v>
      </c>
      <c r="O615">
        <f t="shared" ref="O615:O626" si="529">SQRT(1+(A615/Fz1_u)^2)</f>
        <v>289.36126056987263</v>
      </c>
      <c r="P615">
        <f t="shared" si="486"/>
        <v>1.5673404322892954</v>
      </c>
      <c r="Q615">
        <f t="shared" ref="Q615:Q626" si="530">SQRT(1+(A615/Fz2_u)^2)</f>
        <v>118.15207019418611</v>
      </c>
      <c r="R615">
        <f t="shared" si="488"/>
        <v>1.5623325568610325</v>
      </c>
      <c r="S615">
        <f t="shared" ref="S615:S626" si="531">1/SQRT(1+(A615/Fp1_u)^2)</f>
        <v>0.55057396461690522</v>
      </c>
      <c r="T615">
        <f t="shared" si="490"/>
        <v>-0.98774468602562759</v>
      </c>
      <c r="U615">
        <f t="shared" si="491"/>
        <v>0.38965951037450558</v>
      </c>
      <c r="V615">
        <f t="shared" si="492"/>
        <v>-1.170534475060131</v>
      </c>
      <c r="X615">
        <f t="shared" ref="X615:X626" si="532">20*LOG(C615*J615*O615*Q615*F615*M615*S615*U615)</f>
        <v>-30.25824595733415</v>
      </c>
      <c r="Y615">
        <f t="shared" ref="Y615:Y626" si="533">(180/Pi)*(D615+H615+N615+P615+R615+T615+V615)</f>
        <v>-144.99984322618383</v>
      </c>
      <c r="Z615">
        <f t="shared" si="510"/>
        <v>35.000156773816173</v>
      </c>
      <c r="AC615">
        <v>1</v>
      </c>
      <c r="AD615">
        <f t="shared" si="494"/>
        <v>289.35953262090004</v>
      </c>
      <c r="AE615">
        <f t="shared" si="495"/>
        <v>-2.2908054478409219E-2</v>
      </c>
      <c r="AF615">
        <f t="shared" si="496"/>
        <v>9.6924416437799994E-3</v>
      </c>
      <c r="AG615">
        <f t="shared" si="473"/>
        <v>4495.8650227336311</v>
      </c>
      <c r="AH615">
        <f t="shared" si="474"/>
        <v>-10729.135618277543</v>
      </c>
      <c r="AJ615">
        <f t="shared" si="497"/>
        <v>55000</v>
      </c>
      <c r="AK615">
        <f t="shared" si="498"/>
        <v>83391.61339884375</v>
      </c>
      <c r="AL615">
        <v>1</v>
      </c>
      <c r="AM615">
        <f t="shared" si="499"/>
        <v>118.14783828395625</v>
      </c>
      <c r="AN615">
        <f t="shared" si="475"/>
        <v>709.71357650852678</v>
      </c>
      <c r="AO615">
        <f t="shared" si="476"/>
        <v>-459.51146641388664</v>
      </c>
      <c r="AQ615">
        <f t="shared" si="500"/>
        <v>2.2489266456155775E-3</v>
      </c>
      <c r="AR615">
        <f t="shared" si="501"/>
        <v>-2.6666647700386714</v>
      </c>
      <c r="AT615">
        <f t="shared" si="523"/>
        <v>-28600.897095583088</v>
      </c>
      <c r="AU615">
        <f t="shared" si="524"/>
        <v>-12013.093905949252</v>
      </c>
      <c r="AV615">
        <f t="shared" si="511"/>
        <v>-2.7439433484686435</v>
      </c>
      <c r="AW615">
        <f t="shared" si="512"/>
        <v>3657.6536529299651</v>
      </c>
      <c r="AX615">
        <f t="shared" si="513"/>
        <v>-14886.344612735689</v>
      </c>
      <c r="AY615">
        <f t="shared" si="521"/>
        <v>-1.3298638082430432</v>
      </c>
      <c r="BA615">
        <f t="shared" si="502"/>
        <v>2.0236902682083469</v>
      </c>
      <c r="BB615">
        <f t="shared" si="514"/>
        <v>6.1228808639342338</v>
      </c>
      <c r="BC615">
        <f t="shared" si="515"/>
        <v>-1.4140795402256003</v>
      </c>
      <c r="BD615">
        <f t="shared" si="503"/>
        <v>-261.02078964330656</v>
      </c>
      <c r="BF615">
        <f t="shared" si="504"/>
        <v>-46.9071008945862</v>
      </c>
      <c r="BG615">
        <f t="shared" si="505"/>
        <v>-191.67739952624407</v>
      </c>
      <c r="BH615">
        <f t="shared" si="516"/>
        <v>-11.677399526244074</v>
      </c>
      <c r="BI615">
        <f t="shared" si="517"/>
        <v>-11.677399526244074</v>
      </c>
      <c r="BJ615">
        <f t="shared" si="506"/>
        <v>0</v>
      </c>
      <c r="BK615">
        <f t="shared" si="518"/>
        <v>0</v>
      </c>
      <c r="BM615">
        <f t="shared" si="519"/>
        <v>-53.029981758520449</v>
      </c>
      <c r="BN615">
        <f t="shared" si="507"/>
        <v>-110.65660988293752</v>
      </c>
      <c r="BQ615" s="75">
        <f t="shared" si="520"/>
        <v>23.024841664219373</v>
      </c>
    </row>
    <row r="616" spans="1:69">
      <c r="A616">
        <f t="shared" ref="A616:A626" si="534">A615+250000</f>
        <v>2500000</v>
      </c>
      <c r="B616">
        <f t="shared" si="508"/>
        <v>2500</v>
      </c>
      <c r="C616">
        <f t="shared" si="477"/>
        <v>3.0880772054782044</v>
      </c>
      <c r="D616">
        <f t="shared" si="526"/>
        <v>1.2410256180267956</v>
      </c>
      <c r="F616">
        <f t="shared" si="479"/>
        <v>7.1372212888413556E-5</v>
      </c>
      <c r="G616">
        <f t="shared" si="527"/>
        <v>2.5937643672242802E-3</v>
      </c>
      <c r="H616">
        <f t="shared" si="481"/>
        <v>-3.138998885632776</v>
      </c>
      <c r="J616">
        <f t="shared" si="482"/>
        <v>9</v>
      </c>
      <c r="M616">
        <f t="shared" si="528"/>
        <v>1.6882883555081828E-3</v>
      </c>
      <c r="N616">
        <f t="shared" si="484"/>
        <v>-1.5707963250000001</v>
      </c>
      <c r="O616">
        <f t="shared" si="529"/>
        <v>321.51214695595763</v>
      </c>
      <c r="P616">
        <f t="shared" si="486"/>
        <v>1.5676860193872135</v>
      </c>
      <c r="Q616">
        <f t="shared" si="530"/>
        <v>131.27918460322925</v>
      </c>
      <c r="R616">
        <f t="shared" si="488"/>
        <v>1.5631788992952149</v>
      </c>
      <c r="S616">
        <f t="shared" si="531"/>
        <v>0.51043376403628327</v>
      </c>
      <c r="T616">
        <f t="shared" si="490"/>
        <v>-1.035107186566226</v>
      </c>
      <c r="U616">
        <f t="shared" si="491"/>
        <v>0.35586420894218407</v>
      </c>
      <c r="V616">
        <f t="shared" si="492"/>
        <v>-1.2069576772590767</v>
      </c>
      <c r="X616">
        <f t="shared" si="532"/>
        <v>-31.809531844927914</v>
      </c>
      <c r="Y616">
        <f t="shared" si="533"/>
        <v>-147.82136595423782</v>
      </c>
      <c r="Z616">
        <f t="shared" si="510"/>
        <v>32.17863404576218</v>
      </c>
      <c r="AC616">
        <v>1</v>
      </c>
      <c r="AD616">
        <f t="shared" si="494"/>
        <v>321.51059180100003</v>
      </c>
      <c r="AE616">
        <f t="shared" si="495"/>
        <v>-2.8281548738776821E-2</v>
      </c>
      <c r="AF616">
        <f t="shared" si="496"/>
        <v>1.0769379604200002E-2</v>
      </c>
      <c r="AG616">
        <f t="shared" ref="AG616:AG626" si="535">AC616*AE616/(AE616^2+AF616^2)+AD616*AF616/(AE616^2+AF616^2)</f>
        <v>3749.8278063687089</v>
      </c>
      <c r="AH616">
        <f t="shared" ref="AH616:AH626" si="536">AD616*AE616/(AE616^2+AF616^2)-AC616*AF616/(AE616^2+AF616^2)</f>
        <v>-9940.3068516674739</v>
      </c>
      <c r="AJ616">
        <f t="shared" si="497"/>
        <v>55000</v>
      </c>
      <c r="AK616">
        <f t="shared" si="498"/>
        <v>92657.348220937507</v>
      </c>
      <c r="AL616">
        <v>1</v>
      </c>
      <c r="AM616">
        <f t="shared" si="499"/>
        <v>131.27537587106252</v>
      </c>
      <c r="AN616">
        <f t="shared" ref="AN616:AN626" si="537">AJ616*AL616/(AL616^2+AM616^2)+AK616*AM616/(AL616^2+AM616^2)</f>
        <v>708.97465386746978</v>
      </c>
      <c r="AO616">
        <f t="shared" ref="AO616:AO626" si="538">AK616*AL616/(AL616^2+AM616^2)-AJ616*AM616/(AL616^2+AM616^2)</f>
        <v>-413.56594857101521</v>
      </c>
      <c r="AQ616">
        <f t="shared" si="500"/>
        <v>1.8216308291142348E-3</v>
      </c>
      <c r="AR616">
        <f t="shared" si="501"/>
        <v>-2.3999986173580043</v>
      </c>
      <c r="AT616">
        <f t="shared" si="523"/>
        <v>-23849.891898180285</v>
      </c>
      <c r="AU616">
        <f t="shared" si="524"/>
        <v>-9017.6891200273531</v>
      </c>
      <c r="AV616">
        <f t="shared" si="511"/>
        <v>-2.7801052983246799</v>
      </c>
      <c r="AW616">
        <f t="shared" si="512"/>
        <v>3196.8543273583364</v>
      </c>
      <c r="AX616">
        <f t="shared" si="513"/>
        <v>-13658.561148434372</v>
      </c>
      <c r="AY616">
        <f t="shared" si="521"/>
        <v>-1.3408801123041068</v>
      </c>
      <c r="BA616">
        <f t="shared" si="502"/>
        <v>1.8176735005402971</v>
      </c>
      <c r="BB616">
        <f t="shared" si="514"/>
        <v>5.1903175155840922</v>
      </c>
      <c r="BC616">
        <f t="shared" si="515"/>
        <v>-1.4392251860205731</v>
      </c>
      <c r="BD616">
        <f t="shared" si="503"/>
        <v>-262.46152902213566</v>
      </c>
      <c r="BF616">
        <f t="shared" si="504"/>
        <v>-48.860486057955974</v>
      </c>
      <c r="BG616">
        <f t="shared" si="505"/>
        <v>-191.20738700887259</v>
      </c>
      <c r="BH616">
        <f t="shared" si="516"/>
        <v>-11.207387008872587</v>
      </c>
      <c r="BI616">
        <f t="shared" si="517"/>
        <v>-11.207387008872587</v>
      </c>
      <c r="BJ616">
        <f t="shared" si="506"/>
        <v>0</v>
      </c>
      <c r="BK616">
        <f t="shared" si="518"/>
        <v>0</v>
      </c>
      <c r="BM616">
        <f t="shared" si="519"/>
        <v>-54.050803573540065</v>
      </c>
      <c r="BN616">
        <f t="shared" si="507"/>
        <v>-108.74585798673689</v>
      </c>
      <c r="BQ616" s="75">
        <f t="shared" si="520"/>
        <v>22.092278315869226</v>
      </c>
    </row>
    <row r="617" spans="1:69">
      <c r="A617">
        <f t="shared" si="534"/>
        <v>2750000</v>
      </c>
      <c r="B617">
        <f t="shared" si="508"/>
        <v>2750</v>
      </c>
      <c r="C617">
        <f t="shared" si="477"/>
        <v>3.3658323191541837</v>
      </c>
      <c r="D617">
        <f t="shared" si="526"/>
        <v>1.2691387611568539</v>
      </c>
      <c r="F617">
        <f t="shared" si="479"/>
        <v>5.8984602668754579E-5</v>
      </c>
      <c r="G617">
        <f t="shared" si="527"/>
        <v>2.3579392751713587E-3</v>
      </c>
      <c r="H617">
        <f t="shared" si="481"/>
        <v>-3.1392347107248288</v>
      </c>
      <c r="J617">
        <f t="shared" si="482"/>
        <v>9</v>
      </c>
      <c r="M617">
        <f t="shared" si="528"/>
        <v>1.5348075959165297E-3</v>
      </c>
      <c r="N617">
        <f t="shared" si="484"/>
        <v>-1.5707963250000001</v>
      </c>
      <c r="O617">
        <f t="shared" si="529"/>
        <v>353.66306475892765</v>
      </c>
      <c r="P617">
        <f t="shared" si="486"/>
        <v>1.5679687730236456</v>
      </c>
      <c r="Q617">
        <f t="shared" si="530"/>
        <v>144.40637595067395</v>
      </c>
      <c r="R617">
        <f t="shared" si="488"/>
        <v>1.5638713694585809</v>
      </c>
      <c r="S617">
        <f t="shared" si="531"/>
        <v>0.47489175549294166</v>
      </c>
      <c r="T617">
        <f t="shared" si="490"/>
        <v>-1.0759552981021308</v>
      </c>
      <c r="U617">
        <f t="shared" si="491"/>
        <v>0.32712781688790576</v>
      </c>
      <c r="V617">
        <f t="shared" si="492"/>
        <v>-1.2375337682085963</v>
      </c>
      <c r="X617">
        <f t="shared" si="532"/>
        <v>-33.247684714673547</v>
      </c>
      <c r="Y617">
        <f t="shared" si="533"/>
        <v>-150.26054243899688</v>
      </c>
      <c r="Z617">
        <f t="shared" si="510"/>
        <v>29.739457561003121</v>
      </c>
      <c r="AC617">
        <v>1</v>
      </c>
      <c r="AD617">
        <f t="shared" si="494"/>
        <v>353.66165098110008</v>
      </c>
      <c r="AE617">
        <f t="shared" si="495"/>
        <v>-3.4220673973919959E-2</v>
      </c>
      <c r="AF617">
        <f t="shared" si="496"/>
        <v>1.184631756462E-2</v>
      </c>
      <c r="AG617">
        <f t="shared" si="535"/>
        <v>3168.6746826281678</v>
      </c>
      <c r="AH617">
        <f t="shared" si="536"/>
        <v>-9237.8228632386999</v>
      </c>
      <c r="AJ617">
        <f t="shared" si="497"/>
        <v>55000</v>
      </c>
      <c r="AK617">
        <f t="shared" si="498"/>
        <v>101923.08304303126</v>
      </c>
      <c r="AL617">
        <v>1</v>
      </c>
      <c r="AM617">
        <f t="shared" si="499"/>
        <v>144.40291345816877</v>
      </c>
      <c r="AN617">
        <f t="shared" si="537"/>
        <v>708.42792173288365</v>
      </c>
      <c r="AO617">
        <f t="shared" si="538"/>
        <v>-375.97283031269671</v>
      </c>
      <c r="AQ617">
        <f t="shared" si="500"/>
        <v>1.5054801745859462E-3</v>
      </c>
      <c r="AR617">
        <f t="shared" si="501"/>
        <v>-2.1818171430186823</v>
      </c>
      <c r="AT617">
        <f t="shared" si="523"/>
        <v>-20150.469910269716</v>
      </c>
      <c r="AU617">
        <f t="shared" si="524"/>
        <v>-6927.3761023843617</v>
      </c>
      <c r="AV617">
        <f t="shared" si="511"/>
        <v>-2.8104676368090415</v>
      </c>
      <c r="AW617">
        <f t="shared" si="512"/>
        <v>2828.9374152575292</v>
      </c>
      <c r="AX617">
        <f t="shared" si="513"/>
        <v>-12601.668974175578</v>
      </c>
      <c r="AY617">
        <f t="shared" si="521"/>
        <v>-1.3499682128907913</v>
      </c>
      <c r="BA617">
        <f t="shared" si="502"/>
        <v>1.6498246939288599</v>
      </c>
      <c r="BB617">
        <f t="shared" si="514"/>
        <v>4.3487559933190756</v>
      </c>
      <c r="BC617">
        <f t="shared" si="515"/>
        <v>-1.4604994239182503</v>
      </c>
      <c r="BD617">
        <f t="shared" si="503"/>
        <v>-263.68045306742266</v>
      </c>
      <c r="BF617">
        <f t="shared" si="504"/>
        <v>-50.609771127158595</v>
      </c>
      <c r="BG617">
        <f t="shared" si="505"/>
        <v>-190.82905838461281</v>
      </c>
      <c r="BH617">
        <f t="shared" si="516"/>
        <v>-10.829058384612807</v>
      </c>
      <c r="BI617">
        <f t="shared" si="517"/>
        <v>-10.829058384612807</v>
      </c>
      <c r="BJ617">
        <f t="shared" si="506"/>
        <v>0</v>
      </c>
      <c r="BK617">
        <f t="shared" si="518"/>
        <v>0</v>
      </c>
      <c r="BM617">
        <f t="shared" si="519"/>
        <v>-54.958527120477669</v>
      </c>
      <c r="BN617">
        <f t="shared" si="507"/>
        <v>-107.14860531719015</v>
      </c>
      <c r="BQ617" s="75">
        <f t="shared" si="520"/>
        <v>21.250716793604212</v>
      </c>
    </row>
    <row r="618" spans="1:69">
      <c r="A618">
        <f t="shared" si="534"/>
        <v>3000000</v>
      </c>
      <c r="B618">
        <f t="shared" si="508"/>
        <v>3000</v>
      </c>
      <c r="C618">
        <f t="shared" si="477"/>
        <v>3.6458411911205717</v>
      </c>
      <c r="D618">
        <f t="shared" si="526"/>
        <v>1.2929500902431288</v>
      </c>
      <c r="F618">
        <f t="shared" si="479"/>
        <v>4.9563005256836646E-5</v>
      </c>
      <c r="G618">
        <f t="shared" si="527"/>
        <v>2.1614245833235556E-3</v>
      </c>
      <c r="H618">
        <f t="shared" si="481"/>
        <v>-3.1394312254166765</v>
      </c>
      <c r="J618">
        <f t="shared" si="482"/>
        <v>9</v>
      </c>
      <c r="M618">
        <f t="shared" si="528"/>
        <v>1.4069069629234856E-3</v>
      </c>
      <c r="N618">
        <f t="shared" si="484"/>
        <v>-1.5707963250000001</v>
      </c>
      <c r="O618">
        <f t="shared" si="529"/>
        <v>385.81400612462238</v>
      </c>
      <c r="P618">
        <f t="shared" si="486"/>
        <v>1.5682044014012979</v>
      </c>
      <c r="Q618">
        <f t="shared" si="530"/>
        <v>157.5336250028158</v>
      </c>
      <c r="R618">
        <f t="shared" si="488"/>
        <v>1.5644484330295312</v>
      </c>
      <c r="S618">
        <f t="shared" si="531"/>
        <v>0.44337608150808661</v>
      </c>
      <c r="T618">
        <f t="shared" si="490"/>
        <v>-1.1114346097799603</v>
      </c>
      <c r="U618">
        <f t="shared" si="491"/>
        <v>0.30246320096225326</v>
      </c>
      <c r="V618">
        <f t="shared" si="492"/>
        <v>-1.2635204844296621</v>
      </c>
      <c r="X618">
        <f t="shared" si="532"/>
        <v>-34.586813421232961</v>
      </c>
      <c r="Y618">
        <f t="shared" si="533"/>
        <v>-152.38269340597716</v>
      </c>
      <c r="Z618">
        <f t="shared" si="510"/>
        <v>27.617306594022835</v>
      </c>
      <c r="AC618">
        <v>1</v>
      </c>
      <c r="AD618">
        <f t="shared" si="494"/>
        <v>385.81271016120007</v>
      </c>
      <c r="AE618">
        <f t="shared" si="495"/>
        <v>-4.0725430183838618E-2</v>
      </c>
      <c r="AF618">
        <f t="shared" si="496"/>
        <v>1.2923255525040001E-2</v>
      </c>
      <c r="AG618">
        <f t="shared" si="535"/>
        <v>2708.8676771952914</v>
      </c>
      <c r="AH618">
        <f t="shared" si="536"/>
        <v>-8613.9132085705132</v>
      </c>
      <c r="AJ618">
        <f t="shared" si="497"/>
        <v>55000</v>
      </c>
      <c r="AK618">
        <f t="shared" si="498"/>
        <v>111188.81786512501</v>
      </c>
      <c r="AL618">
        <v>1</v>
      </c>
      <c r="AM618">
        <f t="shared" si="499"/>
        <v>157.53045104527502</v>
      </c>
      <c r="AN618">
        <f t="shared" si="537"/>
        <v>708.01207973400653</v>
      </c>
      <c r="AO618">
        <f t="shared" si="538"/>
        <v>-344.6444008762611</v>
      </c>
      <c r="AQ618">
        <f t="shared" si="500"/>
        <v>1.2650216317898896E-3</v>
      </c>
      <c r="AR618">
        <f t="shared" si="501"/>
        <v>-1.9999991998598154</v>
      </c>
      <c r="AT618">
        <f t="shared" si="523"/>
        <v>-17224.392748593615</v>
      </c>
      <c r="AU618">
        <f t="shared" si="524"/>
        <v>-5428.6299734599024</v>
      </c>
      <c r="AV618">
        <f t="shared" si="511"/>
        <v>-2.8362762256335632</v>
      </c>
      <c r="AW618">
        <f t="shared" si="512"/>
        <v>2532.6511420660522</v>
      </c>
      <c r="AX618">
        <f t="shared" si="513"/>
        <v>-11685.591630516616</v>
      </c>
      <c r="AY618">
        <f t="shared" si="521"/>
        <v>-1.3573645054349266</v>
      </c>
      <c r="BA618">
        <f t="shared" si="502"/>
        <v>1.510393268940307</v>
      </c>
      <c r="BB618">
        <f t="shared" si="514"/>
        <v>3.5818008305444438</v>
      </c>
      <c r="BC618">
        <f t="shared" si="515"/>
        <v>-1.4789117201986366</v>
      </c>
      <c r="BD618">
        <f t="shared" si="503"/>
        <v>-264.73539993663871</v>
      </c>
      <c r="BF618">
        <f t="shared" si="504"/>
        <v>-52.194241394291467</v>
      </c>
      <c r="BG618">
        <f t="shared" si="505"/>
        <v>-190.53097605349731</v>
      </c>
      <c r="BH618">
        <f t="shared" si="516"/>
        <v>-10.530976053497312</v>
      </c>
      <c r="BI618">
        <f t="shared" si="517"/>
        <v>-10.530976053497312</v>
      </c>
      <c r="BJ618">
        <f t="shared" si="506"/>
        <v>0</v>
      </c>
      <c r="BK618">
        <f t="shared" si="518"/>
        <v>0</v>
      </c>
      <c r="BM618">
        <f t="shared" si="519"/>
        <v>-55.776042224835905</v>
      </c>
      <c r="BN618">
        <f t="shared" si="507"/>
        <v>-105.79557611685861</v>
      </c>
      <c r="BQ618" s="75">
        <f t="shared" si="520"/>
        <v>20.48376163082958</v>
      </c>
    </row>
    <row r="619" spans="1:69">
      <c r="A619">
        <f t="shared" si="534"/>
        <v>3250000</v>
      </c>
      <c r="B619">
        <f t="shared" si="508"/>
        <v>3250</v>
      </c>
      <c r="C619">
        <f t="shared" si="477"/>
        <v>3.9276218246694765</v>
      </c>
      <c r="D619">
        <f t="shared" si="526"/>
        <v>1.3133550407875707</v>
      </c>
      <c r="F619">
        <f t="shared" si="479"/>
        <v>4.2230904269567775E-5</v>
      </c>
      <c r="G619">
        <f t="shared" si="527"/>
        <v>1.9951469646184252E-3</v>
      </c>
      <c r="H619">
        <f t="shared" si="481"/>
        <v>-3.139597503035382</v>
      </c>
      <c r="J619">
        <f t="shared" si="482"/>
        <v>9</v>
      </c>
      <c r="M619">
        <f t="shared" si="528"/>
        <v>1.2986833503909098E-3</v>
      </c>
      <c r="N619">
        <f t="shared" si="484"/>
        <v>-1.5707963250000001</v>
      </c>
      <c r="O619">
        <f t="shared" si="529"/>
        <v>417.96496561552561</v>
      </c>
      <c r="P619">
        <f t="shared" si="486"/>
        <v>1.5684037794851595</v>
      </c>
      <c r="Q619">
        <f t="shared" si="530"/>
        <v>170.66091844370806</v>
      </c>
      <c r="R619">
        <f t="shared" si="488"/>
        <v>1.5649367209071572</v>
      </c>
      <c r="S619">
        <f t="shared" si="531"/>
        <v>0.41535408130496343</v>
      </c>
      <c r="T619">
        <f t="shared" si="490"/>
        <v>-1.1424643125511054</v>
      </c>
      <c r="U619">
        <f t="shared" si="491"/>
        <v>0.28110539877059754</v>
      </c>
      <c r="V619">
        <f t="shared" si="492"/>
        <v>-1.2858505668606504</v>
      </c>
      <c r="X619">
        <f t="shared" si="532"/>
        <v>-35.838650897540354</v>
      </c>
      <c r="Y619">
        <f t="shared" si="533"/>
        <v>-154.24099299700899</v>
      </c>
      <c r="Z619">
        <f t="shared" si="510"/>
        <v>25.759007002991012</v>
      </c>
      <c r="AC619">
        <v>1</v>
      </c>
      <c r="AD619">
        <f t="shared" si="494"/>
        <v>417.96376934130001</v>
      </c>
      <c r="AE619">
        <f t="shared" si="495"/>
        <v>-4.779581736853282E-2</v>
      </c>
      <c r="AF619">
        <f t="shared" si="496"/>
        <v>1.4000193485460001E-2</v>
      </c>
      <c r="AG619">
        <f t="shared" si="535"/>
        <v>2339.8126048461395</v>
      </c>
      <c r="AH619">
        <f t="shared" si="536"/>
        <v>-8059.406897126164</v>
      </c>
      <c r="AJ619">
        <f t="shared" si="497"/>
        <v>55000</v>
      </c>
      <c r="AK619">
        <f t="shared" si="498"/>
        <v>120454.55268721876</v>
      </c>
      <c r="AL619">
        <v>1</v>
      </c>
      <c r="AM619">
        <f t="shared" si="499"/>
        <v>170.65798863238126</v>
      </c>
      <c r="AN619">
        <f t="shared" si="537"/>
        <v>707.68845246878413</v>
      </c>
      <c r="AO619">
        <f t="shared" si="538"/>
        <v>-318.13518946648128</v>
      </c>
      <c r="AQ619">
        <f t="shared" si="500"/>
        <v>1.0778883180977282E-3</v>
      </c>
      <c r="AR619">
        <f t="shared" si="501"/>
        <v>-1.8461532168218842</v>
      </c>
      <c r="AT619">
        <f t="shared" si="523"/>
        <v>-14876.377912132646</v>
      </c>
      <c r="AU619">
        <f t="shared" si="524"/>
        <v>-4328.3397077423006</v>
      </c>
      <c r="AV619">
        <f t="shared" si="511"/>
        <v>-2.8584555846602946</v>
      </c>
      <c r="AW619">
        <f t="shared" si="512"/>
        <v>2291.6965369611753</v>
      </c>
      <c r="AX619">
        <f t="shared" si="513"/>
        <v>-10886.045235508496</v>
      </c>
      <c r="AY619">
        <f t="shared" si="521"/>
        <v>-1.363309112975158</v>
      </c>
      <c r="BA619">
        <f t="shared" si="502"/>
        <v>1.3926964210082509</v>
      </c>
      <c r="BB619">
        <f t="shared" si="514"/>
        <v>2.8771291906561238</v>
      </c>
      <c r="BC619">
        <f t="shared" si="515"/>
        <v>-1.4951464716851366</v>
      </c>
      <c r="BD619">
        <f t="shared" si="503"/>
        <v>-265.6655826793218</v>
      </c>
      <c r="BF619">
        <f t="shared" si="504"/>
        <v>-53.642819711140739</v>
      </c>
      <c r="BG619">
        <f t="shared" si="505"/>
        <v>-190.30156825326495</v>
      </c>
      <c r="BH619">
        <f t="shared" si="516"/>
        <v>-10.301568253264946</v>
      </c>
      <c r="BI619">
        <f t="shared" si="517"/>
        <v>-10.301568253264946</v>
      </c>
      <c r="BJ619">
        <f t="shared" si="506"/>
        <v>0</v>
      </c>
      <c r="BK619">
        <f t="shared" si="518"/>
        <v>0</v>
      </c>
      <c r="BM619">
        <f t="shared" si="519"/>
        <v>-56.519948901796866</v>
      </c>
      <c r="BN619">
        <f t="shared" si="507"/>
        <v>-104.63598557394322</v>
      </c>
      <c r="BQ619" s="75">
        <f t="shared" si="520"/>
        <v>19.779089990941259</v>
      </c>
    </row>
    <row r="620" spans="1:69">
      <c r="A620">
        <f t="shared" si="534"/>
        <v>3500000</v>
      </c>
      <c r="B620">
        <f t="shared" si="508"/>
        <v>3500</v>
      </c>
      <c r="C620">
        <f t="shared" si="477"/>
        <v>4.2108185452365898</v>
      </c>
      <c r="D620">
        <f t="shared" si="526"/>
        <v>1.3310218948368095</v>
      </c>
      <c r="F620">
        <f t="shared" si="479"/>
        <v>3.641317959079527E-5</v>
      </c>
      <c r="G620">
        <f t="shared" si="527"/>
        <v>1.8526260127576207E-3</v>
      </c>
      <c r="H620">
        <f t="shared" si="481"/>
        <v>-3.1397400239872426</v>
      </c>
      <c r="J620">
        <f t="shared" si="482"/>
        <v>9</v>
      </c>
      <c r="M620">
        <f t="shared" si="528"/>
        <v>1.2059202539344163E-3</v>
      </c>
      <c r="N620">
        <f t="shared" si="484"/>
        <v>-1.5707963250000001</v>
      </c>
      <c r="O620">
        <f t="shared" si="529"/>
        <v>450.11593934768564</v>
      </c>
      <c r="P620">
        <f t="shared" si="486"/>
        <v>1.5685746751376095</v>
      </c>
      <c r="Q620">
        <f t="shared" si="530"/>
        <v>183.78824676179357</v>
      </c>
      <c r="R620">
        <f t="shared" si="488"/>
        <v>1.5653552556064738</v>
      </c>
      <c r="S620">
        <f t="shared" si="531"/>
        <v>0.39035225732092238</v>
      </c>
      <c r="T620">
        <f t="shared" si="490"/>
        <v>-1.1697821535250665</v>
      </c>
      <c r="U620">
        <f t="shared" si="491"/>
        <v>0.26245884069215591</v>
      </c>
      <c r="V620">
        <f t="shared" si="492"/>
        <v>-1.3052268321157929</v>
      </c>
      <c r="X620">
        <f t="shared" si="532"/>
        <v>-37.013074853080823</v>
      </c>
      <c r="Y620">
        <f t="shared" si="533"/>
        <v>-155.87852601720903</v>
      </c>
      <c r="Z620">
        <f t="shared" si="510"/>
        <v>24.121473982790974</v>
      </c>
      <c r="AC620">
        <v>1</v>
      </c>
      <c r="AD620">
        <f t="shared" si="494"/>
        <v>450.11482852140006</v>
      </c>
      <c r="AE620">
        <f t="shared" si="495"/>
        <v>-5.5431835528002557E-2</v>
      </c>
      <c r="AF620">
        <f t="shared" si="496"/>
        <v>1.507713144588E-2</v>
      </c>
      <c r="AG620">
        <f t="shared" si="535"/>
        <v>2039.694456295229</v>
      </c>
      <c r="AH620">
        <f t="shared" si="536"/>
        <v>-7565.3653374432206</v>
      </c>
      <c r="AJ620">
        <f t="shared" si="497"/>
        <v>55000</v>
      </c>
      <c r="AK620">
        <f t="shared" si="498"/>
        <v>129720.2875093125</v>
      </c>
      <c r="AL620">
        <v>1</v>
      </c>
      <c r="AM620">
        <f t="shared" si="499"/>
        <v>183.78552621948754</v>
      </c>
      <c r="AN620">
        <f t="shared" si="537"/>
        <v>707.43166139554467</v>
      </c>
      <c r="AO620">
        <f t="shared" si="538"/>
        <v>-295.41264459403106</v>
      </c>
      <c r="AQ620">
        <f t="shared" si="500"/>
        <v>9.2940374649351791E-4</v>
      </c>
      <c r="AR620">
        <f t="shared" si="501"/>
        <v>-1.7142852104072939</v>
      </c>
      <c r="AT620">
        <f t="shared" si="523"/>
        <v>-12967.298209637516</v>
      </c>
      <c r="AU620">
        <f t="shared" si="524"/>
        <v>-3503.6493190648694</v>
      </c>
      <c r="AV620">
        <f t="shared" si="511"/>
        <v>-2.8777026582762857</v>
      </c>
      <c r="AW620">
        <f t="shared" si="512"/>
        <v>2093.7695074978005</v>
      </c>
      <c r="AX620">
        <f t="shared" si="513"/>
        <v>-10183.50013158022</v>
      </c>
      <c r="AY620">
        <f t="shared" si="521"/>
        <v>-1.3680180502290755</v>
      </c>
      <c r="BA620">
        <f t="shared" si="502"/>
        <v>1.2919990424424017</v>
      </c>
      <c r="BB620">
        <f t="shared" si="514"/>
        <v>2.2252438356869537</v>
      </c>
      <c r="BC620">
        <f t="shared" si="515"/>
        <v>-1.5096846080472102</v>
      </c>
      <c r="BD620">
        <f t="shared" si="503"/>
        <v>-266.49855653580607</v>
      </c>
      <c r="BF620">
        <f t="shared" si="504"/>
        <v>-54.97740337413218</v>
      </c>
      <c r="BG620">
        <f t="shared" si="505"/>
        <v>-190.13047178334077</v>
      </c>
      <c r="BH620">
        <f t="shared" si="516"/>
        <v>-10.130471783340766</v>
      </c>
      <c r="BI620">
        <f t="shared" si="517"/>
        <v>-10.130471783340766</v>
      </c>
      <c r="BJ620">
        <f t="shared" si="506"/>
        <v>0</v>
      </c>
      <c r="BK620">
        <f t="shared" si="518"/>
        <v>0</v>
      </c>
      <c r="BM620">
        <f t="shared" si="519"/>
        <v>-57.202647209819126</v>
      </c>
      <c r="BN620">
        <f t="shared" si="507"/>
        <v>-103.63191524753471</v>
      </c>
      <c r="BQ620" s="75">
        <f t="shared" si="520"/>
        <v>19.127204635972092</v>
      </c>
    </row>
    <row r="621" spans="1:69">
      <c r="A621">
        <f t="shared" si="534"/>
        <v>3750000</v>
      </c>
      <c r="B621">
        <f t="shared" si="508"/>
        <v>3750</v>
      </c>
      <c r="C621">
        <f t="shared" si="477"/>
        <v>4.4951637190136546</v>
      </c>
      <c r="D621">
        <f t="shared" si="526"/>
        <v>1.3464580105987976</v>
      </c>
      <c r="F621">
        <f t="shared" si="479"/>
        <v>3.1719783267934561E-5</v>
      </c>
      <c r="G621">
        <f t="shared" si="527"/>
        <v>1.7291097401890617E-3</v>
      </c>
      <c r="H621">
        <f t="shared" si="481"/>
        <v>-3.1398635402598112</v>
      </c>
      <c r="J621">
        <f t="shared" si="482"/>
        <v>9</v>
      </c>
      <c r="M621">
        <f t="shared" si="528"/>
        <v>1.1255255703387884E-3</v>
      </c>
      <c r="N621">
        <f t="shared" si="484"/>
        <v>-1.5707963250000001</v>
      </c>
      <c r="O621">
        <f t="shared" si="529"/>
        <v>482.26692447286484</v>
      </c>
      <c r="P621">
        <f t="shared" si="486"/>
        <v>1.5687227848083931</v>
      </c>
      <c r="Q621">
        <f t="shared" si="530"/>
        <v>196.91560298183498</v>
      </c>
      <c r="R621">
        <f t="shared" si="488"/>
        <v>1.5657179872264437</v>
      </c>
      <c r="S621">
        <f t="shared" si="531"/>
        <v>0.36795995226375189</v>
      </c>
      <c r="T621">
        <f t="shared" si="490"/>
        <v>-1.1939822344086597</v>
      </c>
      <c r="U621">
        <f t="shared" si="491"/>
        <v>0.24605632118936807</v>
      </c>
      <c r="V621">
        <f t="shared" si="492"/>
        <v>-1.3221869574110112</v>
      </c>
      <c r="X621">
        <f t="shared" si="532"/>
        <v>-38.118474237677411</v>
      </c>
      <c r="Y621">
        <f t="shared" si="533"/>
        <v>-157.33021574272288</v>
      </c>
      <c r="Z621">
        <f t="shared" si="510"/>
        <v>22.669784257277115</v>
      </c>
      <c r="AC621">
        <v>1</v>
      </c>
      <c r="AD621">
        <f t="shared" si="494"/>
        <v>482.26588770150011</v>
      </c>
      <c r="AE621">
        <f t="shared" si="495"/>
        <v>-6.363348466224783E-2</v>
      </c>
      <c r="AF621">
        <f t="shared" si="496"/>
        <v>1.6154069406300001E-2</v>
      </c>
      <c r="AG621">
        <f t="shared" si="535"/>
        <v>1792.717080190451</v>
      </c>
      <c r="AH621">
        <f t="shared" si="536"/>
        <v>-7123.7056082704112</v>
      </c>
      <c r="AJ621">
        <f t="shared" si="497"/>
        <v>55000</v>
      </c>
      <c r="AK621">
        <f t="shared" si="498"/>
        <v>138986.02233140625</v>
      </c>
      <c r="AL621">
        <v>1</v>
      </c>
      <c r="AM621">
        <f t="shared" si="499"/>
        <v>196.91306380659375</v>
      </c>
      <c r="AN621">
        <f t="shared" si="537"/>
        <v>707.22449369104652</v>
      </c>
      <c r="AO621">
        <f t="shared" si="538"/>
        <v>-275.71952036475767</v>
      </c>
      <c r="AQ621">
        <f t="shared" si="500"/>
        <v>8.0961396095036891E-4</v>
      </c>
      <c r="AR621">
        <f t="shared" si="501"/>
        <v>-1.5999995903281665</v>
      </c>
      <c r="AT621">
        <f t="shared" si="523"/>
        <v>-11396.474646074965</v>
      </c>
      <c r="AU621">
        <f t="shared" si="524"/>
        <v>-2874.1140453931848</v>
      </c>
      <c r="AV621">
        <f t="shared" si="511"/>
        <v>-2.8945508173804435</v>
      </c>
      <c r="AW621">
        <f t="shared" si="512"/>
        <v>1929.5996611183621</v>
      </c>
      <c r="AX621">
        <f t="shared" si="513"/>
        <v>-9562.2354079385641</v>
      </c>
      <c r="AY621">
        <f t="shared" si="521"/>
        <v>-1.3716765716598807</v>
      </c>
      <c r="BA621">
        <f t="shared" si="502"/>
        <v>1.2048513055455319</v>
      </c>
      <c r="BB621">
        <f t="shared" si="514"/>
        <v>1.6186690516494984</v>
      </c>
      <c r="BC621">
        <f t="shared" si="515"/>
        <v>-1.5228742457205628</v>
      </c>
      <c r="BD621">
        <f t="shared" si="503"/>
        <v>-267.25426710865946</v>
      </c>
      <c r="BF621">
        <f t="shared" si="504"/>
        <v>-56.214966257411049</v>
      </c>
      <c r="BG621">
        <f t="shared" si="505"/>
        <v>-190.00883503107372</v>
      </c>
      <c r="BH621">
        <f t="shared" si="516"/>
        <v>-10.008835031073716</v>
      </c>
      <c r="BI621">
        <f t="shared" si="517"/>
        <v>-10.008835031073716</v>
      </c>
      <c r="BJ621">
        <f t="shared" si="506"/>
        <v>0</v>
      </c>
      <c r="BK621">
        <f t="shared" si="518"/>
        <v>0</v>
      </c>
      <c r="BM621">
        <f t="shared" si="519"/>
        <v>-57.833635309060547</v>
      </c>
      <c r="BN621">
        <f t="shared" si="507"/>
        <v>-102.75456792241427</v>
      </c>
      <c r="BQ621" s="75">
        <f t="shared" si="520"/>
        <v>18.520629851934636</v>
      </c>
    </row>
    <row r="622" spans="1:69">
      <c r="A622">
        <f t="shared" si="534"/>
        <v>4000000</v>
      </c>
      <c r="B622">
        <f t="shared" si="508"/>
        <v>4000</v>
      </c>
      <c r="C622">
        <f t="shared" si="477"/>
        <v>4.7804524176174832</v>
      </c>
      <c r="D622">
        <f t="shared" si="526"/>
        <v>1.3600546534039248</v>
      </c>
      <c r="F622">
        <f t="shared" si="479"/>
        <v>2.7878613573741616E-5</v>
      </c>
      <c r="G622">
        <f t="shared" si="527"/>
        <v>1.6210343417027225E-3</v>
      </c>
      <c r="H622">
        <f t="shared" si="481"/>
        <v>-3.1399716156582973</v>
      </c>
      <c r="J622">
        <f t="shared" si="482"/>
        <v>9</v>
      </c>
      <c r="M622">
        <f t="shared" si="528"/>
        <v>1.0551802221926143E-3</v>
      </c>
      <c r="N622">
        <f t="shared" si="484"/>
        <v>-1.5707963250000001</v>
      </c>
      <c r="O622">
        <f t="shared" si="529"/>
        <v>514.41791885488101</v>
      </c>
      <c r="P622">
        <f t="shared" si="486"/>
        <v>1.5688523808451769</v>
      </c>
      <c r="Q622">
        <f t="shared" si="530"/>
        <v>210.04298187234721</v>
      </c>
      <c r="R622">
        <f t="shared" si="488"/>
        <v>1.5660353784934238</v>
      </c>
      <c r="S622">
        <f t="shared" si="531"/>
        <v>0.3478256148562176</v>
      </c>
      <c r="T622">
        <f t="shared" si="490"/>
        <v>-1.2155454213985397</v>
      </c>
      <c r="U622">
        <f t="shared" si="491"/>
        <v>0.23152808248193443</v>
      </c>
      <c r="V622">
        <f t="shared" si="492"/>
        <v>-1.3371481738740554</v>
      </c>
      <c r="X622">
        <f t="shared" si="532"/>
        <v>-39.162023531534821</v>
      </c>
      <c r="Y622">
        <f t="shared" si="533"/>
        <v>-158.62446144120753</v>
      </c>
      <c r="Z622">
        <f t="shared" si="510"/>
        <v>21.375538558792471</v>
      </c>
      <c r="AC622">
        <v>1</v>
      </c>
      <c r="AD622">
        <f t="shared" si="494"/>
        <v>514.41694688159998</v>
      </c>
      <c r="AE622">
        <f t="shared" si="495"/>
        <v>-7.2400764771268666E-2</v>
      </c>
      <c r="AF622">
        <f t="shared" si="496"/>
        <v>1.7231007366720001E-2</v>
      </c>
      <c r="AG622">
        <f t="shared" si="535"/>
        <v>1587.2672409120596</v>
      </c>
      <c r="AH622">
        <f t="shared" si="536"/>
        <v>-6727.3700063701153</v>
      </c>
      <c r="AJ622">
        <f t="shared" si="497"/>
        <v>55000</v>
      </c>
      <c r="AK622">
        <f t="shared" si="498"/>
        <v>148251.75715350002</v>
      </c>
      <c r="AL622">
        <v>1</v>
      </c>
      <c r="AM622">
        <f t="shared" si="499"/>
        <v>210.04060139370003</v>
      </c>
      <c r="AN622">
        <f t="shared" si="537"/>
        <v>707.05494092883714</v>
      </c>
      <c r="AO622">
        <f t="shared" si="538"/>
        <v>-258.48785757999462</v>
      </c>
      <c r="AQ622">
        <f t="shared" si="500"/>
        <v>7.1157479242922226E-4</v>
      </c>
      <c r="AR622">
        <f t="shared" si="501"/>
        <v>-1.4999996624408005</v>
      </c>
      <c r="AT622">
        <f t="shared" si="523"/>
        <v>-10089.923279312057</v>
      </c>
      <c r="AU622">
        <f t="shared" si="524"/>
        <v>-2385.6873524873076</v>
      </c>
      <c r="AV622">
        <f t="shared" si="511"/>
        <v>-2.9094140633525489</v>
      </c>
      <c r="AW622">
        <f t="shared" si="512"/>
        <v>1792.170919252505</v>
      </c>
      <c r="AX622">
        <f t="shared" si="513"/>
        <v>-9009.5480153404314</v>
      </c>
      <c r="AY622">
        <f t="shared" si="521"/>
        <v>-1.3744403376978509</v>
      </c>
      <c r="BA622">
        <f t="shared" si="502"/>
        <v>1.1286796199479463</v>
      </c>
      <c r="BB622">
        <f t="shared" si="514"/>
        <v>1.0514136651696537</v>
      </c>
      <c r="BC622">
        <f t="shared" si="515"/>
        <v>-1.534973725654698</v>
      </c>
      <c r="BD622">
        <f t="shared" si="503"/>
        <v>-267.94751624398077</v>
      </c>
      <c r="BF622">
        <f t="shared" si="504"/>
        <v>-57.368932707436343</v>
      </c>
      <c r="BG622">
        <f t="shared" si="505"/>
        <v>-189.92924618143365</v>
      </c>
      <c r="BH622">
        <f t="shared" si="516"/>
        <v>-9.9292461814336548</v>
      </c>
      <c r="BI622">
        <f t="shared" si="517"/>
        <v>-9.9292461814336548</v>
      </c>
      <c r="BJ622">
        <f t="shared" si="506"/>
        <v>0</v>
      </c>
      <c r="BK622">
        <f t="shared" si="518"/>
        <v>0</v>
      </c>
      <c r="BM622">
        <f t="shared" si="519"/>
        <v>-58.420346372605998</v>
      </c>
      <c r="BN622">
        <f t="shared" si="507"/>
        <v>-101.9817299374529</v>
      </c>
      <c r="BQ622" s="75">
        <f t="shared" si="520"/>
        <v>17.95337446545479</v>
      </c>
    </row>
    <row r="623" spans="1:69">
      <c r="A623">
        <f>A622+250000</f>
        <v>4250000</v>
      </c>
      <c r="B623">
        <f t="shared" si="508"/>
        <v>4250</v>
      </c>
      <c r="C623">
        <f t="shared" si="477"/>
        <v>5.0665252580060116</v>
      </c>
      <c r="D623">
        <f t="shared" si="526"/>
        <v>1.3721178982345017</v>
      </c>
      <c r="F623">
        <f t="shared" si="479"/>
        <v>2.4695167452976571E-5</v>
      </c>
      <c r="G623">
        <f t="shared" si="527"/>
        <v>1.5256746693268763E-3</v>
      </c>
      <c r="H623">
        <f t="shared" si="481"/>
        <v>-3.1400669753306731</v>
      </c>
      <c r="J623">
        <f t="shared" si="482"/>
        <v>9</v>
      </c>
      <c r="M623">
        <f t="shared" si="528"/>
        <v>9.9311079735775465E-4</v>
      </c>
      <c r="N623">
        <f t="shared" si="484"/>
        <v>-1.5707963250000001</v>
      </c>
      <c r="O623">
        <f t="shared" si="529"/>
        <v>546.56892086018081</v>
      </c>
      <c r="P623">
        <f t="shared" si="486"/>
        <v>1.568966730343766</v>
      </c>
      <c r="Q623">
        <f t="shared" si="530"/>
        <v>223.17037943274744</v>
      </c>
      <c r="R623">
        <f t="shared" si="488"/>
        <v>1.5663154304100133</v>
      </c>
      <c r="S623">
        <f t="shared" si="531"/>
        <v>0.32965020091321268</v>
      </c>
      <c r="T623">
        <f t="shared" si="490"/>
        <v>-1.2348632850163883</v>
      </c>
      <c r="U623">
        <f t="shared" si="491"/>
        <v>0.21857877231604375</v>
      </c>
      <c r="V623">
        <f t="shared" si="492"/>
        <v>-1.3504385400102286</v>
      </c>
      <c r="X623">
        <f t="shared" si="532"/>
        <v>-40.149895748322507</v>
      </c>
      <c r="Y623">
        <f t="shared" si="533"/>
        <v>-159.78446853904552</v>
      </c>
      <c r="Z623">
        <f t="shared" si="510"/>
        <v>20.21553146095448</v>
      </c>
      <c r="AC623">
        <v>1</v>
      </c>
      <c r="AD623">
        <f t="shared" si="494"/>
        <v>546.56800606170009</v>
      </c>
      <c r="AE623">
        <f t="shared" si="495"/>
        <v>-8.1733675855065011E-2</v>
      </c>
      <c r="AF623">
        <f t="shared" si="496"/>
        <v>1.8307945327140002E-2</v>
      </c>
      <c r="AG623">
        <f t="shared" si="535"/>
        <v>1414.681479261546</v>
      </c>
      <c r="AH623">
        <f t="shared" si="536"/>
        <v>-6370.3007290084643</v>
      </c>
      <c r="AJ623">
        <f t="shared" si="497"/>
        <v>55000</v>
      </c>
      <c r="AK623">
        <f t="shared" si="498"/>
        <v>157517.49197559376</v>
      </c>
      <c r="AL623">
        <v>1</v>
      </c>
      <c r="AM623">
        <f t="shared" si="499"/>
        <v>223.16813898080628</v>
      </c>
      <c r="AN623">
        <f t="shared" si="537"/>
        <v>706.91441894542936</v>
      </c>
      <c r="AO623">
        <f t="shared" si="538"/>
        <v>-243.28331915571553</v>
      </c>
      <c r="AQ623">
        <f t="shared" si="500"/>
        <v>6.3032232367766464E-4</v>
      </c>
      <c r="AR623">
        <f t="shared" si="501"/>
        <v>-1.4117644244570493</v>
      </c>
      <c r="AT623">
        <f t="shared" si="523"/>
        <v>-8992.4722369896845</v>
      </c>
      <c r="AU623">
        <f t="shared" si="524"/>
        <v>-2001.2123271177577</v>
      </c>
      <c r="AV623">
        <f t="shared" si="511"/>
        <v>-2.9226179848843157</v>
      </c>
      <c r="AW623">
        <f t="shared" si="512"/>
        <v>1676.1332200610382</v>
      </c>
      <c r="AX623">
        <f t="shared" si="513"/>
        <v>-8515.1179301980992</v>
      </c>
      <c r="AY623">
        <f t="shared" si="521"/>
        <v>-1.3764390987305497</v>
      </c>
      <c r="BA623">
        <f t="shared" si="502"/>
        <v>1.0615246197269734</v>
      </c>
      <c r="BB623">
        <f t="shared" si="514"/>
        <v>0.51860142246764196</v>
      </c>
      <c r="BC623">
        <f t="shared" si="515"/>
        <v>-1.546178886153766</v>
      </c>
      <c r="BD623">
        <f t="shared" si="503"/>
        <v>-268.58952465007769</v>
      </c>
      <c r="BF623">
        <f t="shared" si="504"/>
        <v>-58.450104639941244</v>
      </c>
      <c r="BG623">
        <f t="shared" si="505"/>
        <v>-189.88554527748488</v>
      </c>
      <c r="BH623">
        <f t="shared" si="516"/>
        <v>-9.88554527748488</v>
      </c>
      <c r="BI623">
        <f t="shared" si="517"/>
        <v>-9.88554527748488</v>
      </c>
      <c r="BJ623">
        <f t="shared" si="506"/>
        <v>0</v>
      </c>
      <c r="BK623">
        <f t="shared" si="518"/>
        <v>0</v>
      </c>
      <c r="BM623">
        <f t="shared" si="519"/>
        <v>-58.968706062408884</v>
      </c>
      <c r="BN623">
        <f t="shared" si="507"/>
        <v>-101.2960206274072</v>
      </c>
      <c r="BQ623" s="75">
        <f t="shared" si="520"/>
        <v>17.420562222752778</v>
      </c>
    </row>
    <row r="624" spans="1:69">
      <c r="A624">
        <f t="shared" si="534"/>
        <v>4500000</v>
      </c>
      <c r="B624">
        <f t="shared" si="508"/>
        <v>4500</v>
      </c>
      <c r="C624">
        <f t="shared" si="477"/>
        <v>5.3532565303243969</v>
      </c>
      <c r="D624">
        <f t="shared" si="526"/>
        <v>1.3828903101811196</v>
      </c>
      <c r="F624">
        <f t="shared" si="479"/>
        <v>2.2027423534397486E-5</v>
      </c>
      <c r="G624">
        <f t="shared" si="527"/>
        <v>1.4409112368792751E-3</v>
      </c>
      <c r="H624">
        <f t="shared" si="481"/>
        <v>-3.1401517387631208</v>
      </c>
      <c r="J624">
        <f t="shared" si="482"/>
        <v>9</v>
      </c>
      <c r="M624">
        <f t="shared" si="528"/>
        <v>9.3793797528232377E-4</v>
      </c>
      <c r="N624">
        <f t="shared" si="484"/>
        <v>-1.5707963250000001</v>
      </c>
      <c r="O624">
        <f t="shared" si="529"/>
        <v>578.71992921822107</v>
      </c>
      <c r="P624">
        <f t="shared" si="486"/>
        <v>1.5690683743827727</v>
      </c>
      <c r="Q624">
        <f t="shared" si="530"/>
        <v>236.29779255144879</v>
      </c>
      <c r="R624">
        <f t="shared" si="488"/>
        <v>1.5665643660384125</v>
      </c>
      <c r="S624">
        <f t="shared" si="531"/>
        <v>0.31317993118145981</v>
      </c>
      <c r="T624">
        <f t="shared" si="490"/>
        <v>-1.2522567595150644</v>
      </c>
      <c r="U624">
        <f t="shared" si="491"/>
        <v>0.20697029125067476</v>
      </c>
      <c r="V624">
        <f t="shared" si="492"/>
        <v>-1.3623191492748938</v>
      </c>
      <c r="X624">
        <f t="shared" si="532"/>
        <v>-41.087431496513958</v>
      </c>
      <c r="Y624">
        <f t="shared" si="533"/>
        <v>-160.82930610088465</v>
      </c>
      <c r="Z624">
        <f t="shared" si="510"/>
        <v>19.170693899115349</v>
      </c>
      <c r="AC624">
        <v>1</v>
      </c>
      <c r="AD624">
        <f t="shared" si="494"/>
        <v>578.71906524180008</v>
      </c>
      <c r="AE624">
        <f t="shared" si="495"/>
        <v>-9.1632217913636876E-2</v>
      </c>
      <c r="AF624">
        <f t="shared" si="496"/>
        <v>1.9384883287559999E-2</v>
      </c>
      <c r="AG624">
        <f t="shared" si="535"/>
        <v>1268.4072765221924</v>
      </c>
      <c r="AH624">
        <f t="shared" si="536"/>
        <v>-6047.3395803601825</v>
      </c>
      <c r="AJ624">
        <f t="shared" si="497"/>
        <v>55000</v>
      </c>
      <c r="AK624">
        <f t="shared" si="498"/>
        <v>166783.2267976875</v>
      </c>
      <c r="AL624">
        <v>1</v>
      </c>
      <c r="AM624">
        <f t="shared" si="499"/>
        <v>236.29567656791249</v>
      </c>
      <c r="AN624">
        <f t="shared" si="537"/>
        <v>706.79665959629062</v>
      </c>
      <c r="AO624">
        <f t="shared" si="538"/>
        <v>-229.76807755853963</v>
      </c>
      <c r="AQ624">
        <f t="shared" si="500"/>
        <v>5.6223196131339125E-4</v>
      </c>
      <c r="AR624">
        <f t="shared" si="501"/>
        <v>-1.3333330962547074</v>
      </c>
      <c r="AT624">
        <f t="shared" si="523"/>
        <v>-8062.4048676744615</v>
      </c>
      <c r="AU624">
        <f t="shared" si="524"/>
        <v>-1694.6094089103296</v>
      </c>
      <c r="AV624">
        <f t="shared" si="511"/>
        <v>-2.9344217544609443</v>
      </c>
      <c r="AW624">
        <f t="shared" si="512"/>
        <v>1577.3704733806296</v>
      </c>
      <c r="AX624">
        <f t="shared" si="513"/>
        <v>-8070.5087447538126</v>
      </c>
      <c r="AY624">
        <f t="shared" si="521"/>
        <v>-1.3777808189172656</v>
      </c>
      <c r="BA624">
        <f t="shared" si="502"/>
        <v>1.0018679667419474</v>
      </c>
      <c r="BB624">
        <f t="shared" si="514"/>
        <v>1.6209817976707116E-2</v>
      </c>
      <c r="BC624">
        <f t="shared" si="515"/>
        <v>-1.5566409355436788</v>
      </c>
      <c r="BD624">
        <f t="shared" si="503"/>
        <v>-269.18895592586205</v>
      </c>
      <c r="BF624">
        <f t="shared" si="504"/>
        <v>-59.467304837776823</v>
      </c>
      <c r="BG624">
        <f t="shared" si="505"/>
        <v>-189.87261939978831</v>
      </c>
      <c r="BH624">
        <f t="shared" si="516"/>
        <v>-9.8726193997883058</v>
      </c>
      <c r="BI624">
        <f t="shared" si="517"/>
        <v>-9.8726193997883058</v>
      </c>
      <c r="BJ624">
        <f t="shared" si="506"/>
        <v>0</v>
      </c>
      <c r="BK624">
        <f t="shared" si="518"/>
        <v>0</v>
      </c>
      <c r="BM624">
        <f t="shared" si="519"/>
        <v>-59.483514655753531</v>
      </c>
      <c r="BN624">
        <f t="shared" si="507"/>
        <v>-100.68366347392626</v>
      </c>
      <c r="BQ624" s="75">
        <f t="shared" si="520"/>
        <v>16.918170618261843</v>
      </c>
    </row>
    <row r="625" spans="1:69">
      <c r="A625">
        <f t="shared" si="534"/>
        <v>4750000</v>
      </c>
      <c r="B625">
        <f t="shared" si="508"/>
        <v>4750</v>
      </c>
      <c r="C625">
        <f t="shared" si="477"/>
        <v>5.6405458233621868</v>
      </c>
      <c r="D625">
        <f t="shared" si="526"/>
        <v>1.3925664115730447</v>
      </c>
      <c r="F625">
        <f t="shared" si="479"/>
        <v>1.9769722573373751E-5</v>
      </c>
      <c r="G625">
        <f t="shared" si="527"/>
        <v>1.365070813941904E-3</v>
      </c>
      <c r="H625">
        <f t="shared" si="481"/>
        <v>-3.1402275791860581</v>
      </c>
      <c r="J625">
        <f t="shared" si="482"/>
        <v>9</v>
      </c>
      <c r="M625">
        <f t="shared" si="528"/>
        <v>8.8857281868851728E-4</v>
      </c>
      <c r="N625">
        <f t="shared" si="484"/>
        <v>-1.5707963250000001</v>
      </c>
      <c r="O625">
        <f t="shared" si="529"/>
        <v>610.87094292594065</v>
      </c>
      <c r="P625">
        <f t="shared" si="486"/>
        <v>1.5691593190795801</v>
      </c>
      <c r="Q625">
        <f t="shared" si="530"/>
        <v>249.42521877192041</v>
      </c>
      <c r="R625">
        <f t="shared" si="488"/>
        <v>1.5667870983619654</v>
      </c>
      <c r="S625">
        <f t="shared" si="531"/>
        <v>0.29819941626336449</v>
      </c>
      <c r="T625">
        <f t="shared" si="490"/>
        <v>-1.2679906386430644</v>
      </c>
      <c r="U625">
        <f t="shared" si="491"/>
        <v>0.19650897547590504</v>
      </c>
      <c r="V625">
        <f t="shared" si="492"/>
        <v>-1.3730001307738111</v>
      </c>
      <c r="X625">
        <f t="shared" si="532"/>
        <v>-41.979274997547563</v>
      </c>
      <c r="Y625">
        <f t="shared" si="533"/>
        <v>-161.77473932716953</v>
      </c>
      <c r="Z625">
        <f t="shared" si="510"/>
        <v>18.225260672830473</v>
      </c>
      <c r="AC625">
        <v>1</v>
      </c>
      <c r="AD625">
        <f t="shared" si="494"/>
        <v>610.87012442190007</v>
      </c>
      <c r="AE625">
        <f t="shared" si="495"/>
        <v>-0.10209639094698431</v>
      </c>
      <c r="AF625">
        <f t="shared" si="496"/>
        <v>2.0461821247980003E-2</v>
      </c>
      <c r="AG625">
        <f t="shared" si="535"/>
        <v>1143.4244801046252</v>
      </c>
      <c r="AH625">
        <f t="shared" si="536"/>
        <v>-5754.1071888083961</v>
      </c>
      <c r="AJ625">
        <f t="shared" si="497"/>
        <v>55000</v>
      </c>
      <c r="AK625">
        <f t="shared" si="498"/>
        <v>176048.96161978127</v>
      </c>
      <c r="AL625">
        <v>1</v>
      </c>
      <c r="AM625">
        <f t="shared" si="499"/>
        <v>249.4232141550188</v>
      </c>
      <c r="AN625">
        <f t="shared" si="537"/>
        <v>706.69699946468199</v>
      </c>
      <c r="AO625">
        <f t="shared" si="538"/>
        <v>-217.67542040730635</v>
      </c>
      <c r="AQ625">
        <f t="shared" si="500"/>
        <v>5.0460708804796238E-4</v>
      </c>
      <c r="AR625">
        <f t="shared" si="501"/>
        <v>-1.263157693156062</v>
      </c>
      <c r="AT625">
        <f t="shared" si="523"/>
        <v>-7267.7677826906183</v>
      </c>
      <c r="AU625">
        <f t="shared" si="524"/>
        <v>-1447.2289918599884</v>
      </c>
      <c r="AV625">
        <f t="shared" si="511"/>
        <v>-2.9450339846301521</v>
      </c>
      <c r="AW625">
        <f t="shared" si="512"/>
        <v>1492.6860877144391</v>
      </c>
      <c r="AX625">
        <f t="shared" si="513"/>
        <v>-7668.7782616659124</v>
      </c>
      <c r="AY625">
        <f t="shared" si="521"/>
        <v>-1.3785554769563935</v>
      </c>
      <c r="BA625">
        <f t="shared" si="502"/>
        <v>0.94851469682122458</v>
      </c>
      <c r="BB625">
        <f t="shared" si="514"/>
        <v>-0.45911871039493046</v>
      </c>
      <c r="BC625">
        <f t="shared" si="515"/>
        <v>-1.5664785076737586</v>
      </c>
      <c r="BD625">
        <f t="shared" si="503"/>
        <v>-269.75260729021522</v>
      </c>
      <c r="BF625">
        <f t="shared" si="504"/>
        <v>-60.427834387736077</v>
      </c>
      <c r="BG625">
        <f t="shared" si="505"/>
        <v>-189.88621632776577</v>
      </c>
      <c r="BH625">
        <f t="shared" si="516"/>
        <v>-9.8862163277657658</v>
      </c>
      <c r="BI625">
        <f t="shared" si="517"/>
        <v>-9.8862163277657658</v>
      </c>
      <c r="BJ625">
        <f t="shared" si="506"/>
        <v>0</v>
      </c>
      <c r="BK625">
        <f t="shared" si="518"/>
        <v>0</v>
      </c>
      <c r="BM625">
        <f t="shared" si="519"/>
        <v>-59.968715677341144</v>
      </c>
      <c r="BN625">
        <f t="shared" si="507"/>
        <v>-100.13360903755056</v>
      </c>
      <c r="BQ625" s="75">
        <f t="shared" si="520"/>
        <v>16.442842089890206</v>
      </c>
    </row>
    <row r="626" spans="1:69">
      <c r="A626">
        <f t="shared" si="534"/>
        <v>5000000</v>
      </c>
      <c r="B626">
        <f t="shared" si="508"/>
        <v>5000</v>
      </c>
      <c r="C626">
        <f t="shared" si="477"/>
        <v>5.928312011692392</v>
      </c>
      <c r="D626">
        <f t="shared" si="526"/>
        <v>1.4013038909182953</v>
      </c>
      <c r="F626">
        <f t="shared" si="479"/>
        <v>1.7842141802810792E-5</v>
      </c>
      <c r="G626">
        <f t="shared" si="527"/>
        <v>1.2968148485540301E-3</v>
      </c>
      <c r="H626">
        <f t="shared" si="481"/>
        <v>-3.1402958351514463</v>
      </c>
      <c r="J626">
        <f t="shared" si="482"/>
        <v>9</v>
      </c>
      <c r="M626">
        <f t="shared" si="528"/>
        <v>8.4414417775409141E-4</v>
      </c>
      <c r="N626">
        <f t="shared" si="484"/>
        <v>-1.5707963250000001</v>
      </c>
      <c r="O626">
        <f t="shared" si="529"/>
        <v>643.02196118088943</v>
      </c>
      <c r="P626">
        <f t="shared" si="486"/>
        <v>1.569241169329902</v>
      </c>
      <c r="Q626">
        <f t="shared" si="530"/>
        <v>262.55265612892771</v>
      </c>
      <c r="R626">
        <f t="shared" si="488"/>
        <v>1.5669875577939085</v>
      </c>
      <c r="S626">
        <f t="shared" si="531"/>
        <v>0.28452554620139758</v>
      </c>
      <c r="T626">
        <f t="shared" si="490"/>
        <v>-1.2822848441512824</v>
      </c>
      <c r="U626">
        <f t="shared" si="491"/>
        <v>0.18703595751564261</v>
      </c>
      <c r="V626">
        <f t="shared" si="492"/>
        <v>-1.3826523403973912</v>
      </c>
      <c r="X626">
        <f t="shared" si="532"/>
        <v>-42.829484534645758</v>
      </c>
      <c r="Y626">
        <f t="shared" si="533"/>
        <v>-162.63388278503976</v>
      </c>
      <c r="Z626">
        <f t="shared" si="510"/>
        <v>17.366117214960241</v>
      </c>
      <c r="AC626">
        <v>1</v>
      </c>
      <c r="AD626">
        <f t="shared" si="494"/>
        <v>643.02118360200006</v>
      </c>
      <c r="AE626">
        <f t="shared" si="495"/>
        <v>-0.11312619495510728</v>
      </c>
      <c r="AF626">
        <f t="shared" si="496"/>
        <v>2.1538759208400003E-2</v>
      </c>
      <c r="AG626">
        <f t="shared" si="535"/>
        <v>1035.8405727241002</v>
      </c>
      <c r="AH626">
        <f t="shared" si="536"/>
        <v>-5486.8853599657068</v>
      </c>
      <c r="AJ626">
        <f t="shared" si="497"/>
        <v>55000</v>
      </c>
      <c r="AK626">
        <f t="shared" si="498"/>
        <v>185314.69644187501</v>
      </c>
      <c r="AL626">
        <v>1</v>
      </c>
      <c r="AM626">
        <f t="shared" si="499"/>
        <v>262.55075174212504</v>
      </c>
      <c r="AN626">
        <f t="shared" si="537"/>
        <v>706.61191097088715</v>
      </c>
      <c r="AO626">
        <f t="shared" si="538"/>
        <v>-206.79197347092568</v>
      </c>
      <c r="AQ626">
        <f t="shared" si="500"/>
        <v>4.5540790404921284E-4</v>
      </c>
      <c r="AR626">
        <f t="shared" si="501"/>
        <v>-1.1999998271696759</v>
      </c>
      <c r="AT626">
        <f t="shared" si="523"/>
        <v>-6583.7897536745204</v>
      </c>
      <c r="AU626">
        <f t="shared" si="524"/>
        <v>-1245.5072792057986</v>
      </c>
      <c r="AV626">
        <f t="shared" si="511"/>
        <v>-2.9546243180341354</v>
      </c>
      <c r="AW626">
        <f t="shared" si="512"/>
        <v>1419.5740880330895</v>
      </c>
      <c r="AX626">
        <f t="shared" si="513"/>
        <v>-7304.1756096062873</v>
      </c>
      <c r="AY626">
        <f t="shared" si="521"/>
        <v>-1.3788383177529195</v>
      </c>
      <c r="BA626">
        <f t="shared" si="502"/>
        <v>0.90051136483472993</v>
      </c>
      <c r="BB626">
        <f t="shared" si="514"/>
        <v>-0.91021603659210881</v>
      </c>
      <c r="BC626">
        <f t="shared" si="515"/>
        <v>-1.5757860002812158</v>
      </c>
      <c r="BD626">
        <f t="shared" si="503"/>
        <v>-270.2858873350811</v>
      </c>
      <c r="BF626">
        <f t="shared" si="504"/>
        <v>-61.337805057980319</v>
      </c>
      <c r="BG626">
        <f t="shared" si="505"/>
        <v>-189.92278646074178</v>
      </c>
      <c r="BH626">
        <f t="shared" si="516"/>
        <v>-9.9227864607417757</v>
      </c>
      <c r="BI626">
        <f t="shared" si="517"/>
        <v>-9.9227864607417757</v>
      </c>
      <c r="BJ626">
        <f t="shared" si="506"/>
        <v>0</v>
      </c>
      <c r="BK626">
        <f t="shared" si="518"/>
        <v>0</v>
      </c>
      <c r="BM626">
        <f t="shared" si="519"/>
        <v>-60.427589021388208</v>
      </c>
      <c r="BN626">
        <f t="shared" si="507"/>
        <v>-99.636899125660719</v>
      </c>
      <c r="BQ626" s="75">
        <f t="shared" si="520"/>
        <v>15.991744763693028</v>
      </c>
    </row>
    <row r="627" spans="1:69">
      <c r="A627">
        <f>A626+100000</f>
        <v>5100000</v>
      </c>
      <c r="B627">
        <f t="shared" si="508"/>
        <v>5100</v>
      </c>
      <c r="C627">
        <f t="shared" ref="C627:C676" si="539">SQRT((A627/Fesr)^2+1)</f>
        <v>6.0435367619977747</v>
      </c>
      <c r="D627">
        <f t="shared" ref="D627:D676" si="540">ATAN(A627/Fesr)</f>
        <v>1.4045657963143863</v>
      </c>
      <c r="F627">
        <f t="shared" ref="F627:F676" si="541">(Ro/(Ro+Rdcr))/SQRT((A627/(Q*Fo))^2+(1-(A627^2/Fo^2))^2)</f>
        <v>1.7149298352764631E-5</v>
      </c>
      <c r="G627">
        <f t="shared" ref="G627:G676" si="542">-ATAN(A627*Fo/(Q*(Fo^2-A627^2)))</f>
        <v>1.2713862519910944E-3</v>
      </c>
      <c r="H627">
        <f t="shared" si="481"/>
        <v>-3.1403212637480089</v>
      </c>
      <c r="J627">
        <f t="shared" si="482"/>
        <v>9</v>
      </c>
      <c r="M627">
        <f t="shared" ref="M627:M676" si="543">1/(2*Pi*_Rfb1*(Cc1ea_u+Cc2ea_u)*A627)</f>
        <v>8.2759233113146224E-4</v>
      </c>
      <c r="N627">
        <f t="shared" si="484"/>
        <v>-1.5707963250000001</v>
      </c>
      <c r="O627">
        <f t="shared" ref="O627:O676" si="544">SQRT(1+(A627/Fz1_u)^2)</f>
        <v>655.88236960630229</v>
      </c>
      <c r="P627">
        <f t="shared" si="486"/>
        <v>1.5692716625658003</v>
      </c>
      <c r="Q627">
        <f t="shared" ref="Q627:Q676" si="545">SQRT(1+(A627/Fz2_u)^2)</f>
        <v>267.80363382311543</v>
      </c>
      <c r="R627">
        <f t="shared" si="488"/>
        <v>1.5670622388378734</v>
      </c>
      <c r="S627">
        <f t="shared" ref="S627:S676" si="546">1/SQRT(1+(A627/Fp1_u)^2)</f>
        <v>0.27938609487522253</v>
      </c>
      <c r="T627">
        <f t="shared" si="490"/>
        <v>-1.2876416425090866</v>
      </c>
      <c r="U627">
        <f t="shared" ref="U627:U676" si="547">1/SQRT(1+(A627/Fp2_u)^2)</f>
        <v>0.18349325779626444</v>
      </c>
      <c r="V627">
        <f t="shared" si="492"/>
        <v>-1.3862574515023458</v>
      </c>
      <c r="X627">
        <f t="shared" ref="X627:X676" si="548">20*LOG(C627*J627*O627*Q627*F627*M627*S627*U627)</f>
        <v>-43.158723746859387</v>
      </c>
      <c r="Y627">
        <f t="shared" ref="Y627:Y676" si="549">(180/Pi)*(D627+H627+N627+P627+R627+T627+V627)</f>
        <v>-162.95589987054771</v>
      </c>
      <c r="Z627">
        <f t="shared" si="510"/>
        <v>17.044100129452289</v>
      </c>
      <c r="AC627">
        <v>1</v>
      </c>
      <c r="AD627">
        <f t="shared" ref="AD627:AD676" si="550">Rcea1_u*Cc1ea_u*A627*2*Pi</f>
        <v>655.88160727404011</v>
      </c>
      <c r="AE627">
        <f t="shared" ref="AE627:AE676" si="551">-Rcea1_u*Cc1ea_u*Cc2ea_u*(A627*2*Pi)^2</f>
        <v>-0.11769649323129359</v>
      </c>
      <c r="AF627">
        <f t="shared" ref="AF627:AF676" si="552">(Cc2ea_u+Cc1ea_u)*A627*2*Pi</f>
        <v>2.1969534392568001E-2</v>
      </c>
      <c r="AG627">
        <f t="shared" ref="AG627:AG676" si="553">AC627*AE627/(AE627^2+AF627^2)+AD627*AF627/(AE627^2+AF627^2)</f>
        <v>996.97191860819771</v>
      </c>
      <c r="AH627">
        <f t="shared" ref="AH627:AH676" si="554">AD627*AE627/(AE627^2+AF627^2)-AC627*AF627/(AE627^2+AF627^2)</f>
        <v>-5386.5546968666031</v>
      </c>
      <c r="AJ627">
        <f t="shared" si="497"/>
        <v>55000</v>
      </c>
      <c r="AK627">
        <f t="shared" ref="AK627:AK676" si="555">_Rfb1*Rcea2_u*Cc3ea_u*A627*2*Pi</f>
        <v>189020.9903707125</v>
      </c>
      <c r="AL627">
        <v>2</v>
      </c>
      <c r="AM627">
        <f t="shared" ref="AM627:AM676" si="556">(_Rfb1+Rcea2_u)*Cc3ea_u*A627*2*Pi</f>
        <v>267.8017667769675</v>
      </c>
      <c r="AN627">
        <f t="shared" ref="AN627:AN676" si="557">AJ627*AL627/(AL627^2+AM627^2)+AK627*AM627/(AL627^2+AM627^2)</f>
        <v>707.318623868195</v>
      </c>
      <c r="AO627">
        <f t="shared" ref="AO627:AO676" si="558">AK627*AL627/(AL627^2+AM627^2)-AJ627*AM627/(AL627^2+AM627^2)</f>
        <v>-200.09338772171336</v>
      </c>
      <c r="AQ627">
        <f t="shared" ref="AQ627:AQ676" si="559">Eadcg/(1+(Eadcg*A627/GBP)^2)</f>
        <v>4.3772386254917547E-4</v>
      </c>
      <c r="AR627">
        <f t="shared" ref="AR627:AR676" si="560">-(A627*Eadcg*Eadcg/GBP)/(1+(Eadcg*A627/GBP)^2)</f>
        <v>-1.1764704253734188</v>
      </c>
      <c r="AT627">
        <f t="shared" ref="AT627:AT676" si="561">-AR627*AH627+AG627*AQ627</f>
        <v>-6336.6858971207739</v>
      </c>
      <c r="AU627">
        <f t="shared" ref="AU627:AU676" si="562">AQ627*AH627+AG627*AR627</f>
        <v>-1175.2658006980846</v>
      </c>
      <c r="AV627">
        <f t="shared" si="511"/>
        <v>-2.9582063772088345</v>
      </c>
      <c r="AW627">
        <f t="shared" si="512"/>
        <v>1399.7501813422691</v>
      </c>
      <c r="AX627">
        <f t="shared" si="513"/>
        <v>-7166.0997294159961</v>
      </c>
      <c r="AY627">
        <f t="shared" si="521"/>
        <v>-1.3778957058966534</v>
      </c>
      <c r="BA627">
        <f t="shared" si="502"/>
        <v>0.88265829614020574</v>
      </c>
      <c r="BB627">
        <f t="shared" si="514"/>
        <v>-1.0841478496749668</v>
      </c>
      <c r="BC627">
        <f t="shared" si="515"/>
        <v>-1.5803106713121811</v>
      </c>
      <c r="BD627">
        <f t="shared" si="503"/>
        <v>-270.54513188913677</v>
      </c>
      <c r="BF627">
        <f t="shared" si="504"/>
        <v>-61.688547176851841</v>
      </c>
      <c r="BG627">
        <f t="shared" si="505"/>
        <v>-189.99659455348055</v>
      </c>
      <c r="BH627">
        <f t="shared" si="516"/>
        <v>-9.9965945534805485</v>
      </c>
      <c r="BI627">
        <f t="shared" si="517"/>
        <v>-9.9965945534805485</v>
      </c>
      <c r="BJ627">
        <f t="shared" si="506"/>
        <v>0</v>
      </c>
      <c r="BK627">
        <f t="shared" si="518"/>
        <v>0</v>
      </c>
      <c r="BM627">
        <f t="shared" si="519"/>
        <v>-60.604399327176878</v>
      </c>
      <c r="BN627">
        <f t="shared" si="507"/>
        <v>-99.451462664343836</v>
      </c>
      <c r="BQ627" s="75">
        <f t="shared" si="520"/>
        <v>15.81781295061017</v>
      </c>
    </row>
    <row r="628" spans="1:69">
      <c r="A628">
        <f t="shared" ref="A628:A676" si="563">A627+100000</f>
        <v>5200000</v>
      </c>
      <c r="B628">
        <f t="shared" si="508"/>
        <v>5200</v>
      </c>
      <c r="C628">
        <f t="shared" si="539"/>
        <v>6.1588234092160139</v>
      </c>
      <c r="D628">
        <f t="shared" si="540"/>
        <v>1.4077056152598011</v>
      </c>
      <c r="F628">
        <f t="shared" si="541"/>
        <v>1.6496041867273119E-5</v>
      </c>
      <c r="G628">
        <f t="shared" si="542"/>
        <v>1.2469357262538095E-3</v>
      </c>
      <c r="H628">
        <f t="shared" si="481"/>
        <v>-3.1403457142737463</v>
      </c>
      <c r="J628">
        <f t="shared" si="482"/>
        <v>9</v>
      </c>
      <c r="M628">
        <f t="shared" si="543"/>
        <v>8.1167709399431853E-4</v>
      </c>
      <c r="N628">
        <f t="shared" si="484"/>
        <v>-1.5707963250000001</v>
      </c>
      <c r="O628">
        <f t="shared" si="544"/>
        <v>668.74277861812311</v>
      </c>
      <c r="P628">
        <f t="shared" si="486"/>
        <v>1.5693009829876079</v>
      </c>
      <c r="Q628">
        <f t="shared" si="545"/>
        <v>273.05461295346748</v>
      </c>
      <c r="R628">
        <f t="shared" si="488"/>
        <v>1.5671340475732838</v>
      </c>
      <c r="S628">
        <f t="shared" si="546"/>
        <v>0.27442155917392319</v>
      </c>
      <c r="T628">
        <f t="shared" si="490"/>
        <v>-1.292808210104472</v>
      </c>
      <c r="U628">
        <f t="shared" si="547"/>
        <v>0.18008005824757961</v>
      </c>
      <c r="V628">
        <f t="shared" si="492"/>
        <v>-1.3897284873595031</v>
      </c>
      <c r="X628">
        <f t="shared" si="548"/>
        <v>-43.482084505142858</v>
      </c>
      <c r="Y628">
        <f t="shared" si="549"/>
        <v>-163.26650635787075</v>
      </c>
      <c r="Z628">
        <f t="shared" si="510"/>
        <v>16.733493642129247</v>
      </c>
      <c r="AC628">
        <v>1</v>
      </c>
      <c r="AD628">
        <f t="shared" si="550"/>
        <v>668.74203094608015</v>
      </c>
      <c r="AE628">
        <f t="shared" si="551"/>
        <v>-0.12235729246344403</v>
      </c>
      <c r="AF628">
        <f t="shared" si="552"/>
        <v>2.2400309576735999E-2</v>
      </c>
      <c r="AG628">
        <f t="shared" si="553"/>
        <v>960.22707663300343</v>
      </c>
      <c r="AH628">
        <f t="shared" si="554"/>
        <v>-5289.694092887079</v>
      </c>
      <c r="AJ628">
        <f t="shared" si="497"/>
        <v>55000</v>
      </c>
      <c r="AK628">
        <f t="shared" si="555"/>
        <v>192727.28429955003</v>
      </c>
      <c r="AL628">
        <v>3</v>
      </c>
      <c r="AM628">
        <f t="shared" si="556"/>
        <v>273.05278181181001</v>
      </c>
      <c r="AN628">
        <f t="shared" si="557"/>
        <v>707.95187373215686</v>
      </c>
      <c r="AO628">
        <f t="shared" si="558"/>
        <v>-193.64807063290115</v>
      </c>
      <c r="AQ628">
        <f t="shared" si="559"/>
        <v>4.210502117211441E-4</v>
      </c>
      <c r="AR628">
        <f t="shared" si="560"/>
        <v>-1.1538460002006234</v>
      </c>
      <c r="AT628">
        <f t="shared" si="561"/>
        <v>-6103.0880675487042</v>
      </c>
      <c r="AU628">
        <f t="shared" si="562"/>
        <v>-1110.1813984750786</v>
      </c>
      <c r="AV628">
        <f t="shared" si="511"/>
        <v>-2.9616552477458025</v>
      </c>
      <c r="AW628">
        <f t="shared" si="512"/>
        <v>1380.8264165150467</v>
      </c>
      <c r="AX628">
        <f t="shared" si="513"/>
        <v>-7032.8483804525958</v>
      </c>
      <c r="AY628">
        <f t="shared" si="521"/>
        <v>-1.376922877356769</v>
      </c>
      <c r="BA628">
        <f t="shared" si="502"/>
        <v>0.8655133826023087</v>
      </c>
      <c r="BB628">
        <f t="shared" si="514"/>
        <v>-1.2545242531627732</v>
      </c>
      <c r="BC628">
        <f t="shared" si="515"/>
        <v>-1.5847323703890335</v>
      </c>
      <c r="BD628">
        <f t="shared" si="503"/>
        <v>-270.79847658480674</v>
      </c>
      <c r="BF628">
        <f t="shared" si="504"/>
        <v>-62.032124024106345</v>
      </c>
      <c r="BG628">
        <f t="shared" si="505"/>
        <v>-190.07144178687076</v>
      </c>
      <c r="BH628">
        <f t="shared" si="516"/>
        <v>-10.071441786870764</v>
      </c>
      <c r="BI628">
        <f t="shared" si="517"/>
        <v>-10.071441786870764</v>
      </c>
      <c r="BJ628">
        <f t="shared" si="506"/>
        <v>0</v>
      </c>
      <c r="BK628">
        <f t="shared" si="518"/>
        <v>0</v>
      </c>
      <c r="BM628">
        <f t="shared" si="519"/>
        <v>-60.777599770943581</v>
      </c>
      <c r="BN628">
        <f t="shared" si="507"/>
        <v>-99.272965202064029</v>
      </c>
      <c r="BQ628" s="75">
        <f t="shared" si="520"/>
        <v>15.647436547122364</v>
      </c>
    </row>
    <row r="629" spans="1:69">
      <c r="A629">
        <f t="shared" si="563"/>
        <v>5300000</v>
      </c>
      <c r="B629">
        <f t="shared" si="508"/>
        <v>5300</v>
      </c>
      <c r="C629">
        <f t="shared" si="539"/>
        <v>6.2741685413162251</v>
      </c>
      <c r="D629">
        <f t="shared" si="540"/>
        <v>1.4107300174331927</v>
      </c>
      <c r="F629">
        <f t="shared" si="541"/>
        <v>1.5879412944732968E-5</v>
      </c>
      <c r="G629">
        <f t="shared" si="542"/>
        <v>1.2234079053307142E-3</v>
      </c>
      <c r="H629">
        <f t="shared" si="481"/>
        <v>-3.1403692420946694</v>
      </c>
      <c r="J629">
        <f t="shared" si="482"/>
        <v>9</v>
      </c>
      <c r="M629">
        <f t="shared" si="543"/>
        <v>7.9636243184348242E-4</v>
      </c>
      <c r="N629">
        <f t="shared" si="484"/>
        <v>-1.5707963250000001</v>
      </c>
      <c r="O629">
        <f t="shared" si="544"/>
        <v>681.60318818315886</v>
      </c>
      <c r="P629">
        <f t="shared" si="486"/>
        <v>1.5693291969808318</v>
      </c>
      <c r="Q629">
        <f t="shared" si="545"/>
        <v>278.30559343869254</v>
      </c>
      <c r="R629">
        <f t="shared" si="488"/>
        <v>1.5672031465807608</v>
      </c>
      <c r="S629">
        <f t="shared" si="546"/>
        <v>0.26962355266669835</v>
      </c>
      <c r="T629">
        <f t="shared" si="490"/>
        <v>-1.2977942416578057</v>
      </c>
      <c r="U629">
        <f t="shared" si="547"/>
        <v>0.17678950455876216</v>
      </c>
      <c r="V629">
        <f t="shared" si="492"/>
        <v>-1.3930727117112411</v>
      </c>
      <c r="X629">
        <f t="shared" si="548"/>
        <v>-43.799764983739323</v>
      </c>
      <c r="Y629">
        <f t="shared" si="549"/>
        <v>-163.56628180436044</v>
      </c>
      <c r="Z629">
        <f t="shared" si="510"/>
        <v>16.433718195639557</v>
      </c>
      <c r="AC629">
        <v>1</v>
      </c>
      <c r="AD629">
        <f t="shared" si="550"/>
        <v>681.60245461812008</v>
      </c>
      <c r="AE629">
        <f t="shared" si="551"/>
        <v>-0.12710859265155855</v>
      </c>
      <c r="AF629">
        <f t="shared" si="552"/>
        <v>2.2831084760904001E-2</v>
      </c>
      <c r="AG629">
        <f t="shared" si="553"/>
        <v>925.45575540554557</v>
      </c>
      <c r="AH629">
        <f t="shared" si="554"/>
        <v>-5196.1341247364617</v>
      </c>
      <c r="AJ629">
        <f t="shared" si="497"/>
        <v>55000</v>
      </c>
      <c r="AK629">
        <f t="shared" si="555"/>
        <v>196433.57822838755</v>
      </c>
      <c r="AL629">
        <v>4</v>
      </c>
      <c r="AM629">
        <f t="shared" si="556"/>
        <v>278.30379684665252</v>
      </c>
      <c r="AN629">
        <f t="shared" si="557"/>
        <v>708.51835293091665</v>
      </c>
      <c r="AO629">
        <f t="shared" si="558"/>
        <v>-187.44238195578822</v>
      </c>
      <c r="AQ629">
        <f t="shared" si="559"/>
        <v>4.0531141977961341E-4</v>
      </c>
      <c r="AR629">
        <f t="shared" si="560"/>
        <v>-1.1320753265864381</v>
      </c>
      <c r="AT629">
        <f t="shared" si="561"/>
        <v>-5882.040138461799</v>
      </c>
      <c r="AU629">
        <f t="shared" si="562"/>
        <v>-1049.791679041494</v>
      </c>
      <c r="AV629">
        <f t="shared" si="511"/>
        <v>-2.9649781432021354</v>
      </c>
      <c r="AW629">
        <f t="shared" si="512"/>
        <v>1362.7478005988746</v>
      </c>
      <c r="AX629">
        <f t="shared" si="513"/>
        <v>-6904.1852929125371</v>
      </c>
      <c r="AY629">
        <f t="shared" si="521"/>
        <v>-1.3759213031005819</v>
      </c>
      <c r="BA629">
        <f t="shared" si="502"/>
        <v>0.8490344008781322</v>
      </c>
      <c r="BB629">
        <f t="shared" si="514"/>
        <v>-1.4214942561604693</v>
      </c>
      <c r="BC629">
        <f t="shared" si="515"/>
        <v>-1.5890568401015535</v>
      </c>
      <c r="BD629">
        <f t="shared" si="503"/>
        <v>-271.04625044824945</v>
      </c>
      <c r="BF629">
        <f t="shared" si="504"/>
        <v>-62.368831596225149</v>
      </c>
      <c r="BG629">
        <f t="shared" si="505"/>
        <v>-190.14727821487148</v>
      </c>
      <c r="BH629">
        <f t="shared" si="516"/>
        <v>-10.147278214871477</v>
      </c>
      <c r="BI629">
        <f t="shared" si="517"/>
        <v>-10.147278214871477</v>
      </c>
      <c r="BJ629">
        <f t="shared" si="506"/>
        <v>0</v>
      </c>
      <c r="BK629">
        <f t="shared" si="518"/>
        <v>0</v>
      </c>
      <c r="BM629">
        <f t="shared" si="519"/>
        <v>-60.947337340064678</v>
      </c>
      <c r="BN629">
        <f t="shared" si="507"/>
        <v>-99.101027766622053</v>
      </c>
      <c r="BQ629" s="75">
        <f t="shared" si="520"/>
        <v>15.480466544124667</v>
      </c>
    </row>
    <row r="630" spans="1:69">
      <c r="A630">
        <f t="shared" si="563"/>
        <v>5400000</v>
      </c>
      <c r="B630">
        <f t="shared" si="508"/>
        <v>5400</v>
      </c>
      <c r="C630">
        <f t="shared" si="539"/>
        <v>6.3895689909745519</v>
      </c>
      <c r="D630">
        <f t="shared" si="540"/>
        <v>1.4136451994926944</v>
      </c>
      <c r="F630">
        <f t="shared" si="541"/>
        <v>1.5296723648515728E-5</v>
      </c>
      <c r="G630">
        <f t="shared" si="542"/>
        <v>1.2007515247125628E-3</v>
      </c>
      <c r="H630">
        <f t="shared" si="481"/>
        <v>-3.1403918984752877</v>
      </c>
      <c r="J630">
        <f t="shared" si="482"/>
        <v>9</v>
      </c>
      <c r="M630">
        <f t="shared" si="543"/>
        <v>7.8161497940193642E-4</v>
      </c>
      <c r="N630">
        <f t="shared" si="484"/>
        <v>-1.5707963250000001</v>
      </c>
      <c r="O630">
        <f t="shared" si="544"/>
        <v>694.46359827067522</v>
      </c>
      <c r="P630">
        <f t="shared" si="486"/>
        <v>1.5693563660135519</v>
      </c>
      <c r="Q630">
        <f t="shared" si="545"/>
        <v>283.55657520352094</v>
      </c>
      <c r="R630">
        <f t="shared" si="488"/>
        <v>1.5672696863981763</v>
      </c>
      <c r="S630">
        <f t="shared" si="546"/>
        <v>0.26498418867711859</v>
      </c>
      <c r="T630">
        <f t="shared" si="490"/>
        <v>-1.3026088019999285</v>
      </c>
      <c r="U630">
        <f t="shared" si="547"/>
        <v>0.17361520930180482</v>
      </c>
      <c r="V630">
        <f t="shared" si="492"/>
        <v>-1.396296878451964</v>
      </c>
      <c r="X630">
        <f t="shared" si="548"/>
        <v>-44.111953890535823</v>
      </c>
      <c r="Y630">
        <f t="shared" si="549"/>
        <v>-163.85576830404679</v>
      </c>
      <c r="Z630">
        <f t="shared" si="510"/>
        <v>16.144231695953209</v>
      </c>
      <c r="AC630">
        <v>1</v>
      </c>
      <c r="AD630">
        <f t="shared" si="550"/>
        <v>694.46287829016012</v>
      </c>
      <c r="AE630">
        <f t="shared" si="551"/>
        <v>-0.13195039379563714</v>
      </c>
      <c r="AF630">
        <f t="shared" si="552"/>
        <v>2.3261859945071999E-2</v>
      </c>
      <c r="AG630">
        <f t="shared" si="553"/>
        <v>892.5205813232825</v>
      </c>
      <c r="AH630">
        <f t="shared" si="554"/>
        <v>-5105.7156416883627</v>
      </c>
      <c r="AJ630">
        <f t="shared" si="497"/>
        <v>55000</v>
      </c>
      <c r="AK630">
        <f t="shared" si="555"/>
        <v>200139.87215722504</v>
      </c>
      <c r="AL630">
        <v>5</v>
      </c>
      <c r="AM630">
        <f t="shared" si="556"/>
        <v>283.55481188149503</v>
      </c>
      <c r="AN630">
        <f t="shared" si="557"/>
        <v>709.02408204448295</v>
      </c>
      <c r="AO630">
        <f t="shared" si="558"/>
        <v>-181.46360926959662</v>
      </c>
      <c r="AQ630">
        <f t="shared" si="559"/>
        <v>3.9043888323593529E-4</v>
      </c>
      <c r="AR630">
        <f t="shared" si="560"/>
        <v>-1.1111109739128247</v>
      </c>
      <c r="AT630">
        <f t="shared" si="561"/>
        <v>-5672.6682044192621</v>
      </c>
      <c r="AU630">
        <f t="shared" si="562"/>
        <v>-993.68288226461391</v>
      </c>
      <c r="AV630">
        <f t="shared" si="511"/>
        <v>-2.9681817710043665</v>
      </c>
      <c r="AW630">
        <f t="shared" si="512"/>
        <v>1345.4634540540653</v>
      </c>
      <c r="AX630">
        <f t="shared" si="513"/>
        <v>-6779.8884008012092</v>
      </c>
      <c r="AY630">
        <f t="shared" si="521"/>
        <v>-1.3748923610026522</v>
      </c>
      <c r="BA630">
        <f t="shared" si="502"/>
        <v>0.8331824673853333</v>
      </c>
      <c r="BB630">
        <f t="shared" si="514"/>
        <v>-1.5851975492797945</v>
      </c>
      <c r="BC630">
        <f t="shared" si="515"/>
        <v>-1.5932894100017143</v>
      </c>
      <c r="BD630">
        <f t="shared" si="503"/>
        <v>-271.28875884029986</v>
      </c>
      <c r="BF630">
        <f t="shared" si="504"/>
        <v>-62.698947669751746</v>
      </c>
      <c r="BG630">
        <f t="shared" si="505"/>
        <v>-190.22405709319932</v>
      </c>
      <c r="BH630">
        <f t="shared" si="516"/>
        <v>-10.22405709319932</v>
      </c>
      <c r="BI630">
        <f t="shared" si="517"/>
        <v>-10.22405709319932</v>
      </c>
      <c r="BJ630">
        <f t="shared" si="506"/>
        <v>0</v>
      </c>
      <c r="BK630">
        <f t="shared" si="518"/>
        <v>0</v>
      </c>
      <c r="BM630">
        <f t="shared" si="519"/>
        <v>-61.113750120471948</v>
      </c>
      <c r="BN630">
        <f t="shared" si="507"/>
        <v>-98.935298252899457</v>
      </c>
      <c r="BQ630" s="75">
        <f t="shared" si="520"/>
        <v>15.316763251005343</v>
      </c>
    </row>
    <row r="631" spans="1:69">
      <c r="A631">
        <f t="shared" si="563"/>
        <v>5500000</v>
      </c>
      <c r="B631">
        <f t="shared" si="508"/>
        <v>5500</v>
      </c>
      <c r="C631">
        <f t="shared" si="539"/>
        <v>6.5050218141564535</v>
      </c>
      <c r="D631">
        <f t="shared" si="540"/>
        <v>1.4164569259228834</v>
      </c>
      <c r="F631">
        <f t="shared" si="541"/>
        <v>1.4745528164280786E-5</v>
      </c>
      <c r="G631">
        <f t="shared" si="542"/>
        <v>1.1789190484949299E-3</v>
      </c>
      <c r="H631">
        <f t="shared" si="481"/>
        <v>-3.1404137309515052</v>
      </c>
      <c r="J631">
        <f t="shared" si="482"/>
        <v>9</v>
      </c>
      <c r="M631">
        <f t="shared" si="543"/>
        <v>7.6740379795826484E-4</v>
      </c>
      <c r="N631">
        <f t="shared" si="484"/>
        <v>-1.5707963250000001</v>
      </c>
      <c r="O631">
        <f t="shared" si="544"/>
        <v>707.32400885217362</v>
      </c>
      <c r="P631">
        <f t="shared" si="486"/>
        <v>1.5693825470834575</v>
      </c>
      <c r="Q631">
        <f t="shared" si="545"/>
        <v>288.80755817815697</v>
      </c>
      <c r="R631">
        <f t="shared" si="488"/>
        <v>1.5673338066154203</v>
      </c>
      <c r="S631">
        <f t="shared" si="546"/>
        <v>0.26049604611561356</v>
      </c>
      <c r="T631">
        <f t="shared" si="490"/>
        <v>-1.3072603748985145</v>
      </c>
      <c r="U631">
        <f t="shared" si="547"/>
        <v>0.17055121359081685</v>
      </c>
      <c r="V631">
        <f t="shared" si="492"/>
        <v>-1.399407275111386</v>
      </c>
      <c r="X631">
        <f t="shared" si="548"/>
        <v>-44.418831036276465</v>
      </c>
      <c r="Y631">
        <f t="shared" si="549"/>
        <v>-164.13547336925933</v>
      </c>
      <c r="Z631">
        <f t="shared" si="510"/>
        <v>15.86452663074067</v>
      </c>
      <c r="AC631">
        <v>1</v>
      </c>
      <c r="AD631">
        <f t="shared" si="550"/>
        <v>707.32330196220016</v>
      </c>
      <c r="AE631">
        <f t="shared" si="551"/>
        <v>-0.13688269589567983</v>
      </c>
      <c r="AF631">
        <f t="shared" si="552"/>
        <v>2.3692635129240001E-2</v>
      </c>
      <c r="AG631">
        <f t="shared" si="553"/>
        <v>861.29580369232769</v>
      </c>
      <c r="AH631">
        <f t="shared" si="554"/>
        <v>-5018.2890558385925</v>
      </c>
      <c r="AJ631">
        <f t="shared" si="497"/>
        <v>55000</v>
      </c>
      <c r="AK631">
        <f t="shared" si="555"/>
        <v>203846.16608606253</v>
      </c>
      <c r="AL631">
        <v>6</v>
      </c>
      <c r="AM631">
        <f t="shared" si="556"/>
        <v>288.80582691633754</v>
      </c>
      <c r="AN631">
        <f t="shared" si="557"/>
        <v>709.47448545620887</v>
      </c>
      <c r="AO631">
        <f t="shared" si="558"/>
        <v>-175.69989369349611</v>
      </c>
      <c r="AQ631">
        <f t="shared" si="559"/>
        <v>3.7637017804350773E-4</v>
      </c>
      <c r="AR631">
        <f t="shared" si="560"/>
        <v>-1.0909089610591072</v>
      </c>
      <c r="AT631">
        <f t="shared" si="561"/>
        <v>-5474.172334144183</v>
      </c>
      <c r="AU631">
        <f t="shared" si="562"/>
        <v>-941.48404471598565</v>
      </c>
      <c r="AV631">
        <f t="shared" si="511"/>
        <v>-2.9712723755938044</v>
      </c>
      <c r="AW631">
        <f t="shared" si="512"/>
        <v>1328.9262542639474</v>
      </c>
      <c r="AX631">
        <f t="shared" si="513"/>
        <v>-6659.7488911196524</v>
      </c>
      <c r="AY631">
        <f t="shared" si="521"/>
        <v>-1.3738373432012161</v>
      </c>
      <c r="BA631">
        <f t="shared" si="502"/>
        <v>0.81792171071840858</v>
      </c>
      <c r="BB631">
        <f t="shared" si="514"/>
        <v>-1.7457652769441723</v>
      </c>
      <c r="BC631">
        <f t="shared" si="515"/>
        <v>-1.5974350323925883</v>
      </c>
      <c r="BD631">
        <f t="shared" si="503"/>
        <v>-271.52628550702326</v>
      </c>
      <c r="BF631">
        <f t="shared" si="504"/>
        <v>-63.02273328280841</v>
      </c>
      <c r="BG631">
        <f t="shared" si="505"/>
        <v>-190.30173461088845</v>
      </c>
      <c r="BH631">
        <f t="shared" si="516"/>
        <v>-10.301734610888445</v>
      </c>
      <c r="BI631">
        <f t="shared" si="517"/>
        <v>-10.301734610888445</v>
      </c>
      <c r="BJ631">
        <f t="shared" si="506"/>
        <v>0</v>
      </c>
      <c r="BK631">
        <f t="shared" si="518"/>
        <v>0</v>
      </c>
      <c r="BM631">
        <f t="shared" si="519"/>
        <v>-61.276968005864241</v>
      </c>
      <c r="BN631">
        <f t="shared" si="507"/>
        <v>-98.775449103865171</v>
      </c>
      <c r="BQ631" s="75">
        <f t="shared" si="520"/>
        <v>15.156195523340966</v>
      </c>
    </row>
    <row r="632" spans="1:69">
      <c r="A632">
        <f t="shared" si="563"/>
        <v>5600000</v>
      </c>
      <c r="B632">
        <f t="shared" si="508"/>
        <v>5600</v>
      </c>
      <c r="C632">
        <f t="shared" si="539"/>
        <v>6.620524270896186</v>
      </c>
      <c r="D632">
        <f t="shared" si="540"/>
        <v>1.4191705657573628</v>
      </c>
      <c r="F632">
        <f t="shared" si="541"/>
        <v>1.4223597091993388E-5</v>
      </c>
      <c r="G632">
        <f t="shared" si="542"/>
        <v>1.1578663364381931E-3</v>
      </c>
      <c r="H632">
        <f t="shared" si="481"/>
        <v>-3.140434783663562</v>
      </c>
      <c r="J632">
        <f t="shared" si="482"/>
        <v>9</v>
      </c>
      <c r="M632">
        <f t="shared" si="543"/>
        <v>7.5370015870901007E-4</v>
      </c>
      <c r="N632">
        <f t="shared" si="484"/>
        <v>-1.5707963250000001</v>
      </c>
      <c r="O632">
        <f t="shared" si="544"/>
        <v>720.18441990119072</v>
      </c>
      <c r="P632">
        <f t="shared" si="486"/>
        <v>1.5694077931169883</v>
      </c>
      <c r="Q632">
        <f t="shared" si="545"/>
        <v>294.05854229779021</v>
      </c>
      <c r="R632">
        <f t="shared" si="488"/>
        <v>1.5673956368518764</v>
      </c>
      <c r="S632">
        <f t="shared" si="546"/>
        <v>0.25615213779957186</v>
      </c>
      <c r="T632">
        <f t="shared" si="490"/>
        <v>-1.3117569075648348</v>
      </c>
      <c r="U632">
        <f t="shared" si="547"/>
        <v>0.16759195237999919</v>
      </c>
      <c r="V632">
        <f t="shared" si="492"/>
        <v>-1.4024097620110985</v>
      </c>
      <c r="X632">
        <f t="shared" si="548"/>
        <v>-44.720567863432919</v>
      </c>
      <c r="Y632">
        <f t="shared" si="549"/>
        <v>-164.40587256033595</v>
      </c>
      <c r="Z632">
        <f t="shared" si="510"/>
        <v>15.594127439664049</v>
      </c>
      <c r="AC632">
        <v>1</v>
      </c>
      <c r="AD632">
        <f t="shared" si="550"/>
        <v>720.18372563424009</v>
      </c>
      <c r="AE632">
        <f t="shared" si="551"/>
        <v>-0.14190549895168653</v>
      </c>
      <c r="AF632">
        <f t="shared" si="552"/>
        <v>2.4123410313408002E-2</v>
      </c>
      <c r="AG632">
        <f t="shared" si="553"/>
        <v>831.66614701410344</v>
      </c>
      <c r="AH632">
        <f t="shared" si="554"/>
        <v>-4933.713683388778</v>
      </c>
      <c r="AJ632">
        <f t="shared" si="497"/>
        <v>55000</v>
      </c>
      <c r="AK632">
        <f t="shared" si="555"/>
        <v>207552.46001490002</v>
      </c>
      <c r="AL632">
        <v>7</v>
      </c>
      <c r="AM632">
        <f t="shared" si="556"/>
        <v>294.05684195118005</v>
      </c>
      <c r="AN632">
        <f t="shared" si="557"/>
        <v>709.87445748751372</v>
      </c>
      <c r="AO632">
        <f t="shared" si="558"/>
        <v>-170.14016224078756</v>
      </c>
      <c r="AQ632">
        <f t="shared" si="559"/>
        <v>3.6304840350073086E-4</v>
      </c>
      <c r="AR632">
        <f t="shared" si="560"/>
        <v>-1.071428448411357</v>
      </c>
      <c r="AT632">
        <f t="shared" si="561"/>
        <v>-5285.8192616322003</v>
      </c>
      <c r="AU632">
        <f t="shared" si="562"/>
        <v>-892.8619463676564</v>
      </c>
      <c r="AV632">
        <f t="shared" si="511"/>
        <v>-2.9742557772813663</v>
      </c>
      <c r="AW632">
        <f t="shared" si="512"/>
        <v>1313.0925134462691</v>
      </c>
      <c r="AX632">
        <f t="shared" si="513"/>
        <v>-6543.5703152996148</v>
      </c>
      <c r="AY632">
        <f t="shared" si="521"/>
        <v>-1.3727574627553376</v>
      </c>
      <c r="BA632">
        <f t="shared" si="502"/>
        <v>0.80321898221433341</v>
      </c>
      <c r="BB632">
        <f t="shared" si="514"/>
        <v>-1.9033207307359443</v>
      </c>
      <c r="BC632">
        <f t="shared" si="515"/>
        <v>-1.6014983145260286</v>
      </c>
      <c r="BD632">
        <f t="shared" si="503"/>
        <v>-271.75909442450632</v>
      </c>
      <c r="BF632">
        <f t="shared" si="504"/>
        <v>-63.340434068217931</v>
      </c>
      <c r="BG632">
        <f t="shared" si="505"/>
        <v>-190.38026965010914</v>
      </c>
      <c r="BH632">
        <f t="shared" si="516"/>
        <v>-10.380269650109142</v>
      </c>
      <c r="BI632">
        <f t="shared" si="517"/>
        <v>-10.380269650109142</v>
      </c>
      <c r="BJ632">
        <f t="shared" si="506"/>
        <v>0</v>
      </c>
      <c r="BK632">
        <f t="shared" si="518"/>
        <v>0</v>
      </c>
      <c r="BM632">
        <f t="shared" si="519"/>
        <v>-61.437113337481989</v>
      </c>
      <c r="BN632">
        <f t="shared" si="507"/>
        <v>-98.621175225602798</v>
      </c>
      <c r="BQ632" s="75">
        <f t="shared" si="520"/>
        <v>14.998640069549193</v>
      </c>
    </row>
    <row r="633" spans="1:69">
      <c r="A633">
        <f t="shared" si="563"/>
        <v>5700000</v>
      </c>
      <c r="B633">
        <f t="shared" si="508"/>
        <v>5700</v>
      </c>
      <c r="C633">
        <f t="shared" si="539"/>
        <v>6.7360738080165072</v>
      </c>
      <c r="D633">
        <f t="shared" si="540"/>
        <v>1.4217911256504709</v>
      </c>
      <c r="F633">
        <f t="shared" si="541"/>
        <v>1.3728894867052053E-5</v>
      </c>
      <c r="G633">
        <f t="shared" si="542"/>
        <v>1.1375523460772864E-3</v>
      </c>
      <c r="H633">
        <f t="shared" si="481"/>
        <v>-3.1404550976539229</v>
      </c>
      <c r="J633">
        <f t="shared" si="482"/>
        <v>9</v>
      </c>
      <c r="M633">
        <f t="shared" si="543"/>
        <v>7.4047734890709768E-4</v>
      </c>
      <c r="N633">
        <f t="shared" si="484"/>
        <v>-1.5707963250000001</v>
      </c>
      <c r="O633">
        <f t="shared" si="544"/>
        <v>733.04483139312015</v>
      </c>
      <c r="P633">
        <f t="shared" si="486"/>
        <v>1.5694321533264592</v>
      </c>
      <c r="Q633">
        <f t="shared" si="545"/>
        <v>299.3095275021584</v>
      </c>
      <c r="R633">
        <f t="shared" si="488"/>
        <v>1.5674552976310059</v>
      </c>
      <c r="S633">
        <f t="shared" si="546"/>
        <v>0.25194588108970195</v>
      </c>
      <c r="T633">
        <f t="shared" si="490"/>
        <v>-1.3161058512622992</v>
      </c>
      <c r="U633">
        <f t="shared" si="547"/>
        <v>0.16473222301330342</v>
      </c>
      <c r="V633">
        <f t="shared" si="492"/>
        <v>-1.4053098075827444</v>
      </c>
      <c r="X633">
        <f t="shared" si="548"/>
        <v>-45.017327937965213</v>
      </c>
      <c r="Y633">
        <f t="shared" si="549"/>
        <v>-164.66741188752954</v>
      </c>
      <c r="Z633">
        <f t="shared" si="510"/>
        <v>15.332588112470461</v>
      </c>
      <c r="AC633">
        <v>1</v>
      </c>
      <c r="AD633">
        <f t="shared" si="550"/>
        <v>733.04414930628013</v>
      </c>
      <c r="AE633">
        <f t="shared" si="551"/>
        <v>-0.14701880296365741</v>
      </c>
      <c r="AF633">
        <f t="shared" si="552"/>
        <v>2.4554185497576E-2</v>
      </c>
      <c r="AG633">
        <f t="shared" si="553"/>
        <v>803.52579186792525</v>
      </c>
      <c r="AH633">
        <f t="shared" si="554"/>
        <v>-4851.8571337912308</v>
      </c>
      <c r="AJ633">
        <f t="shared" si="497"/>
        <v>55000</v>
      </c>
      <c r="AK633">
        <f t="shared" si="555"/>
        <v>211258.75394373751</v>
      </c>
      <c r="AL633">
        <v>8</v>
      </c>
      <c r="AM633">
        <f t="shared" si="556"/>
        <v>299.3078569860225</v>
      </c>
      <c r="AN633">
        <f t="shared" si="557"/>
        <v>710.22842037572184</v>
      </c>
      <c r="AO633">
        <f t="shared" si="558"/>
        <v>-164.77406618596504</v>
      </c>
      <c r="AQ633">
        <f t="shared" si="559"/>
        <v>3.5042160600946056E-4</v>
      </c>
      <c r="AR633">
        <f t="shared" si="560"/>
        <v>-1.0526314622918187</v>
      </c>
      <c r="AT633">
        <f t="shared" si="561"/>
        <v>-5106.9358967751996</v>
      </c>
      <c r="AU633">
        <f t="shared" si="562"/>
        <v>-847.51672485207735</v>
      </c>
      <c r="AV633">
        <f t="shared" si="511"/>
        <v>-2.9771374072957739</v>
      </c>
      <c r="AW633">
        <f t="shared" si="512"/>
        <v>1297.9216873968619</v>
      </c>
      <c r="AX633">
        <f t="shared" si="513"/>
        <v>-6431.1677603502048</v>
      </c>
      <c r="AY633">
        <f t="shared" si="521"/>
        <v>-1.3716538596816146</v>
      </c>
      <c r="BA633">
        <f t="shared" si="502"/>
        <v>0.7890435995509496</v>
      </c>
      <c r="BB633">
        <f t="shared" si="514"/>
        <v>-2.0579799732959554</v>
      </c>
      <c r="BC633">
        <f t="shared" si="515"/>
        <v>-1.6054835476141593</v>
      </c>
      <c r="BD633">
        <f t="shared" si="503"/>
        <v>-271.98743146109302</v>
      </c>
      <c r="BF633">
        <f t="shared" si="504"/>
        <v>-63.652281455739896</v>
      </c>
      <c r="BG633">
        <f t="shared" si="505"/>
        <v>-190.45962357060199</v>
      </c>
      <c r="BH633">
        <f t="shared" si="516"/>
        <v>-10.459623570601991</v>
      </c>
      <c r="BI633">
        <f t="shared" si="517"/>
        <v>-10.459623570601991</v>
      </c>
      <c r="BJ633">
        <f t="shared" si="506"/>
        <v>0</v>
      </c>
      <c r="BK633">
        <f t="shared" si="518"/>
        <v>0</v>
      </c>
      <c r="BM633">
        <f t="shared" si="519"/>
        <v>-61.594301482443939</v>
      </c>
      <c r="BN633">
        <f t="shared" si="507"/>
        <v>-98.472192109508967</v>
      </c>
      <c r="BQ633" s="75">
        <f t="shared" si="520"/>
        <v>14.843980826989181</v>
      </c>
    </row>
    <row r="634" spans="1:69">
      <c r="A634">
        <f t="shared" si="563"/>
        <v>5800000</v>
      </c>
      <c r="B634">
        <f t="shared" si="508"/>
        <v>5800</v>
      </c>
      <c r="C634">
        <f t="shared" si="539"/>
        <v>6.8516680435652244</v>
      </c>
      <c r="D634">
        <f t="shared" si="540"/>
        <v>1.4243232797110799</v>
      </c>
      <c r="F634">
        <f t="shared" si="541"/>
        <v>1.3259559882696535E-5</v>
      </c>
      <c r="G634">
        <f t="shared" si="542"/>
        <v>1.1179388656506147E-3</v>
      </c>
      <c r="H634">
        <f t="shared" si="481"/>
        <v>-3.1404747111343494</v>
      </c>
      <c r="J634">
        <f t="shared" si="482"/>
        <v>9</v>
      </c>
      <c r="M634">
        <f t="shared" si="543"/>
        <v>7.2771049806387184E-4</v>
      </c>
      <c r="N634">
        <f t="shared" si="484"/>
        <v>-1.5707963250000001</v>
      </c>
      <c r="O634">
        <f t="shared" si="544"/>
        <v>745.90524330505298</v>
      </c>
      <c r="P634">
        <f t="shared" si="486"/>
        <v>1.5694556735302438</v>
      </c>
      <c r="Q634">
        <f t="shared" si="545"/>
        <v>304.56051373515515</v>
      </c>
      <c r="R634">
        <f t="shared" si="488"/>
        <v>1.5675129011644624</v>
      </c>
      <c r="S634">
        <f t="shared" si="546"/>
        <v>0.24787107067841377</v>
      </c>
      <c r="T634">
        <f t="shared" si="490"/>
        <v>-1.3203141983942559</v>
      </c>
      <c r="U634">
        <f t="shared" si="547"/>
        <v>0.1619671566837742</v>
      </c>
      <c r="V634">
        <f t="shared" si="492"/>
        <v>-1.4081125202749045</v>
      </c>
      <c r="X634">
        <f t="shared" si="548"/>
        <v>-45.309267406920064</v>
      </c>
      <c r="Y634">
        <f t="shared" si="549"/>
        <v>-164.92051000679231</v>
      </c>
      <c r="Z634">
        <f t="shared" si="510"/>
        <v>15.079489993207687</v>
      </c>
      <c r="AC634">
        <v>1</v>
      </c>
      <c r="AD634">
        <f t="shared" si="550"/>
        <v>745.90457297832018</v>
      </c>
      <c r="AE634">
        <f t="shared" si="551"/>
        <v>-0.15222260793159234</v>
      </c>
      <c r="AF634">
        <f t="shared" si="552"/>
        <v>2.4984960681744002E-2</v>
      </c>
      <c r="AG634">
        <f t="shared" si="553"/>
        <v>776.77746837744962</v>
      </c>
      <c r="AH634">
        <f t="shared" si="554"/>
        <v>-4772.5947436068564</v>
      </c>
      <c r="AJ634">
        <f t="shared" si="497"/>
        <v>55000</v>
      </c>
      <c r="AK634">
        <f t="shared" si="555"/>
        <v>214965.047872575</v>
      </c>
      <c r="AL634">
        <v>9</v>
      </c>
      <c r="AM634">
        <f t="shared" si="556"/>
        <v>304.55887202086507</v>
      </c>
      <c r="AN634">
        <f t="shared" si="557"/>
        <v>710.54037520080328</v>
      </c>
      <c r="AO634">
        <f t="shared" si="558"/>
        <v>-159.59192487376589</v>
      </c>
      <c r="AQ634">
        <f t="shared" si="559"/>
        <v>3.3844227177112226E-4</v>
      </c>
      <c r="AR634">
        <f t="shared" si="560"/>
        <v>-1.0344826478956122</v>
      </c>
      <c r="AT634">
        <f t="shared" si="561"/>
        <v>-4936.9035533680426</v>
      </c>
      <c r="AU634">
        <f t="shared" si="562"/>
        <v>-805.17806012002347</v>
      </c>
      <c r="AV634">
        <f t="shared" si="511"/>
        <v>-2.9799223394483967</v>
      </c>
      <c r="AW634">
        <f t="shared" si="512"/>
        <v>1283.3761118790596</v>
      </c>
      <c r="AX634">
        <f t="shared" si="513"/>
        <v>-6322.367076810564</v>
      </c>
      <c r="AY634">
        <f t="shared" si="521"/>
        <v>-1.3705276064388108</v>
      </c>
      <c r="BA634">
        <f t="shared" si="502"/>
        <v>0.77536711903428157</v>
      </c>
      <c r="BB634">
        <f t="shared" si="514"/>
        <v>-2.2098524009778542</v>
      </c>
      <c r="BC634">
        <f t="shared" si="515"/>
        <v>-1.6093947330095859</v>
      </c>
      <c r="BD634">
        <f t="shared" si="503"/>
        <v>-272.21152587740028</v>
      </c>
      <c r="BF634">
        <f t="shared" si="504"/>
        <v>-63.95849375857086</v>
      </c>
      <c r="BG634">
        <f t="shared" si="505"/>
        <v>-190.5397600156449</v>
      </c>
      <c r="BH634">
        <f t="shared" si="516"/>
        <v>-10.539760015644902</v>
      </c>
      <c r="BI634">
        <f t="shared" si="517"/>
        <v>-10.539760015644902</v>
      </c>
      <c r="BJ634">
        <f t="shared" si="506"/>
        <v>0</v>
      </c>
      <c r="BK634">
        <f t="shared" si="518"/>
        <v>0</v>
      </c>
      <c r="BM634">
        <f t="shared" si="519"/>
        <v>-61.748641357593009</v>
      </c>
      <c r="BN634">
        <f t="shared" si="507"/>
        <v>-98.328234138244653</v>
      </c>
      <c r="BQ634" s="75">
        <f t="shared" si="520"/>
        <v>14.692108399307282</v>
      </c>
    </row>
    <row r="635" spans="1:69">
      <c r="A635">
        <f t="shared" si="563"/>
        <v>5900000</v>
      </c>
      <c r="B635">
        <f t="shared" si="508"/>
        <v>5900</v>
      </c>
      <c r="C635">
        <f t="shared" si="539"/>
        <v>6.9673047527739307</v>
      </c>
      <c r="D635">
        <f t="shared" si="540"/>
        <v>1.4267713964593745</v>
      </c>
      <c r="F635">
        <f t="shared" si="541"/>
        <v>1.2813886950567546E-5</v>
      </c>
      <c r="G635">
        <f t="shared" si="542"/>
        <v>1.09899027419123E-3</v>
      </c>
      <c r="H635">
        <f t="shared" si="481"/>
        <v>-3.1404936597258089</v>
      </c>
      <c r="J635">
        <f t="shared" si="482"/>
        <v>9</v>
      </c>
      <c r="M635">
        <f t="shared" si="543"/>
        <v>7.1537642182550117E-4</v>
      </c>
      <c r="N635">
        <f t="shared" si="484"/>
        <v>-1.5707963250000001</v>
      </c>
      <c r="O635">
        <f t="shared" si="544"/>
        <v>758.76565561563291</v>
      </c>
      <c r="P635">
        <f t="shared" si="486"/>
        <v>1.5694783964403938</v>
      </c>
      <c r="Q635">
        <f t="shared" si="545"/>
        <v>309.81150094447793</v>
      </c>
      <c r="R635">
        <f t="shared" si="488"/>
        <v>1.5675685520564664</v>
      </c>
      <c r="S635">
        <f t="shared" si="546"/>
        <v>0.24392185337416475</v>
      </c>
      <c r="T635">
        <f t="shared" si="490"/>
        <v>-1.3243885164093174</v>
      </c>
      <c r="U635">
        <f t="shared" si="547"/>
        <v>0.15929219249997612</v>
      </c>
      <c r="V635">
        <f t="shared" si="492"/>
        <v>-1.4108226774229629</v>
      </c>
      <c r="X635">
        <f t="shared" si="548"/>
        <v>-45.59653542455645</v>
      </c>
      <c r="Y635">
        <f t="shared" si="549"/>
        <v>-165.1655602289284</v>
      </c>
      <c r="Z635">
        <f t="shared" si="510"/>
        <v>14.834439771071601</v>
      </c>
      <c r="AC635">
        <v>1</v>
      </c>
      <c r="AD635">
        <f t="shared" si="550"/>
        <v>758.7649966503601</v>
      </c>
      <c r="AE635">
        <f t="shared" si="551"/>
        <v>-0.15751691385549135</v>
      </c>
      <c r="AF635">
        <f t="shared" si="552"/>
        <v>2.5415735865912E-2</v>
      </c>
      <c r="AG635">
        <f t="shared" si="553"/>
        <v>751.33164842882059</v>
      </c>
      <c r="AH635">
        <f t="shared" si="554"/>
        <v>-4695.8090520029991</v>
      </c>
      <c r="AJ635">
        <f t="shared" si="497"/>
        <v>55000</v>
      </c>
      <c r="AK635">
        <f t="shared" si="555"/>
        <v>218671.34180141252</v>
      </c>
      <c r="AL635">
        <v>10</v>
      </c>
      <c r="AM635">
        <f t="shared" si="556"/>
        <v>309.80988705570752</v>
      </c>
      <c r="AN635">
        <f t="shared" si="557"/>
        <v>710.81394670386737</v>
      </c>
      <c r="AO635">
        <f t="shared" si="558"/>
        <v>-154.5846744534328</v>
      </c>
      <c r="AQ635">
        <f t="shared" si="559"/>
        <v>3.2706687915366728E-4</v>
      </c>
      <c r="AR635">
        <f t="shared" si="560"/>
        <v>-1.0169490473524976</v>
      </c>
      <c r="AT635">
        <f t="shared" si="561"/>
        <v>-4775.1528062862235</v>
      </c>
      <c r="AU635">
        <f t="shared" si="562"/>
        <v>-765.60184772721084</v>
      </c>
      <c r="AV635">
        <f t="shared" si="511"/>
        <v>-2.9826153187856832</v>
      </c>
      <c r="AW635">
        <f t="shared" si="512"/>
        <v>1269.4207638150792</v>
      </c>
      <c r="AX635">
        <f t="shared" si="513"/>
        <v>-6217.004160399465</v>
      </c>
      <c r="AY635">
        <f t="shared" si="521"/>
        <v>-1.3693797129199556</v>
      </c>
      <c r="BA635">
        <f t="shared" si="502"/>
        <v>0.76216313287454573</v>
      </c>
      <c r="BB635">
        <f t="shared" si="514"/>
        <v>-2.3590412523525082</v>
      </c>
      <c r="BC635">
        <f t="shared" si="515"/>
        <v>-1.6132356058657276</v>
      </c>
      <c r="BD635">
        <f t="shared" si="503"/>
        <v>-272.43159168195501</v>
      </c>
      <c r="BF635">
        <f t="shared" si="504"/>
        <v>-64.259277157252967</v>
      </c>
      <c r="BG635">
        <f t="shared" si="505"/>
        <v>-190.62064473692638</v>
      </c>
      <c r="BH635">
        <f t="shared" si="516"/>
        <v>-10.62064473692638</v>
      </c>
      <c r="BI635">
        <f t="shared" si="517"/>
        <v>-10.62064473692638</v>
      </c>
      <c r="BJ635">
        <f t="shared" si="506"/>
        <v>0</v>
      </c>
      <c r="BK635">
        <f t="shared" si="518"/>
        <v>0</v>
      </c>
      <c r="BM635">
        <f t="shared" si="519"/>
        <v>-61.900235904900462</v>
      </c>
      <c r="BN635">
        <f t="shared" si="507"/>
        <v>-98.189053054971396</v>
      </c>
      <c r="BQ635" s="75">
        <f t="shared" si="520"/>
        <v>14.542919547932629</v>
      </c>
    </row>
    <row r="636" spans="1:69">
      <c r="A636">
        <f t="shared" si="563"/>
        <v>6000000</v>
      </c>
      <c r="B636">
        <f t="shared" si="508"/>
        <v>6000</v>
      </c>
      <c r="C636">
        <f t="shared" si="539"/>
        <v>7.0829818553689572</v>
      </c>
      <c r="D636">
        <f t="shared" si="540"/>
        <v>1.4291395632226436</v>
      </c>
      <c r="F636">
        <f t="shared" si="541"/>
        <v>1.2390311790297419E-5</v>
      </c>
      <c r="G636">
        <f t="shared" si="542"/>
        <v>1.0806733256110202E-3</v>
      </c>
      <c r="H636">
        <f t="shared" si="481"/>
        <v>-3.140511976674389</v>
      </c>
      <c r="J636">
        <f t="shared" si="482"/>
        <v>9</v>
      </c>
      <c r="M636">
        <f t="shared" si="543"/>
        <v>7.034534814617428E-4</v>
      </c>
      <c r="N636">
        <f t="shared" si="484"/>
        <v>-1.5707963250000001</v>
      </c>
      <c r="O636">
        <f t="shared" si="544"/>
        <v>771.62606830492757</v>
      </c>
      <c r="P636">
        <f t="shared" si="486"/>
        <v>1.5695003619214993</v>
      </c>
      <c r="Q636">
        <f t="shared" si="545"/>
        <v>315.0624890813109</v>
      </c>
      <c r="R636">
        <f t="shared" si="488"/>
        <v>1.5676223479377451</v>
      </c>
      <c r="S636">
        <f t="shared" si="546"/>
        <v>0.24009270473449043</v>
      </c>
      <c r="T636">
        <f t="shared" si="490"/>
        <v>-1.3283349788275163</v>
      </c>
      <c r="U636">
        <f t="shared" si="547"/>
        <v>0.15670305389144495</v>
      </c>
      <c r="V636">
        <f t="shared" si="492"/>
        <v>-1.4134447514105364</v>
      </c>
      <c r="X636">
        <f t="shared" si="548"/>
        <v>-45.879274549454074</v>
      </c>
      <c r="Y636">
        <f t="shared" si="549"/>
        <v>-165.40293235964236</v>
      </c>
      <c r="Z636">
        <f t="shared" si="510"/>
        <v>14.597067640357636</v>
      </c>
      <c r="AC636">
        <v>1</v>
      </c>
      <c r="AD636">
        <f t="shared" si="550"/>
        <v>771.62542032240015</v>
      </c>
      <c r="AE636">
        <f t="shared" si="551"/>
        <v>-0.16290172073535447</v>
      </c>
      <c r="AF636">
        <f t="shared" si="552"/>
        <v>2.5846511050080002E-2</v>
      </c>
      <c r="AG636">
        <f t="shared" si="553"/>
        <v>727.1058246681032</v>
      </c>
      <c r="AH636">
        <f t="shared" si="554"/>
        <v>-4621.3893149328269</v>
      </c>
      <c r="AJ636">
        <f t="shared" si="497"/>
        <v>55000</v>
      </c>
      <c r="AK636">
        <f t="shared" si="555"/>
        <v>222377.63573025001</v>
      </c>
      <c r="AL636">
        <v>11</v>
      </c>
      <c r="AM636">
        <f t="shared" si="556"/>
        <v>315.06090209055003</v>
      </c>
      <c r="AN636">
        <f t="shared" si="557"/>
        <v>711.0524228031536</v>
      </c>
      <c r="AO636">
        <f t="shared" si="558"/>
        <v>-149.74382107115912</v>
      </c>
      <c r="AQ636">
        <f t="shared" si="559"/>
        <v>3.1625550284074857E-4</v>
      </c>
      <c r="AR636">
        <f t="shared" si="560"/>
        <v>-0.99999989998244687</v>
      </c>
      <c r="AT636">
        <f t="shared" si="561"/>
        <v>-4621.1589014945766</v>
      </c>
      <c r="AU636">
        <f t="shared" si="562"/>
        <v>-728.56729174637474</v>
      </c>
      <c r="AV636">
        <f t="shared" si="511"/>
        <v>-2.9852207875549022</v>
      </c>
      <c r="AW636">
        <f t="shared" si="512"/>
        <v>1256.0230447420461</v>
      </c>
      <c r="AX636">
        <f t="shared" si="513"/>
        <v>-6114.9242841693376</v>
      </c>
      <c r="AY636">
        <f t="shared" si="521"/>
        <v>-1.368211131003934</v>
      </c>
      <c r="BA636">
        <f t="shared" si="502"/>
        <v>0.74940708828859892</v>
      </c>
      <c r="BB636">
        <f t="shared" si="514"/>
        <v>-2.5056440687177557</v>
      </c>
      <c r="BC636">
        <f t="shared" si="515"/>
        <v>-1.6170096565509682</v>
      </c>
      <c r="BD636">
        <f t="shared" si="503"/>
        <v>-272.6478288581348</v>
      </c>
      <c r="BF636">
        <f t="shared" si="504"/>
        <v>-64.55482659242746</v>
      </c>
      <c r="BG636">
        <f t="shared" si="505"/>
        <v>-190.70224543608106</v>
      </c>
      <c r="BH636">
        <f t="shared" si="516"/>
        <v>-10.702245436081057</v>
      </c>
      <c r="BI636">
        <f t="shared" si="517"/>
        <v>-10.702245436081057</v>
      </c>
      <c r="BJ636">
        <f t="shared" si="506"/>
        <v>0</v>
      </c>
      <c r="BK636">
        <f t="shared" si="518"/>
        <v>0</v>
      </c>
      <c r="BM636">
        <f t="shared" si="519"/>
        <v>-62.049182523709703</v>
      </c>
      <c r="BN636">
        <f t="shared" si="507"/>
        <v>-98.054416577946256</v>
      </c>
      <c r="BQ636" s="75">
        <f t="shared" si="520"/>
        <v>14.39631673156738</v>
      </c>
    </row>
    <row r="637" spans="1:69">
      <c r="A637">
        <f t="shared" si="563"/>
        <v>6100000</v>
      </c>
      <c r="B637">
        <f t="shared" si="508"/>
        <v>6100</v>
      </c>
      <c r="C637">
        <f t="shared" si="539"/>
        <v>7.1986974040858209</v>
      </c>
      <c r="D637">
        <f t="shared" si="540"/>
        <v>1.4314316082473715</v>
      </c>
      <c r="F637">
        <f t="shared" si="541"/>
        <v>1.1987397284239261E-5</v>
      </c>
      <c r="G637">
        <f t="shared" si="542"/>
        <v>1.0629569540243386E-3</v>
      </c>
      <c r="H637">
        <f t="shared" si="481"/>
        <v>-3.1405296930459761</v>
      </c>
      <c r="J637">
        <f t="shared" si="482"/>
        <v>9</v>
      </c>
      <c r="M637">
        <f t="shared" si="543"/>
        <v>6.9192145717548472E-4</v>
      </c>
      <c r="N637">
        <f t="shared" si="484"/>
        <v>-1.5707963250000001</v>
      </c>
      <c r="O637">
        <f t="shared" si="544"/>
        <v>784.48648135431188</v>
      </c>
      <c r="P637">
        <f t="shared" si="486"/>
        <v>1.5695216072240865</v>
      </c>
      <c r="Q637">
        <f t="shared" si="545"/>
        <v>320.31347810003928</v>
      </c>
      <c r="R637">
        <f t="shared" si="488"/>
        <v>1.5676743800371182</v>
      </c>
      <c r="S637">
        <f t="shared" si="546"/>
        <v>0.23637840740947688</v>
      </c>
      <c r="T637">
        <f t="shared" si="490"/>
        <v>-1.3321593936593747</v>
      </c>
      <c r="U637">
        <f t="shared" si="547"/>
        <v>0.15419572711540525</v>
      </c>
      <c r="V637">
        <f t="shared" si="492"/>
        <v>-1.4159829334114709</v>
      </c>
      <c r="X637">
        <f t="shared" si="548"/>
        <v>-46.157621114849874</v>
      </c>
      <c r="Y637">
        <f t="shared" si="549"/>
        <v>-165.63297438625091</v>
      </c>
      <c r="Z637">
        <f t="shared" si="510"/>
        <v>14.367025613749092</v>
      </c>
      <c r="AC637">
        <v>1</v>
      </c>
      <c r="AD637">
        <f t="shared" si="550"/>
        <v>784.48584399444007</v>
      </c>
      <c r="AE637">
        <f t="shared" si="551"/>
        <v>-0.16837702857118167</v>
      </c>
      <c r="AF637">
        <f t="shared" si="552"/>
        <v>2.6277286234248E-2</v>
      </c>
      <c r="AG637">
        <f t="shared" si="553"/>
        <v>704.02386589523348</v>
      </c>
      <c r="AH637">
        <f t="shared" si="554"/>
        <v>-4549.23105517774</v>
      </c>
      <c r="AJ637">
        <f t="shared" si="497"/>
        <v>55000</v>
      </c>
      <c r="AK637">
        <f t="shared" si="555"/>
        <v>226083.9296590875</v>
      </c>
      <c r="AL637">
        <v>12</v>
      </c>
      <c r="AM637">
        <f t="shared" si="556"/>
        <v>320.31191712539254</v>
      </c>
      <c r="AN637">
        <f t="shared" si="557"/>
        <v>711.25878949764683</v>
      </c>
      <c r="AO637">
        <f t="shared" si="558"/>
        <v>-145.06139809914913</v>
      </c>
      <c r="AQ637">
        <f t="shared" si="559"/>
        <v>3.0597146302864807E-4</v>
      </c>
      <c r="AR637">
        <f t="shared" si="560"/>
        <v>-0.98360646219819503</v>
      </c>
      <c r="AT637">
        <f t="shared" si="561"/>
        <v>-4474.4376526932838</v>
      </c>
      <c r="AU637">
        <f t="shared" si="562"/>
        <v>-693.87435891791517</v>
      </c>
      <c r="AV637">
        <f t="shared" si="511"/>
        <v>-2.9877429087696981</v>
      </c>
      <c r="AW637">
        <f t="shared" si="512"/>
        <v>1243.1525842687931</v>
      </c>
      <c r="AX637">
        <f t="shared" si="513"/>
        <v>-6015.9814779749868</v>
      </c>
      <c r="AY637">
        <f t="shared" si="521"/>
        <v>-1.3670227587121837</v>
      </c>
      <c r="BA637">
        <f t="shared" si="502"/>
        <v>0.73707612571785142</v>
      </c>
      <c r="BB637">
        <f t="shared" si="514"/>
        <v>-2.6497531119680904</v>
      </c>
      <c r="BC637">
        <f t="shared" si="515"/>
        <v>-1.6207201500575144</v>
      </c>
      <c r="BD637">
        <f t="shared" si="503"/>
        <v>-272.86042447621355</v>
      </c>
      <c r="BF637">
        <f t="shared" si="504"/>
        <v>-64.845326576410059</v>
      </c>
      <c r="BG637">
        <f t="shared" si="505"/>
        <v>-190.78453162096025</v>
      </c>
      <c r="BH637">
        <f t="shared" si="516"/>
        <v>-10.784531620960252</v>
      </c>
      <c r="BI637">
        <f t="shared" si="517"/>
        <v>-10.784531620960252</v>
      </c>
      <c r="BJ637">
        <f t="shared" si="506"/>
        <v>0</v>
      </c>
      <c r="BK637">
        <f t="shared" si="518"/>
        <v>0</v>
      </c>
      <c r="BM637">
        <f t="shared" si="519"/>
        <v>-62.195573464441978</v>
      </c>
      <c r="BN637">
        <f t="shared" si="507"/>
        <v>-97.924107144746714</v>
      </c>
      <c r="BQ637" s="75">
        <f t="shared" si="520"/>
        <v>14.252207688317046</v>
      </c>
    </row>
    <row r="638" spans="1:69">
      <c r="A638">
        <f t="shared" si="563"/>
        <v>6200000</v>
      </c>
      <c r="B638">
        <f t="shared" si="508"/>
        <v>6200</v>
      </c>
      <c r="C638">
        <f t="shared" si="539"/>
        <v>7.3144495742567237</v>
      </c>
      <c r="D638">
        <f t="shared" si="540"/>
        <v>1.4336511207713976</v>
      </c>
      <c r="F638">
        <f t="shared" si="541"/>
        <v>1.1603821271435362E-5</v>
      </c>
      <c r="G638">
        <f t="shared" si="542"/>
        <v>1.045812097912839E-3</v>
      </c>
      <c r="H638">
        <f t="shared" si="481"/>
        <v>-3.1405468379020873</v>
      </c>
      <c r="J638">
        <f t="shared" si="482"/>
        <v>9</v>
      </c>
      <c r="M638">
        <f t="shared" si="543"/>
        <v>6.8076143367265432E-4</v>
      </c>
      <c r="N638">
        <f t="shared" si="484"/>
        <v>-1.5707963250000001</v>
      </c>
      <c r="O638">
        <f t="shared" si="544"/>
        <v>797.34689474636218</v>
      </c>
      <c r="P638">
        <f t="shared" si="486"/>
        <v>1.5695421671954279</v>
      </c>
      <c r="Q638">
        <f t="shared" si="545"/>
        <v>325.5644679579911</v>
      </c>
      <c r="R638">
        <f t="shared" si="488"/>
        <v>1.5677247336977711</v>
      </c>
      <c r="S638">
        <f t="shared" si="546"/>
        <v>0.23277403106646874</v>
      </c>
      <c r="T638">
        <f t="shared" si="490"/>
        <v>-1.3358672294621401</v>
      </c>
      <c r="U638">
        <f t="shared" si="547"/>
        <v>0.15176644165360809</v>
      </c>
      <c r="V638">
        <f t="shared" si="492"/>
        <v>-1.4184411549670528</v>
      </c>
      <c r="X638">
        <f t="shared" si="548"/>
        <v>-46.431705574255318</v>
      </c>
      <c r="Y638">
        <f t="shared" si="549"/>
        <v>-165.85601402524387</v>
      </c>
      <c r="Z638">
        <f t="shared" si="510"/>
        <v>14.143985974756134</v>
      </c>
      <c r="AC638">
        <v>1</v>
      </c>
      <c r="AD638">
        <f t="shared" si="550"/>
        <v>797.34626766648012</v>
      </c>
      <c r="AE638">
        <f t="shared" si="551"/>
        <v>-0.17394283736297292</v>
      </c>
      <c r="AF638">
        <f t="shared" si="552"/>
        <v>2.6708061418416005E-2</v>
      </c>
      <c r="AG638">
        <f t="shared" si="553"/>
        <v>682.01543983322676</v>
      </c>
      <c r="AH638">
        <f t="shared" si="554"/>
        <v>-4479.2356455889303</v>
      </c>
      <c r="AJ638">
        <f t="shared" si="497"/>
        <v>55000</v>
      </c>
      <c r="AK638">
        <f t="shared" si="555"/>
        <v>229790.22358792502</v>
      </c>
      <c r="AL638">
        <v>13</v>
      </c>
      <c r="AM638">
        <f t="shared" si="556"/>
        <v>325.56293216023505</v>
      </c>
      <c r="AN638">
        <f t="shared" si="557"/>
        <v>711.43576175067096</v>
      </c>
      <c r="AO638">
        <f t="shared" si="558"/>
        <v>-140.52992702106349</v>
      </c>
      <c r="AQ638">
        <f t="shared" si="559"/>
        <v>2.9618101390603021E-4</v>
      </c>
      <c r="AR638">
        <f t="shared" si="560"/>
        <v>-0.96774184483656311</v>
      </c>
      <c r="AT638">
        <f t="shared" si="561"/>
        <v>-4334.5417670954557</v>
      </c>
      <c r="AU638">
        <f t="shared" si="562"/>
        <v>-661.34154450626147</v>
      </c>
      <c r="AV638">
        <f t="shared" si="511"/>
        <v>-2.9901855876279368</v>
      </c>
      <c r="AW638">
        <f t="shared" si="512"/>
        <v>1230.7810615132448</v>
      </c>
      <c r="AX638">
        <f t="shared" si="513"/>
        <v>-5920.0379521303821</v>
      </c>
      <c r="AY638">
        <f t="shared" si="521"/>
        <v>-1.3658154440106232</v>
      </c>
      <c r="BA638">
        <f t="shared" si="502"/>
        <v>0.7251489338305781</v>
      </c>
      <c r="BB638">
        <f t="shared" si="514"/>
        <v>-2.7914557444944617</v>
      </c>
      <c r="BC638">
        <f t="shared" si="515"/>
        <v>-1.6243701436173137</v>
      </c>
      <c r="BD638">
        <f t="shared" si="503"/>
        <v>-273.06955370267895</v>
      </c>
      <c r="BF638">
        <f t="shared" si="504"/>
        <v>-65.130951932314062</v>
      </c>
      <c r="BG638">
        <f t="shared" si="505"/>
        <v>-190.8674744749739</v>
      </c>
      <c r="BH638">
        <f t="shared" si="516"/>
        <v>-10.867474474973903</v>
      </c>
      <c r="BI638">
        <f t="shared" si="517"/>
        <v>-10.867474474973903</v>
      </c>
      <c r="BJ638">
        <f t="shared" si="506"/>
        <v>0</v>
      </c>
      <c r="BK638">
        <f t="shared" si="518"/>
        <v>0</v>
      </c>
      <c r="BM638">
        <f t="shared" si="519"/>
        <v>-62.339496187819599</v>
      </c>
      <c r="BN638">
        <f t="shared" si="507"/>
        <v>-97.797920772294944</v>
      </c>
      <c r="BQ638" s="75">
        <f t="shared" si="520"/>
        <v>14.110505055790675</v>
      </c>
    </row>
    <row r="639" spans="1:69">
      <c r="A639">
        <f t="shared" si="563"/>
        <v>6300000</v>
      </c>
      <c r="B639">
        <f t="shared" si="508"/>
        <v>6300</v>
      </c>
      <c r="C639">
        <f t="shared" si="539"/>
        <v>7.4302366543565208</v>
      </c>
      <c r="D639">
        <f t="shared" si="540"/>
        <v>1.435801469270841</v>
      </c>
      <c r="F639">
        <f t="shared" si="541"/>
        <v>1.123836568693688E-5</v>
      </c>
      <c r="G639">
        <f t="shared" si="542"/>
        <v>1.0292115410378657E-3</v>
      </c>
      <c r="H639">
        <f t="shared" si="481"/>
        <v>-3.1405634384589622</v>
      </c>
      <c r="J639">
        <f t="shared" si="482"/>
        <v>9</v>
      </c>
      <c r="M639">
        <f t="shared" si="543"/>
        <v>6.6995569663023122E-4</v>
      </c>
      <c r="N639">
        <f t="shared" si="484"/>
        <v>-1.5707963250000001</v>
      </c>
      <c r="O639">
        <f t="shared" si="544"/>
        <v>810.20730846476079</v>
      </c>
      <c r="P639">
        <f t="shared" si="486"/>
        <v>1.569562074470277</v>
      </c>
      <c r="Q639">
        <f t="shared" si="545"/>
        <v>330.81545861520368</v>
      </c>
      <c r="R639">
        <f t="shared" si="488"/>
        <v>1.5677734888443591</v>
      </c>
      <c r="S639">
        <f t="shared" si="546"/>
        <v>0.22927491377567361</v>
      </c>
      <c r="T639">
        <f t="shared" si="490"/>
        <v>-1.3394636392525874</v>
      </c>
      <c r="U639">
        <f t="shared" si="547"/>
        <v>0.1494116523115393</v>
      </c>
      <c r="V639">
        <f t="shared" si="492"/>
        <v>-1.4208231076232041</v>
      </c>
      <c r="X639">
        <f t="shared" si="548"/>
        <v>-46.701652824234074</v>
      </c>
      <c r="Y639">
        <f t="shared" si="549"/>
        <v>-166.07236014346725</v>
      </c>
      <c r="Z639">
        <f t="shared" si="510"/>
        <v>13.92763985653275</v>
      </c>
      <c r="AC639">
        <v>1</v>
      </c>
      <c r="AD639">
        <f t="shared" si="550"/>
        <v>810.20669133852016</v>
      </c>
      <c r="AE639">
        <f t="shared" si="551"/>
        <v>-0.17959914711072827</v>
      </c>
      <c r="AF639">
        <f t="shared" si="552"/>
        <v>2.7138836602584003E-2</v>
      </c>
      <c r="AG639">
        <f t="shared" si="553"/>
        <v>661.01549541972395</v>
      </c>
      <c r="AH639">
        <f t="shared" si="554"/>
        <v>-4411.3099230259231</v>
      </c>
      <c r="AJ639">
        <f t="shared" si="497"/>
        <v>55000</v>
      </c>
      <c r="AK639">
        <f t="shared" si="555"/>
        <v>233496.51751676251</v>
      </c>
      <c r="AL639">
        <v>14</v>
      </c>
      <c r="AM639">
        <f t="shared" si="556"/>
        <v>330.8139471950775</v>
      </c>
      <c r="AN639">
        <f t="shared" si="557"/>
        <v>711.58581086299648</v>
      </c>
      <c r="AO639">
        <f t="shared" si="558"/>
        <v>-136.14238163108564</v>
      </c>
      <c r="AQ639">
        <f t="shared" si="559"/>
        <v>2.8685306646848854E-4</v>
      </c>
      <c r="AR639">
        <f t="shared" si="560"/>
        <v>-0.95238086598202865</v>
      </c>
      <c r="AT639">
        <f t="shared" si="561"/>
        <v>-4201.0575502847005</v>
      </c>
      <c r="AU639">
        <f t="shared" si="562"/>
        <v>-630.80390773393924</v>
      </c>
      <c r="AV639">
        <f t="shared" si="511"/>
        <v>-2.9925524910047123</v>
      </c>
      <c r="AW639">
        <f t="shared" si="512"/>
        <v>1218.8820427171074</v>
      </c>
      <c r="AX639">
        <f t="shared" si="513"/>
        <v>-5826.9635622315209</v>
      </c>
      <c r="AY639">
        <f t="shared" si="521"/>
        <v>-1.3645899882922048</v>
      </c>
      <c r="BA639">
        <f t="shared" si="502"/>
        <v>0.7136056192983985</v>
      </c>
      <c r="BB639">
        <f t="shared" si="514"/>
        <v>-2.9308347751981403</v>
      </c>
      <c r="BC639">
        <f t="shared" si="515"/>
        <v>-1.6279625027125075</v>
      </c>
      <c r="BD639">
        <f t="shared" si="503"/>
        <v>-273.27538071756419</v>
      </c>
      <c r="BF639">
        <f t="shared" si="504"/>
        <v>-65.41186846837148</v>
      </c>
      <c r="BG639">
        <f t="shared" si="505"/>
        <v>-190.95104673806551</v>
      </c>
      <c r="BH639">
        <f t="shared" si="516"/>
        <v>-10.951046738065514</v>
      </c>
      <c r="BI639">
        <f t="shared" si="517"/>
        <v>-10.951046738065514</v>
      </c>
      <c r="BJ639">
        <f t="shared" si="506"/>
        <v>0</v>
      </c>
      <c r="BK639">
        <f t="shared" si="518"/>
        <v>0</v>
      </c>
      <c r="BM639">
        <f t="shared" si="519"/>
        <v>-62.481033693173345</v>
      </c>
      <c r="BN639">
        <f t="shared" si="507"/>
        <v>-97.675666020501353</v>
      </c>
      <c r="BQ639" s="75">
        <f t="shared" si="520"/>
        <v>13.971126025086997</v>
      </c>
    </row>
    <row r="640" spans="1:69">
      <c r="A640">
        <f t="shared" si="563"/>
        <v>6400000</v>
      </c>
      <c r="B640">
        <f t="shared" si="508"/>
        <v>6400</v>
      </c>
      <c r="C640">
        <f t="shared" si="539"/>
        <v>7.546057037406249</v>
      </c>
      <c r="D640">
        <f t="shared" si="540"/>
        <v>1.4378858180712315</v>
      </c>
      <c r="F640">
        <f t="shared" si="541"/>
        <v>1.0889906879636227E-5</v>
      </c>
      <c r="G640">
        <f t="shared" si="542"/>
        <v>1.0131297682684625E-3</v>
      </c>
      <c r="H640">
        <f t="shared" si="481"/>
        <v>-3.1405795202317317</v>
      </c>
      <c r="J640">
        <f t="shared" si="482"/>
        <v>9</v>
      </c>
      <c r="M640">
        <f t="shared" si="543"/>
        <v>6.5948763887038395E-4</v>
      </c>
      <c r="N640">
        <f t="shared" si="484"/>
        <v>-1.5707963250000001</v>
      </c>
      <c r="O640">
        <f t="shared" si="544"/>
        <v>823.06772249421056</v>
      </c>
      <c r="P640">
        <f t="shared" si="486"/>
        <v>1.56958135964372</v>
      </c>
      <c r="Q640">
        <f t="shared" si="545"/>
        <v>336.0664500342121</v>
      </c>
      <c r="R640">
        <f t="shared" si="488"/>
        <v>1.5678207204063228</v>
      </c>
      <c r="S640">
        <f t="shared" si="546"/>
        <v>0.22587664474489255</v>
      </c>
      <c r="T640">
        <f t="shared" si="490"/>
        <v>-1.3429534824736313</v>
      </c>
      <c r="U640">
        <f t="shared" si="547"/>
        <v>0.14712802285284268</v>
      </c>
      <c r="V640">
        <f t="shared" si="492"/>
        <v>-1.4231322608263961</v>
      </c>
      <c r="X640">
        <f t="shared" si="548"/>
        <v>-46.96758250606117</v>
      </c>
      <c r="Y640">
        <f t="shared" si="549"/>
        <v>-166.28230406443279</v>
      </c>
      <c r="Z640">
        <f t="shared" si="510"/>
        <v>13.717695935567207</v>
      </c>
      <c r="AC640">
        <v>1</v>
      </c>
      <c r="AD640">
        <f t="shared" si="550"/>
        <v>823.06711501056009</v>
      </c>
      <c r="AE640">
        <f t="shared" si="551"/>
        <v>-0.18534595781444776</v>
      </c>
      <c r="AF640">
        <f t="shared" si="552"/>
        <v>2.7569611786752001E-2</v>
      </c>
      <c r="AG640">
        <f t="shared" si="553"/>
        <v>640.96379777249319</v>
      </c>
      <c r="AH640">
        <f t="shared" si="554"/>
        <v>-4345.3658306533052</v>
      </c>
      <c r="AJ640">
        <f t="shared" si="497"/>
        <v>55000</v>
      </c>
      <c r="AK640">
        <f t="shared" si="555"/>
        <v>237202.8114456</v>
      </c>
      <c r="AL640">
        <v>15</v>
      </c>
      <c r="AM640">
        <f t="shared" si="556"/>
        <v>336.06496222992007</v>
      </c>
      <c r="AN640">
        <f t="shared" si="557"/>
        <v>711.71118877465369</v>
      </c>
      <c r="AO640">
        <f t="shared" si="558"/>
        <v>-131.89215523769934</v>
      </c>
      <c r="AQ640">
        <f t="shared" si="559"/>
        <v>2.7795894141012647E-4</v>
      </c>
      <c r="AR640">
        <f t="shared" si="560"/>
        <v>-0.9374999175880746</v>
      </c>
      <c r="AT640">
        <f t="shared" si="561"/>
        <v>-4073.6019465087979</v>
      </c>
      <c r="AU640">
        <f t="shared" si="562"/>
        <v>-602.11134087497976</v>
      </c>
      <c r="AV640">
        <f t="shared" si="511"/>
        <v>-2.9948470652175896</v>
      </c>
      <c r="AW640">
        <f t="shared" si="512"/>
        <v>1207.4308334276179</v>
      </c>
      <c r="AX640">
        <f t="shared" si="513"/>
        <v>-5736.6353122549481</v>
      </c>
      <c r="AY640">
        <f t="shared" si="521"/>
        <v>-1.3633471495713916</v>
      </c>
      <c r="BA640">
        <f t="shared" si="502"/>
        <v>0.70242758960854113</v>
      </c>
      <c r="BB640">
        <f t="shared" si="514"/>
        <v>-3.0679687751987483</v>
      </c>
      <c r="BC640">
        <f t="shared" si="515"/>
        <v>-1.631499915646198</v>
      </c>
      <c r="BD640">
        <f t="shared" si="503"/>
        <v>-273.47805954929123</v>
      </c>
      <c r="BF640">
        <f t="shared" si="504"/>
        <v>-65.688233594176381</v>
      </c>
      <c r="BG640">
        <f t="shared" si="505"/>
        <v>-191.0352225980684</v>
      </c>
      <c r="BH640">
        <f t="shared" si="516"/>
        <v>-11.035222598068401</v>
      </c>
      <c r="BI640">
        <f t="shared" si="517"/>
        <v>-11.035222598068401</v>
      </c>
      <c r="BJ640">
        <f t="shared" si="506"/>
        <v>0</v>
      </c>
      <c r="BK640">
        <f t="shared" si="518"/>
        <v>0</v>
      </c>
      <c r="BM640">
        <f t="shared" si="519"/>
        <v>-62.620264818977638</v>
      </c>
      <c r="BN640">
        <f t="shared" si="507"/>
        <v>-97.557163048777198</v>
      </c>
      <c r="BQ640" s="75">
        <f t="shared" si="520"/>
        <v>13.833992025086388</v>
      </c>
    </row>
    <row r="641" spans="1:69">
      <c r="A641">
        <f t="shared" si="563"/>
        <v>6500000</v>
      </c>
      <c r="B641">
        <f t="shared" si="508"/>
        <v>6500</v>
      </c>
      <c r="C641">
        <f t="shared" si="539"/>
        <v>7.6619092131452424</v>
      </c>
      <c r="D641">
        <f t="shared" si="540"/>
        <v>1.4399071424903005</v>
      </c>
      <c r="F641">
        <f t="shared" si="541"/>
        <v>1.0557406964693879E-5</v>
      </c>
      <c r="G641">
        <f t="shared" si="542"/>
        <v>9.9754283471856675E-4</v>
      </c>
      <c r="H641">
        <f t="shared" si="481"/>
        <v>-3.1405951071652818</v>
      </c>
      <c r="J641">
        <f t="shared" si="482"/>
        <v>9</v>
      </c>
      <c r="M641">
        <f t="shared" si="543"/>
        <v>6.4934167519545489E-4</v>
      </c>
      <c r="N641">
        <f t="shared" si="484"/>
        <v>-1.5707963250000001</v>
      </c>
      <c r="O641">
        <f t="shared" si="544"/>
        <v>835.92813682035489</v>
      </c>
      <c r="P641">
        <f t="shared" si="486"/>
        <v>1.5696000514280735</v>
      </c>
      <c r="Q641">
        <f t="shared" si="545"/>
        <v>341.31744217985681</v>
      </c>
      <c r="R641">
        <f t="shared" si="488"/>
        <v>1.5678664987021287</v>
      </c>
      <c r="S641">
        <f t="shared" si="546"/>
        <v>0.22257504829980271</v>
      </c>
      <c r="T641">
        <f t="shared" si="490"/>
        <v>-1.3463413451921895</v>
      </c>
      <c r="U641">
        <f t="shared" si="547"/>
        <v>0.14491241101994728</v>
      </c>
      <c r="V641">
        <f t="shared" si="492"/>
        <v>-1.4253718782542979</v>
      </c>
      <c r="X641">
        <f t="shared" si="548"/>
        <v>-47.229609287841654</v>
      </c>
      <c r="Y641">
        <f t="shared" si="549"/>
        <v>-166.48612077012208</v>
      </c>
      <c r="Z641">
        <f t="shared" si="510"/>
        <v>13.513879229877915</v>
      </c>
      <c r="AC641">
        <v>1</v>
      </c>
      <c r="AD641">
        <f t="shared" si="550"/>
        <v>835.92753868260002</v>
      </c>
      <c r="AE641">
        <f t="shared" si="551"/>
        <v>-0.19118326947413128</v>
      </c>
      <c r="AF641">
        <f t="shared" si="552"/>
        <v>2.8000386970920003E-2</v>
      </c>
      <c r="AG641">
        <f t="shared" si="553"/>
        <v>621.8045098457776</v>
      </c>
      <c r="AH641">
        <f t="shared" si="554"/>
        <v>-4281.3200864179562</v>
      </c>
      <c r="AJ641">
        <f t="shared" si="497"/>
        <v>55000</v>
      </c>
      <c r="AK641">
        <f t="shared" si="555"/>
        <v>240909.10537443752</v>
      </c>
      <c r="AL641">
        <v>16</v>
      </c>
      <c r="AM641">
        <f t="shared" si="556"/>
        <v>341.31597726476252</v>
      </c>
      <c r="AN641">
        <f t="shared" si="557"/>
        <v>711.81394967478093</v>
      </c>
      <c r="AO641">
        <f t="shared" si="558"/>
        <v>-127.77303059380077</v>
      </c>
      <c r="AQ641">
        <f t="shared" si="559"/>
        <v>2.6947214841932792E-4</v>
      </c>
      <c r="AR641">
        <f t="shared" si="560"/>
        <v>-0.92307684441040772</v>
      </c>
      <c r="AT641">
        <f t="shared" si="561"/>
        <v>-3951.8198762844158</v>
      </c>
      <c r="AU641">
        <f t="shared" si="562"/>
        <v>-575.12704131035855</v>
      </c>
      <c r="AV641">
        <f t="shared" si="511"/>
        <v>-2.9970725522386443</v>
      </c>
      <c r="AW641">
        <f t="shared" si="512"/>
        <v>1196.4043438076735</v>
      </c>
      <c r="AX641">
        <f t="shared" si="513"/>
        <v>-5648.9368931897279</v>
      </c>
      <c r="AY641">
        <f t="shared" si="521"/>
        <v>-1.3620876454183288</v>
      </c>
      <c r="BA641">
        <f t="shared" si="502"/>
        <v>0.69159744740454665</v>
      </c>
      <c r="BB641">
        <f t="shared" si="514"/>
        <v>-3.2029323663823623</v>
      </c>
      <c r="BC641">
        <f t="shared" si="515"/>
        <v>-1.6349849068203155</v>
      </c>
      <c r="BD641">
        <f t="shared" si="503"/>
        <v>-273.67773483543669</v>
      </c>
      <c r="BF641">
        <f t="shared" si="504"/>
        <v>-65.960196884773211</v>
      </c>
      <c r="BG641">
        <f t="shared" si="505"/>
        <v>-191.11997759135113</v>
      </c>
      <c r="BH641">
        <f t="shared" si="516"/>
        <v>-11.11997759135113</v>
      </c>
      <c r="BI641">
        <f t="shared" si="517"/>
        <v>-11.11997759135113</v>
      </c>
      <c r="BJ641">
        <f t="shared" si="506"/>
        <v>0</v>
      </c>
      <c r="BK641">
        <f t="shared" si="518"/>
        <v>0</v>
      </c>
      <c r="BM641">
        <f t="shared" si="519"/>
        <v>-62.757264518390841</v>
      </c>
      <c r="BN641">
        <f t="shared" si="507"/>
        <v>-97.44224275591445</v>
      </c>
      <c r="BQ641" s="75">
        <f t="shared" si="520"/>
        <v>13.699028433902773</v>
      </c>
    </row>
    <row r="642" spans="1:69">
      <c r="A642">
        <f t="shared" si="563"/>
        <v>6600000</v>
      </c>
      <c r="B642">
        <f t="shared" si="508"/>
        <v>6600</v>
      </c>
      <c r="C642">
        <f t="shared" si="539"/>
        <v>7.7777917608931846</v>
      </c>
      <c r="D642">
        <f t="shared" si="540"/>
        <v>1.4418682426607083</v>
      </c>
      <c r="F642">
        <f t="shared" si="541"/>
        <v>1.0239906086115783E-5</v>
      </c>
      <c r="G642">
        <f t="shared" si="542"/>
        <v>9.8242824678168757E-4</v>
      </c>
      <c r="H642">
        <f t="shared" si="481"/>
        <v>-3.1406102217532186</v>
      </c>
      <c r="J642">
        <f t="shared" si="482"/>
        <v>9</v>
      </c>
      <c r="M642">
        <f t="shared" si="543"/>
        <v>6.3950316496522077E-4</v>
      </c>
      <c r="N642">
        <f t="shared" si="484"/>
        <v>-1.5707963250000001</v>
      </c>
      <c r="O642">
        <f t="shared" si="544"/>
        <v>848.78855142970804</v>
      </c>
      <c r="P642">
        <f t="shared" si="486"/>
        <v>1.569618176795518</v>
      </c>
      <c r="Q642">
        <f t="shared" si="545"/>
        <v>346.56843501910919</v>
      </c>
      <c r="R642">
        <f t="shared" si="488"/>
        <v>1.5679108897885787</v>
      </c>
      <c r="S642">
        <f t="shared" si="546"/>
        <v>0.21936616901398207</v>
      </c>
      <c r="T642">
        <f t="shared" si="490"/>
        <v>-1.3496315586880649</v>
      </c>
      <c r="U642">
        <f t="shared" si="547"/>
        <v>0.14276185480789574</v>
      </c>
      <c r="V642">
        <f t="shared" si="492"/>
        <v>-1.4275450327373045</v>
      </c>
      <c r="X642">
        <f t="shared" si="548"/>
        <v>-47.487843128535857</v>
      </c>
      <c r="Y642">
        <f t="shared" si="549"/>
        <v>-166.68407000763796</v>
      </c>
      <c r="Z642">
        <f t="shared" si="510"/>
        <v>13.315929992362044</v>
      </c>
      <c r="AC642">
        <v>1</v>
      </c>
      <c r="AD642">
        <f t="shared" si="550"/>
        <v>848.78796235464017</v>
      </c>
      <c r="AE642">
        <f t="shared" si="551"/>
        <v>-0.19711108208977893</v>
      </c>
      <c r="AF642">
        <f t="shared" si="552"/>
        <v>2.8431162155088001E-2</v>
      </c>
      <c r="AG642">
        <f t="shared" si="553"/>
        <v>603.48581554114742</v>
      </c>
      <c r="AH642">
        <f t="shared" si="554"/>
        <v>-4219.0938756853284</v>
      </c>
      <c r="AJ642">
        <f t="shared" si="497"/>
        <v>55000</v>
      </c>
      <c r="AK642">
        <f t="shared" si="555"/>
        <v>244615.39930327501</v>
      </c>
      <c r="AL642">
        <v>17</v>
      </c>
      <c r="AM642">
        <f t="shared" si="556"/>
        <v>346.56699229960503</v>
      </c>
      <c r="AN642">
        <f t="shared" si="557"/>
        <v>711.89596924777459</v>
      </c>
      <c r="AO642">
        <f t="shared" si="558"/>
        <v>-123.77915230225668</v>
      </c>
      <c r="AQ642">
        <f t="shared" si="559"/>
        <v>2.6136818870284626E-4</v>
      </c>
      <c r="AR642">
        <f t="shared" si="560"/>
        <v>-0.90909083394623991</v>
      </c>
      <c r="AT642">
        <f t="shared" si="561"/>
        <v>-3835.3818379497329</v>
      </c>
      <c r="AU642">
        <f t="shared" si="562"/>
        <v>-549.72616024928357</v>
      </c>
      <c r="AV642">
        <f t="shared" si="511"/>
        <v>-2.9992320045081633</v>
      </c>
      <c r="AW642">
        <f t="shared" si="512"/>
        <v>1185.780965788264</v>
      </c>
      <c r="AX642">
        <f t="shared" si="513"/>
        <v>-5563.7582546175372</v>
      </c>
      <c r="AY642">
        <f t="shared" si="521"/>
        <v>-1.3608121556573818</v>
      </c>
      <c r="BA642">
        <f t="shared" si="502"/>
        <v>0.68109889504499888</v>
      </c>
      <c r="BB642">
        <f t="shared" si="514"/>
        <v>-3.33579648556054</v>
      </c>
      <c r="BC642">
        <f t="shared" si="515"/>
        <v>-1.6384198488507815</v>
      </c>
      <c r="BD642">
        <f t="shared" si="503"/>
        <v>-273.87454251687933</v>
      </c>
      <c r="BF642">
        <f t="shared" si="504"/>
        <v>-66.22790059781957</v>
      </c>
      <c r="BG642">
        <f t="shared" si="505"/>
        <v>-191.20528851179751</v>
      </c>
      <c r="BH642">
        <f t="shared" si="516"/>
        <v>-11.205288511797505</v>
      </c>
      <c r="BI642">
        <f t="shared" si="517"/>
        <v>-11.205288511797505</v>
      </c>
      <c r="BJ642">
        <f t="shared" si="506"/>
        <v>0</v>
      </c>
      <c r="BK642">
        <f t="shared" si="518"/>
        <v>0</v>
      </c>
      <c r="BM642">
        <f t="shared" si="519"/>
        <v>-62.892104112259027</v>
      </c>
      <c r="BN642">
        <f t="shared" si="507"/>
        <v>-97.330745994918161</v>
      </c>
      <c r="BQ642" s="75">
        <f t="shared" si="520"/>
        <v>13.566164314724599</v>
      </c>
    </row>
    <row r="643" spans="1:69">
      <c r="A643">
        <f t="shared" si="563"/>
        <v>6700000</v>
      </c>
      <c r="B643">
        <f t="shared" si="508"/>
        <v>6700</v>
      </c>
      <c r="C643">
        <f t="shared" si="539"/>
        <v>7.8937033430324863</v>
      </c>
      <c r="D643">
        <f t="shared" si="540"/>
        <v>1.4437717561642252</v>
      </c>
      <c r="F643">
        <f t="shared" si="541"/>
        <v>9.9365154816273619E-6</v>
      </c>
      <c r="G643">
        <f t="shared" si="542"/>
        <v>9.6776485381995373E-4</v>
      </c>
      <c r="H643">
        <f t="shared" si="481"/>
        <v>-3.1406248851461802</v>
      </c>
      <c r="J643">
        <f t="shared" si="482"/>
        <v>9</v>
      </c>
      <c r="M643">
        <f t="shared" si="543"/>
        <v>6.2995834160753091E-4</v>
      </c>
      <c r="N643">
        <f t="shared" si="484"/>
        <v>-1.5707963250000001</v>
      </c>
      <c r="O643">
        <f t="shared" si="544"/>
        <v>861.64896630958879</v>
      </c>
      <c r="P643">
        <f t="shared" si="486"/>
        <v>1.5696357611079574</v>
      </c>
      <c r="Q643">
        <f t="shared" si="545"/>
        <v>351.81942852091242</v>
      </c>
      <c r="R643">
        <f t="shared" si="488"/>
        <v>1.56795395577884</v>
      </c>
      <c r="S643">
        <f t="shared" si="546"/>
        <v>0.21624625790018423</v>
      </c>
      <c r="T643">
        <f t="shared" si="490"/>
        <v>-1.3528282165778185</v>
      </c>
      <c r="U643">
        <f t="shared" si="547"/>
        <v>0.14067355987251171</v>
      </c>
      <c r="V643">
        <f t="shared" si="492"/>
        <v>-1.4296546199096853</v>
      </c>
      <c r="X643">
        <f t="shared" si="548"/>
        <v>-47.742389525219615</v>
      </c>
      <c r="Y643">
        <f t="shared" si="549"/>
        <v>-166.87639730914159</v>
      </c>
      <c r="Z643">
        <f t="shared" si="510"/>
        <v>13.123602690858405</v>
      </c>
      <c r="AC643">
        <v>1</v>
      </c>
      <c r="AD643">
        <f t="shared" si="550"/>
        <v>861.6483860266801</v>
      </c>
      <c r="AE643">
        <f t="shared" si="551"/>
        <v>-0.20312939566139063</v>
      </c>
      <c r="AF643">
        <f t="shared" si="552"/>
        <v>2.8861937339256002E-2</v>
      </c>
      <c r="AG643">
        <f t="shared" si="553"/>
        <v>585.95957968215885</v>
      </c>
      <c r="AH643">
        <f t="shared" si="554"/>
        <v>-4158.6125661630085</v>
      </c>
      <c r="AJ643">
        <f t="shared" si="497"/>
        <v>55000</v>
      </c>
      <c r="AK643">
        <f t="shared" si="555"/>
        <v>248321.69323211251</v>
      </c>
      <c r="AL643">
        <v>18</v>
      </c>
      <c r="AM643">
        <f t="shared" si="556"/>
        <v>351.81800733444754</v>
      </c>
      <c r="AN643">
        <f t="shared" si="557"/>
        <v>711.9589618403844</v>
      </c>
      <c r="AO643">
        <f t="shared" si="558"/>
        <v>-119.90500147074945</v>
      </c>
      <c r="AQ643">
        <f t="shared" si="559"/>
        <v>2.5362437798571167E-4</v>
      </c>
      <c r="AR643">
        <f t="shared" si="560"/>
        <v>-0.89552231622974943</v>
      </c>
      <c r="AT643">
        <f t="shared" si="561"/>
        <v>-3723.9817439185176</v>
      </c>
      <c r="AU643">
        <f t="shared" si="562"/>
        <v>-525.79460553935394</v>
      </c>
      <c r="AV643">
        <f t="shared" si="511"/>
        <v>-3.0013282984876257</v>
      </c>
      <c r="AW643">
        <f t="shared" si="512"/>
        <v>1175.5404609127936</v>
      </c>
      <c r="AX643">
        <f t="shared" si="513"/>
        <v>-5480.9952068156417</v>
      </c>
      <c r="AY643">
        <f t="shared" si="521"/>
        <v>-1.3595213248520308</v>
      </c>
      <c r="BA643">
        <f t="shared" si="502"/>
        <v>0.67091664823822805</v>
      </c>
      <c r="BB643">
        <f t="shared" si="514"/>
        <v>-3.4666286266862523</v>
      </c>
      <c r="BC643">
        <f t="shared" si="515"/>
        <v>-1.6418069736355949</v>
      </c>
      <c r="BD643">
        <f t="shared" si="503"/>
        <v>-274.06861047195503</v>
      </c>
      <c r="BF643">
        <f t="shared" si="504"/>
        <v>-66.49148014845035</v>
      </c>
      <c r="BG643">
        <f t="shared" si="505"/>
        <v>-191.29113332728193</v>
      </c>
      <c r="BH643">
        <f t="shared" si="516"/>
        <v>-11.291133327281926</v>
      </c>
      <c r="BI643">
        <f t="shared" si="517"/>
        <v>-11.291133327281926</v>
      </c>
      <c r="BJ643">
        <f t="shared" si="506"/>
        <v>0</v>
      </c>
      <c r="BK643">
        <f t="shared" si="518"/>
        <v>0</v>
      </c>
      <c r="BM643">
        <f t="shared" si="519"/>
        <v>-63.024851521764091</v>
      </c>
      <c r="BN643">
        <f t="shared" si="507"/>
        <v>-97.222522855326858</v>
      </c>
      <c r="BQ643" s="75">
        <f t="shared" si="520"/>
        <v>13.435332173598884</v>
      </c>
    </row>
    <row r="644" spans="1:69">
      <c r="A644">
        <f t="shared" si="563"/>
        <v>6800000</v>
      </c>
      <c r="B644">
        <f t="shared" si="508"/>
        <v>6800</v>
      </c>
      <c r="C644">
        <f t="shared" si="539"/>
        <v>8.00964269904925</v>
      </c>
      <c r="D644">
        <f t="shared" si="540"/>
        <v>1.4456201695942081</v>
      </c>
      <c r="F644">
        <f t="shared" si="541"/>
        <v>9.646411256158406E-6</v>
      </c>
      <c r="G644">
        <f t="shared" si="542"/>
        <v>9.5353274941065863E-4</v>
      </c>
      <c r="H644">
        <f t="shared" si="481"/>
        <v>-3.1406391172505894</v>
      </c>
      <c r="J644">
        <f t="shared" si="482"/>
        <v>9</v>
      </c>
      <c r="M644">
        <f t="shared" si="543"/>
        <v>6.2069424834859666E-4</v>
      </c>
      <c r="N644">
        <f t="shared" si="484"/>
        <v>-1.5707963250000001</v>
      </c>
      <c r="O644">
        <f t="shared" si="544"/>
        <v>874.50938144806219</v>
      </c>
      <c r="P644">
        <f t="shared" si="486"/>
        <v>1.5696528282354236</v>
      </c>
      <c r="Q644">
        <f t="shared" si="545"/>
        <v>357.0704226560365</v>
      </c>
      <c r="R644">
        <f t="shared" si="488"/>
        <v>1.5679957551324133</v>
      </c>
      <c r="S644">
        <f t="shared" si="546"/>
        <v>0.21321175958121871</v>
      </c>
      <c r="T644">
        <f t="shared" si="490"/>
        <v>-1.355935190603478</v>
      </c>
      <c r="U644">
        <f t="shared" si="547"/>
        <v>0.13864488796654614</v>
      </c>
      <c r="V644">
        <f t="shared" si="492"/>
        <v>-1.4317033707138267</v>
      </c>
      <c r="X644">
        <f t="shared" si="548"/>
        <v>-47.993349744799644</v>
      </c>
      <c r="Y644">
        <f t="shared" si="549"/>
        <v>-167.06333493269815</v>
      </c>
      <c r="Z644">
        <f t="shared" si="510"/>
        <v>12.936665067301846</v>
      </c>
      <c r="AC644">
        <v>1</v>
      </c>
      <c r="AD644">
        <f t="shared" si="550"/>
        <v>874.50880969872003</v>
      </c>
      <c r="AE644">
        <f t="shared" si="551"/>
        <v>-0.20923821018896643</v>
      </c>
      <c r="AF644">
        <f t="shared" si="552"/>
        <v>2.9292712523424001E-2</v>
      </c>
      <c r="AG644">
        <f t="shared" si="553"/>
        <v>569.18104082132663</v>
      </c>
      <c r="AH644">
        <f t="shared" si="554"/>
        <v>-4099.805443381646</v>
      </c>
      <c r="AJ644">
        <f t="shared" si="497"/>
        <v>55000</v>
      </c>
      <c r="AK644">
        <f t="shared" si="555"/>
        <v>252027.98716095003</v>
      </c>
      <c r="AL644">
        <v>19</v>
      </c>
      <c r="AM644">
        <f t="shared" si="556"/>
        <v>357.06902236929005</v>
      </c>
      <c r="AN644">
        <f t="shared" si="557"/>
        <v>712.00449579700921</v>
      </c>
      <c r="AO644">
        <f t="shared" si="558"/>
        <v>-116.14537241196325</v>
      </c>
      <c r="AQ644">
        <f t="shared" si="559"/>
        <v>2.4621968759602433E-4</v>
      </c>
      <c r="AR644">
        <f t="shared" si="560"/>
        <v>-0.88235287246911276</v>
      </c>
      <c r="AT644">
        <f t="shared" si="561"/>
        <v>-3617.3349659542432</v>
      </c>
      <c r="AU644">
        <f t="shared" si="562"/>
        <v>-503.22797913913081</v>
      </c>
      <c r="AV644">
        <f t="shared" si="511"/>
        <v>-3.0033641470744348</v>
      </c>
      <c r="AW644">
        <f t="shared" si="512"/>
        <v>1165.6638578434902</v>
      </c>
      <c r="AX644">
        <f t="shared" si="513"/>
        <v>-5400.5490511165553</v>
      </c>
      <c r="AY644">
        <f t="shared" si="521"/>
        <v>-1.3582157645957542</v>
      </c>
      <c r="BA644">
        <f t="shared" si="502"/>
        <v>0.66103635775524938</v>
      </c>
      <c r="BB644">
        <f t="shared" si="514"/>
        <v>-3.595493063290585</v>
      </c>
      <c r="BC644">
        <f t="shared" si="515"/>
        <v>-1.6451483824786806</v>
      </c>
      <c r="BD644">
        <f t="shared" si="503"/>
        <v>-274.2600590965103</v>
      </c>
      <c r="BF644">
        <f t="shared" si="504"/>
        <v>-66.751064545945468</v>
      </c>
      <c r="BG644">
        <f t="shared" si="505"/>
        <v>-191.3774911029</v>
      </c>
      <c r="BH644">
        <f t="shared" si="516"/>
        <v>-11.377491102899995</v>
      </c>
      <c r="BI644">
        <f t="shared" si="517"/>
        <v>-11.377491102899995</v>
      </c>
      <c r="BJ644">
        <f t="shared" si="506"/>
        <v>0</v>
      </c>
      <c r="BK644">
        <f t="shared" si="518"/>
        <v>0</v>
      </c>
      <c r="BM644">
        <f t="shared" si="519"/>
        <v>-63.155571482654892</v>
      </c>
      <c r="BN644">
        <f t="shared" si="507"/>
        <v>-97.117432006389691</v>
      </c>
      <c r="BQ644" s="75">
        <f t="shared" si="520"/>
        <v>13.306467736994552</v>
      </c>
    </row>
    <row r="645" spans="1:69">
      <c r="A645">
        <f t="shared" si="563"/>
        <v>6900000</v>
      </c>
      <c r="B645">
        <f t="shared" si="508"/>
        <v>6900</v>
      </c>
      <c r="C645">
        <f t="shared" si="539"/>
        <v>8.1256086400779903</v>
      </c>
      <c r="D645">
        <f t="shared" si="540"/>
        <v>1.4474158291503563</v>
      </c>
      <c r="F645">
        <f t="shared" si="541"/>
        <v>9.3688287823833413E-6</v>
      </c>
      <c r="G645">
        <f t="shared" si="542"/>
        <v>9.3971318118063832E-4</v>
      </c>
      <c r="H645">
        <f t="shared" si="481"/>
        <v>-3.1406529368188196</v>
      </c>
      <c r="J645">
        <f t="shared" si="482"/>
        <v>9</v>
      </c>
      <c r="M645">
        <f t="shared" si="543"/>
        <v>6.1169867953195028E-4</v>
      </c>
      <c r="N645">
        <f t="shared" si="484"/>
        <v>-1.5707963250000001</v>
      </c>
      <c r="O645">
        <f t="shared" si="544"/>
        <v>887.36979683388518</v>
      </c>
      <c r="P645">
        <f t="shared" si="486"/>
        <v>1.5696694006641805</v>
      </c>
      <c r="Q645">
        <f t="shared" si="545"/>
        <v>362.321417396946</v>
      </c>
      <c r="R645">
        <f t="shared" si="488"/>
        <v>1.5680363429198867</v>
      </c>
      <c r="S645">
        <f t="shared" si="546"/>
        <v>0.21025930036518012</v>
      </c>
      <c r="T645">
        <f t="shared" si="490"/>
        <v>-1.3589561452032906</v>
      </c>
      <c r="U645">
        <f t="shared" si="547"/>
        <v>0.13667334630851341</v>
      </c>
      <c r="V645">
        <f t="shared" si="492"/>
        <v>-1.4336938628676188</v>
      </c>
      <c r="X645">
        <f t="shared" si="548"/>
        <v>-48.240821041305331</v>
      </c>
      <c r="Y645">
        <f t="shared" si="549"/>
        <v>-167.24510273092054</v>
      </c>
      <c r="Z645">
        <f t="shared" si="510"/>
        <v>12.754897269079464</v>
      </c>
      <c r="AC645">
        <v>1</v>
      </c>
      <c r="AD645">
        <f t="shared" si="550"/>
        <v>887.36923337076018</v>
      </c>
      <c r="AE645">
        <f t="shared" si="551"/>
        <v>-0.21543752567250626</v>
      </c>
      <c r="AF645">
        <f t="shared" si="552"/>
        <v>2.9723487707591999E-2</v>
      </c>
      <c r="AG645">
        <f t="shared" si="553"/>
        <v>553.10853333315583</v>
      </c>
      <c r="AH645">
        <f t="shared" si="554"/>
        <v>-4042.6054651370064</v>
      </c>
      <c r="AJ645">
        <f t="shared" si="497"/>
        <v>55000</v>
      </c>
      <c r="AK645">
        <f t="shared" si="555"/>
        <v>255734.28108978752</v>
      </c>
      <c r="AL645">
        <v>20</v>
      </c>
      <c r="AM645">
        <f t="shared" si="556"/>
        <v>362.32003740413251</v>
      </c>
      <c r="AN645">
        <f t="shared" si="557"/>
        <v>712.03400717839406</v>
      </c>
      <c r="AO645">
        <f t="shared" si="558"/>
        <v>-112.49535120512559</v>
      </c>
      <c r="AQ645">
        <f t="shared" si="559"/>
        <v>2.3913460155326513E-4</v>
      </c>
      <c r="AR645">
        <f t="shared" si="560"/>
        <v>-0.86956515162813797</v>
      </c>
      <c r="AT645">
        <f t="shared" si="561"/>
        <v>-3515.1765668758658</v>
      </c>
      <c r="AU645">
        <f t="shared" si="562"/>
        <v>-481.93063250180523</v>
      </c>
      <c r="AV645">
        <f t="shared" si="511"/>
        <v>-3.0053421109875802</v>
      </c>
      <c r="AW645">
        <f t="shared" si="512"/>
        <v>1156.1333586073958</v>
      </c>
      <c r="AX645">
        <f t="shared" si="513"/>
        <v>-5322.3262364135917</v>
      </c>
      <c r="AY645">
        <f t="shared" si="521"/>
        <v>-1.3568960556264631</v>
      </c>
      <c r="BA645">
        <f t="shared" si="502"/>
        <v>0.65144453834723703</v>
      </c>
      <c r="BB645">
        <f t="shared" si="514"/>
        <v>-3.7224510530586379</v>
      </c>
      <c r="BC645">
        <f t="shared" si="515"/>
        <v>-1.6484460553611171</v>
      </c>
      <c r="BD645">
        <f t="shared" si="503"/>
        <v>-274.44900183510458</v>
      </c>
      <c r="BF645">
        <f t="shared" si="504"/>
        <v>-67.006776795846164</v>
      </c>
      <c r="BG645">
        <f t="shared" si="505"/>
        <v>-191.46434193030228</v>
      </c>
      <c r="BH645">
        <f t="shared" si="516"/>
        <v>-11.464341930302282</v>
      </c>
      <c r="BI645">
        <f t="shared" si="517"/>
        <v>-11.464341930302282</v>
      </c>
      <c r="BJ645">
        <f t="shared" si="506"/>
        <v>0</v>
      </c>
      <c r="BK645">
        <f t="shared" si="518"/>
        <v>0</v>
      </c>
      <c r="BM645">
        <f t="shared" si="519"/>
        <v>-63.28432574278753</v>
      </c>
      <c r="BN645">
        <f t="shared" si="507"/>
        <v>-97.015340095197701</v>
      </c>
      <c r="BQ645" s="75">
        <f t="shared" si="520"/>
        <v>13.179509747226499</v>
      </c>
    </row>
    <row r="646" spans="1:69">
      <c r="A646">
        <f t="shared" si="563"/>
        <v>7000000</v>
      </c>
      <c r="B646">
        <f t="shared" si="508"/>
        <v>7000</v>
      </c>
      <c r="C646">
        <f t="shared" si="539"/>
        <v>8.2416000439012791</v>
      </c>
      <c r="D646">
        <f t="shared" si="540"/>
        <v>1.4491609503584124</v>
      </c>
      <c r="F646">
        <f t="shared" si="541"/>
        <v>9.1030576571710492E-6</v>
      </c>
      <c r="G646">
        <f t="shared" si="542"/>
        <v>9.2628846836963067E-4</v>
      </c>
      <c r="H646">
        <f t="shared" si="481"/>
        <v>-3.1406663615316304</v>
      </c>
      <c r="J646">
        <f t="shared" si="482"/>
        <v>9</v>
      </c>
      <c r="M646">
        <f t="shared" si="543"/>
        <v>6.0296012696720816E-4</v>
      </c>
      <c r="N646">
        <f t="shared" si="484"/>
        <v>-1.5707963250000001</v>
      </c>
      <c r="O646">
        <f t="shared" si="544"/>
        <v>900.23021245645702</v>
      </c>
      <c r="P646">
        <f t="shared" si="486"/>
        <v>1.5696854995955656</v>
      </c>
      <c r="Q646">
        <f t="shared" si="545"/>
        <v>367.57241271767896</v>
      </c>
      <c r="R646">
        <f t="shared" si="488"/>
        <v>1.5680757710649982</v>
      </c>
      <c r="S646">
        <f t="shared" si="546"/>
        <v>0.20738567715570849</v>
      </c>
      <c r="T646">
        <f t="shared" si="490"/>
        <v>-1.3618945509704139</v>
      </c>
      <c r="U646">
        <f t="shared" si="547"/>
        <v>0.13475657779874281</v>
      </c>
      <c r="V646">
        <f t="shared" si="492"/>
        <v>-1.4356285313932216</v>
      </c>
      <c r="X646">
        <f t="shared" si="548"/>
        <v>-48.484896859788343</v>
      </c>
      <c r="Y646">
        <f t="shared" si="549"/>
        <v>-167.42190895364237</v>
      </c>
      <c r="Z646">
        <f t="shared" si="510"/>
        <v>12.578091046357628</v>
      </c>
      <c r="AC646">
        <v>1</v>
      </c>
      <c r="AD646">
        <f t="shared" si="550"/>
        <v>900.22965704280011</v>
      </c>
      <c r="AE646">
        <f t="shared" si="551"/>
        <v>-0.22172734211201023</v>
      </c>
      <c r="AF646">
        <f t="shared" si="552"/>
        <v>3.015426289176E-2</v>
      </c>
      <c r="AG646">
        <f t="shared" si="553"/>
        <v>537.70323566872241</v>
      </c>
      <c r="AH646">
        <f t="shared" si="554"/>
        <v>-3986.9490334219417</v>
      </c>
      <c r="AJ646">
        <f t="shared" si="497"/>
        <v>55000</v>
      </c>
      <c r="AK646">
        <f t="shared" si="555"/>
        <v>259440.57501862501</v>
      </c>
      <c r="AL646">
        <v>21</v>
      </c>
      <c r="AM646">
        <f t="shared" si="556"/>
        <v>367.57105243897507</v>
      </c>
      <c r="AN646">
        <f t="shared" si="557"/>
        <v>712.04881205134416</v>
      </c>
      <c r="AO646">
        <f t="shared" si="558"/>
        <v>-108.9502959528361</v>
      </c>
      <c r="AQ646">
        <f t="shared" si="559"/>
        <v>2.3235098784441332E-4</v>
      </c>
      <c r="AR646">
        <f t="shared" si="560"/>
        <v>-0.85714279415804073</v>
      </c>
      <c r="AT646">
        <f t="shared" si="561"/>
        <v>-3417.2596987950083</v>
      </c>
      <c r="AU646">
        <f t="shared" si="562"/>
        <v>-461.81482539530913</v>
      </c>
      <c r="AV646">
        <f t="shared" si="511"/>
        <v>-3.0072646092216844</v>
      </c>
      <c r="AW646">
        <f t="shared" si="512"/>
        <v>1146.9322527548954</v>
      </c>
      <c r="AX646">
        <f t="shared" si="513"/>
        <v>-5246.2380398511277</v>
      </c>
      <c r="AY646">
        <f t="shared" si="521"/>
        <v>-1.3555627497802318</v>
      </c>
      <c r="BA646">
        <f t="shared" si="502"/>
        <v>0.64212850410074307</v>
      </c>
      <c r="BB646">
        <f t="shared" si="514"/>
        <v>-3.8475610262486986</v>
      </c>
      <c r="BC646">
        <f t="shared" si="515"/>
        <v>-1.6517018594414525</v>
      </c>
      <c r="BD646">
        <f t="shared" si="503"/>
        <v>-274.63554566804243</v>
      </c>
      <c r="BF646">
        <f t="shared" si="504"/>
        <v>-67.258734270764194</v>
      </c>
      <c r="BG646">
        <f t="shared" si="505"/>
        <v>-191.5516668625516</v>
      </c>
      <c r="BH646">
        <f t="shared" si="516"/>
        <v>-11.551666862551599</v>
      </c>
      <c r="BI646">
        <f t="shared" si="517"/>
        <v>-11.551666862551599</v>
      </c>
      <c r="BJ646">
        <f t="shared" si="506"/>
        <v>0</v>
      </c>
      <c r="BK646">
        <f t="shared" si="518"/>
        <v>0</v>
      </c>
      <c r="BM646">
        <f t="shared" si="519"/>
        <v>-63.411173244515489</v>
      </c>
      <c r="BN646">
        <f t="shared" si="507"/>
        <v>-96.916121194509159</v>
      </c>
      <c r="BQ646" s="75">
        <f t="shared" si="520"/>
        <v>13.054399774036439</v>
      </c>
    </row>
    <row r="647" spans="1:69">
      <c r="A647">
        <f t="shared" si="563"/>
        <v>7100000</v>
      </c>
      <c r="B647">
        <f t="shared" si="508"/>
        <v>7100</v>
      </c>
      <c r="C647">
        <f t="shared" si="539"/>
        <v>8.3576158503608813</v>
      </c>
      <c r="D647">
        <f t="shared" si="540"/>
        <v>1.4508576269975397</v>
      </c>
      <c r="F647">
        <f t="shared" si="541"/>
        <v>8.8484371517526621E-6</v>
      </c>
      <c r="G647">
        <f t="shared" si="542"/>
        <v>9.1324192636054618E-4</v>
      </c>
      <c r="H647">
        <f t="shared" si="481"/>
        <v>-3.1406794080736398</v>
      </c>
      <c r="J647">
        <f t="shared" si="482"/>
        <v>9</v>
      </c>
      <c r="M647">
        <f t="shared" si="543"/>
        <v>5.944677308127404E-4</v>
      </c>
      <c r="N647">
        <f t="shared" si="484"/>
        <v>-1.5707963250000001</v>
      </c>
      <c r="O647">
        <f t="shared" si="544"/>
        <v>913.09062830577409</v>
      </c>
      <c r="P647">
        <f t="shared" si="486"/>
        <v>1.5697011450364775</v>
      </c>
      <c r="Q647">
        <f t="shared" si="545"/>
        <v>372.82340859373591</v>
      </c>
      <c r="R647">
        <f t="shared" si="488"/>
        <v>1.5681140885662406</v>
      </c>
      <c r="S647">
        <f t="shared" si="546"/>
        <v>0.20458784713346059</v>
      </c>
      <c r="T647">
        <f t="shared" si="490"/>
        <v>-1.3647536970952989</v>
      </c>
      <c r="U647">
        <f t="shared" si="547"/>
        <v>0.13289235200587982</v>
      </c>
      <c r="V647">
        <f t="shared" si="492"/>
        <v>-1.4375096782950283</v>
      </c>
      <c r="X647">
        <f t="shared" si="548"/>
        <v>-48.725667027779231</v>
      </c>
      <c r="Y647">
        <f t="shared" si="549"/>
        <v>-167.5939509902621</v>
      </c>
      <c r="Z647">
        <f t="shared" si="510"/>
        <v>12.406049009737899</v>
      </c>
      <c r="AC647">
        <v>1</v>
      </c>
      <c r="AD647">
        <f t="shared" si="550"/>
        <v>913.09008071484004</v>
      </c>
      <c r="AE647">
        <f t="shared" si="551"/>
        <v>-0.2281076595074783</v>
      </c>
      <c r="AF647">
        <f t="shared" si="552"/>
        <v>3.0585038075927998E-2</v>
      </c>
      <c r="AG647">
        <f t="shared" si="553"/>
        <v>522.92894201452975</v>
      </c>
      <c r="AH647">
        <f t="shared" si="554"/>
        <v>-3932.7757824936625</v>
      </c>
      <c r="AJ647">
        <f t="shared" si="497"/>
        <v>55000</v>
      </c>
      <c r="AK647">
        <f t="shared" si="555"/>
        <v>263146.86894746253</v>
      </c>
      <c r="AL647">
        <v>22</v>
      </c>
      <c r="AM647">
        <f t="shared" si="556"/>
        <v>372.82206747381753</v>
      </c>
      <c r="AN647">
        <f t="shared" si="557"/>
        <v>712.0501175133262</v>
      </c>
      <c r="AO647">
        <f t="shared" si="558"/>
        <v>-105.50581858320186</v>
      </c>
      <c r="AQ647">
        <f t="shared" si="559"/>
        <v>2.2585198230067014E-4</v>
      </c>
      <c r="AR647">
        <f t="shared" si="560"/>
        <v>-0.84507036217441756</v>
      </c>
      <c r="AT647">
        <f t="shared" si="561"/>
        <v>-3323.3541503245415</v>
      </c>
      <c r="AU647">
        <f t="shared" si="562"/>
        <v>-442.79997562612391</v>
      </c>
      <c r="AV647">
        <f t="shared" si="511"/>
        <v>-3.0091339286565617</v>
      </c>
      <c r="AW647">
        <f t="shared" si="512"/>
        <v>1138.0448386887404</v>
      </c>
      <c r="AX647">
        <f t="shared" si="513"/>
        <v>-5172.200269881263</v>
      </c>
      <c r="AY647">
        <f t="shared" si="521"/>
        <v>-1.3542163717984608</v>
      </c>
      <c r="BA647">
        <f t="shared" si="502"/>
        <v>0.63307630955619909</v>
      </c>
      <c r="BB647">
        <f t="shared" si="514"/>
        <v>-3.9708787594717103</v>
      </c>
      <c r="BC647">
        <f t="shared" si="515"/>
        <v>-1.6549175568581009</v>
      </c>
      <c r="BD647">
        <f t="shared" si="503"/>
        <v>-274.81979155841805</v>
      </c>
      <c r="BF647">
        <f t="shared" si="504"/>
        <v>-67.507049052777901</v>
      </c>
      <c r="BG647">
        <f t="shared" si="505"/>
        <v>-191.63944785399093</v>
      </c>
      <c r="BH647">
        <f t="shared" si="516"/>
        <v>-11.63944785399093</v>
      </c>
      <c r="BI647">
        <f t="shared" si="517"/>
        <v>-11.63944785399093</v>
      </c>
      <c r="BJ647">
        <f t="shared" si="506"/>
        <v>0</v>
      </c>
      <c r="BK647">
        <f t="shared" si="518"/>
        <v>0</v>
      </c>
      <c r="BM647">
        <f t="shared" si="519"/>
        <v>-63.536170293306185</v>
      </c>
      <c r="BN647">
        <f t="shared" si="507"/>
        <v>-96.819656295572884</v>
      </c>
      <c r="BQ647" s="75">
        <f t="shared" si="520"/>
        <v>12.931082040813425</v>
      </c>
    </row>
    <row r="648" spans="1:69">
      <c r="A648">
        <f t="shared" si="563"/>
        <v>7200000</v>
      </c>
      <c r="B648">
        <f t="shared" si="508"/>
        <v>7200</v>
      </c>
      <c r="C648">
        <f t="shared" si="539"/>
        <v>8.4736550571414977</v>
      </c>
      <c r="D648">
        <f t="shared" si="540"/>
        <v>1.4525078393093218</v>
      </c>
      <c r="F648">
        <f t="shared" si="541"/>
        <v>8.6043521011348688E-6</v>
      </c>
      <c r="G648">
        <f t="shared" si="542"/>
        <v>9.0055779749926895E-4</v>
      </c>
      <c r="H648">
        <f t="shared" si="481"/>
        <v>-3.1406920922025008</v>
      </c>
      <c r="J648">
        <f t="shared" si="482"/>
        <v>9</v>
      </c>
      <c r="M648">
        <f t="shared" si="543"/>
        <v>5.8621123455145237E-4</v>
      </c>
      <c r="N648">
        <f t="shared" si="484"/>
        <v>-1.5707963250000001</v>
      </c>
      <c r="O648">
        <f t="shared" si="544"/>
        <v>925.95104437238899</v>
      </c>
      <c r="P648">
        <f t="shared" si="486"/>
        <v>1.5697163558823228</v>
      </c>
      <c r="Q648">
        <f t="shared" si="545"/>
        <v>378.0744050019785</v>
      </c>
      <c r="R648">
        <f t="shared" si="488"/>
        <v>1.5681513417000004</v>
      </c>
      <c r="S648">
        <f t="shared" si="546"/>
        <v>0.20186291815006233</v>
      </c>
      <c r="T648">
        <f t="shared" si="490"/>
        <v>-1.3675367028784295</v>
      </c>
      <c r="U648">
        <f t="shared" si="547"/>
        <v>0.13107855685481248</v>
      </c>
      <c r="V648">
        <f t="shared" si="492"/>
        <v>-1.4393394814654437</v>
      </c>
      <c r="X648">
        <f t="shared" si="548"/>
        <v>-48.963217935175145</v>
      </c>
      <c r="Y648">
        <f t="shared" si="549"/>
        <v>-167.76141605686885</v>
      </c>
      <c r="Z648">
        <f t="shared" si="510"/>
        <v>12.238583943131147</v>
      </c>
      <c r="AC648">
        <v>1</v>
      </c>
      <c r="AD648">
        <f t="shared" si="550"/>
        <v>925.9505043868802</v>
      </c>
      <c r="AE648">
        <f t="shared" si="551"/>
        <v>-0.23457847785891045</v>
      </c>
      <c r="AF648">
        <f t="shared" si="552"/>
        <v>3.1015813260096003E-2</v>
      </c>
      <c r="AG648">
        <f t="shared" si="553"/>
        <v>508.75185491860839</v>
      </c>
      <c r="AH648">
        <f t="shared" si="554"/>
        <v>-3880.028381829763</v>
      </c>
      <c r="AJ648">
        <f t="shared" si="497"/>
        <v>55000</v>
      </c>
      <c r="AK648">
        <f t="shared" si="555"/>
        <v>266853.16287629999</v>
      </c>
      <c r="AL648">
        <v>23</v>
      </c>
      <c r="AM648">
        <f t="shared" si="556"/>
        <v>378.07308250866004</v>
      </c>
      <c r="AN648">
        <f t="shared" si="557"/>
        <v>712.03903159531012</v>
      </c>
      <c r="AO648">
        <f t="shared" si="558"/>
        <v>-102.15776806174287</v>
      </c>
      <c r="AQ648">
        <f t="shared" si="559"/>
        <v>2.1962188368458862E-4</v>
      </c>
      <c r="AR648">
        <f t="shared" si="560"/>
        <v>-0.83333327545280311</v>
      </c>
      <c r="AT648">
        <f t="shared" si="561"/>
        <v>-3233.2450272393307</v>
      </c>
      <c r="AU648">
        <f t="shared" si="562"/>
        <v>-424.81198879398033</v>
      </c>
      <c r="AV648">
        <f t="shared" si="511"/>
        <v>-3.0109522329002889</v>
      </c>
      <c r="AW648">
        <f t="shared" si="512"/>
        <v>1129.4563514971792</v>
      </c>
      <c r="AX648">
        <f t="shared" si="513"/>
        <v>-5100.1329900034389</v>
      </c>
      <c r="AY648">
        <f t="shared" si="521"/>
        <v>-1.3528574210011934</v>
      </c>
      <c r="BA648">
        <f t="shared" si="502"/>
        <v>0.62427669599523083</v>
      </c>
      <c r="BB648">
        <f t="shared" si="514"/>
        <v>-4.0924575361836926</v>
      </c>
      <c r="BC648">
        <f t="shared" si="515"/>
        <v>-1.6580948118990955</v>
      </c>
      <c r="BD648">
        <f t="shared" si="503"/>
        <v>-275.00183486291172</v>
      </c>
      <c r="BF648">
        <f t="shared" si="504"/>
        <v>-67.751828250000884</v>
      </c>
      <c r="BG648">
        <f t="shared" si="505"/>
        <v>-191.72766770466228</v>
      </c>
      <c r="BH648">
        <f t="shared" si="516"/>
        <v>-11.727667704662281</v>
      </c>
      <c r="BI648">
        <f t="shared" si="517"/>
        <v>-11.727667704662281</v>
      </c>
      <c r="BJ648">
        <f t="shared" si="506"/>
        <v>0</v>
      </c>
      <c r="BK648">
        <f t="shared" si="518"/>
        <v>0</v>
      </c>
      <c r="BM648">
        <f t="shared" si="519"/>
        <v>-63.659370713817182</v>
      </c>
      <c r="BN648">
        <f t="shared" si="507"/>
        <v>-96.72583284175056</v>
      </c>
      <c r="BQ648" s="75">
        <f t="shared" si="520"/>
        <v>12.809503264101442</v>
      </c>
    </row>
    <row r="649" spans="1:69">
      <c r="A649">
        <f t="shared" si="563"/>
        <v>7300000</v>
      </c>
      <c r="B649">
        <f t="shared" si="508"/>
        <v>7300</v>
      </c>
      <c r="C649">
        <f t="shared" si="539"/>
        <v>8.5897167158924574</v>
      </c>
      <c r="D649">
        <f t="shared" si="540"/>
        <v>1.454113461554603</v>
      </c>
      <c r="F649">
        <f t="shared" si="541"/>
        <v>8.3702291849555657E-6</v>
      </c>
      <c r="G649">
        <f t="shared" si="542"/>
        <v>8.8822118760083723E-4</v>
      </c>
      <c r="H649">
        <f t="shared" ref="H649:H676" si="564">IF(G649&gt;0,G649-Pi,G649)</f>
        <v>-3.1407044288123993</v>
      </c>
      <c r="J649">
        <f t="shared" ref="J649:J676" si="565">Vin/Vramp</f>
        <v>9</v>
      </c>
      <c r="M649">
        <f t="shared" si="543"/>
        <v>5.7818094366718581E-4</v>
      </c>
      <c r="N649">
        <f t="shared" ref="N649:N676" si="566">-Pi/2</f>
        <v>-1.5707963250000001</v>
      </c>
      <c r="O649">
        <f t="shared" si="544"/>
        <v>938.81146064737152</v>
      </c>
      <c r="P649">
        <f t="shared" ref="P649:P676" si="567">ATAN2(Fz1_u,A649)</f>
        <v>1.5697311499931448</v>
      </c>
      <c r="Q649">
        <f t="shared" si="545"/>
        <v>383.32540192053625</v>
      </c>
      <c r="R649">
        <f t="shared" ref="R649:R676" si="568">ATAN2(Fz2_u,A649)</f>
        <v>1.5681875742070022</v>
      </c>
      <c r="S649">
        <f t="shared" si="546"/>
        <v>0.199208139780502</v>
      </c>
      <c r="T649">
        <f t="shared" ref="T649:T676" si="569">-ATAN2(Fp1_u,A649)</f>
        <v>-1.3702465283919292</v>
      </c>
      <c r="U649">
        <f t="shared" si="547"/>
        <v>0.12931319095388485</v>
      </c>
      <c r="V649">
        <f t="shared" ref="V649:V676" si="570">-ATAN2(Fp2_u,A649)</f>
        <v>-1.4411200028889553</v>
      </c>
      <c r="X649">
        <f t="shared" si="548"/>
        <v>-49.197632703364214</v>
      </c>
      <c r="Y649">
        <f t="shared" si="549"/>
        <v>-167.92448183278506</v>
      </c>
      <c r="Z649">
        <f t="shared" si="510"/>
        <v>12.075518167214938</v>
      </c>
      <c r="AC649">
        <v>1</v>
      </c>
      <c r="AD649">
        <f t="shared" si="550"/>
        <v>938.81092805892013</v>
      </c>
      <c r="AE649">
        <f t="shared" si="551"/>
        <v>-0.24113979716630668</v>
      </c>
      <c r="AF649">
        <f t="shared" si="552"/>
        <v>3.1446588444263998E-2</v>
      </c>
      <c r="AG649">
        <f t="shared" si="553"/>
        <v>495.14039672662767</v>
      </c>
      <c r="AH649">
        <f t="shared" si="554"/>
        <v>-3828.6523528266789</v>
      </c>
      <c r="AJ649">
        <f t="shared" ref="AJ649:AJ676" si="571">_Rfb1</f>
        <v>55000</v>
      </c>
      <c r="AK649">
        <f t="shared" si="555"/>
        <v>270559.45680513751</v>
      </c>
      <c r="AL649">
        <v>24</v>
      </c>
      <c r="AM649">
        <f t="shared" si="556"/>
        <v>383.32409754350255</v>
      </c>
      <c r="AN649">
        <f t="shared" si="557"/>
        <v>712.01657216850322</v>
      </c>
      <c r="AO649">
        <f t="shared" si="558"/>
        <v>-98.902214890503785</v>
      </c>
      <c r="AQ649">
        <f t="shared" si="559"/>
        <v>2.1364605876760787E-4</v>
      </c>
      <c r="AR649">
        <f t="shared" si="560"/>
        <v>-0.82191775268486422</v>
      </c>
      <c r="AT649">
        <f t="shared" si="561"/>
        <v>-3146.7315528526246</v>
      </c>
      <c r="AU649">
        <f t="shared" si="562"/>
        <v>-407.78265862661465</v>
      </c>
      <c r="AV649">
        <f t="shared" si="511"/>
        <v>-3.0127215704357275</v>
      </c>
      <c r="AW649">
        <f t="shared" si="512"/>
        <v>1121.1528966923076</v>
      </c>
      <c r="AX649">
        <f t="shared" si="513"/>
        <v>-5029.9602616308275</v>
      </c>
      <c r="AY649">
        <f t="shared" si="521"/>
        <v>-1.3514863728380426</v>
      </c>
      <c r="BA649">
        <f t="shared" ref="BA649:BA676" si="572">SQRT(AT649^2+AU649^2)/SQRT(AW649^2+AX649^2)</f>
        <v>0.61571904237171682</v>
      </c>
      <c r="BB649">
        <f t="shared" si="514"/>
        <v>-4.2123482950998978</v>
      </c>
      <c r="BC649">
        <f t="shared" si="515"/>
        <v>-1.6612351975976849</v>
      </c>
      <c r="BD649">
        <f t="shared" ref="BD649:BD678" si="573">BC649*180/Pi-180</f>
        <v>-275.18176570968973</v>
      </c>
      <c r="BF649">
        <f t="shared" ref="BF649:BF676" si="574">20*LOG(BA649*J649*F649*C649)</f>
        <v>-67.993174289637665</v>
      </c>
      <c r="BG649">
        <f t="shared" ref="BG649:BG676" si="575">(180/Pi)*(D649+H649+BC649)</f>
        <v>-191.81631000886972</v>
      </c>
      <c r="BH649">
        <f t="shared" si="516"/>
        <v>-11.816310008869721</v>
      </c>
      <c r="BI649">
        <f t="shared" si="517"/>
        <v>-11.816310008869721</v>
      </c>
      <c r="BJ649">
        <f t="shared" ref="BJ649:BJ676" si="576">SUM((BF650&lt;0)*(BF649&gt;0))*A649</f>
        <v>0</v>
      </c>
      <c r="BK649">
        <f t="shared" si="518"/>
        <v>0</v>
      </c>
      <c r="BM649">
        <f t="shared" si="519"/>
        <v>-63.780825994537771</v>
      </c>
      <c r="BN649">
        <f t="shared" ref="BN649:BN676" si="577">(H649+D649)*180/Pi</f>
        <v>-96.634544299180021</v>
      </c>
      <c r="BQ649" s="75">
        <f t="shared" si="520"/>
        <v>12.68961250518524</v>
      </c>
    </row>
    <row r="650" spans="1:69">
      <c r="A650">
        <f t="shared" si="563"/>
        <v>7400000</v>
      </c>
      <c r="B650">
        <f t="shared" ref="B650:B676" si="578">A650/1000</f>
        <v>7400</v>
      </c>
      <c r="C650">
        <f t="shared" si="539"/>
        <v>8.7057999286562584</v>
      </c>
      <c r="D650">
        <f t="shared" si="540"/>
        <v>1.4556762689775244</v>
      </c>
      <c r="F650">
        <f t="shared" si="541"/>
        <v>8.1455335577527716E-6</v>
      </c>
      <c r="G650">
        <f t="shared" si="542"/>
        <v>8.7621800760406864E-4</v>
      </c>
      <c r="H650">
        <f t="shared" si="564"/>
        <v>-3.1407164319923959</v>
      </c>
      <c r="J650">
        <f t="shared" si="565"/>
        <v>9</v>
      </c>
      <c r="M650">
        <f t="shared" si="543"/>
        <v>5.7036768767168339E-4</v>
      </c>
      <c r="N650">
        <f t="shared" si="566"/>
        <v>-1.5707963250000001</v>
      </c>
      <c r="O650">
        <f t="shared" si="544"/>
        <v>951.67187712227417</v>
      </c>
      <c r="P650">
        <f t="shared" si="567"/>
        <v>1.5697455442635815</v>
      </c>
      <c r="Q650">
        <f t="shared" si="545"/>
        <v>388.57639932872087</v>
      </c>
      <c r="R650">
        <f t="shared" si="568"/>
        <v>1.568222827463633</v>
      </c>
      <c r="S650">
        <f t="shared" si="546"/>
        <v>0.19662089498425223</v>
      </c>
      <c r="T650">
        <f t="shared" si="569"/>
        <v>-1.3728859843612133</v>
      </c>
      <c r="U650">
        <f t="shared" si="547"/>
        <v>0.12759435650539247</v>
      </c>
      <c r="V650">
        <f t="shared" si="570"/>
        <v>-1.4428531962077675</v>
      </c>
      <c r="X650">
        <f t="shared" si="548"/>
        <v>-49.428991344329525</v>
      </c>
      <c r="Y650">
        <f t="shared" si="549"/>
        <v>-168.08331705073056</v>
      </c>
      <c r="Z650">
        <f t="shared" ref="Z650:Z676" si="579">Y650+180</f>
        <v>11.916682949269443</v>
      </c>
      <c r="AC650">
        <v>1</v>
      </c>
      <c r="AD650">
        <f t="shared" si="550"/>
        <v>951.67135173096005</v>
      </c>
      <c r="AE650">
        <f t="shared" si="551"/>
        <v>-0.24779161742966699</v>
      </c>
      <c r="AF650">
        <f t="shared" si="552"/>
        <v>3.1877363628432007E-2</v>
      </c>
      <c r="AG650">
        <f t="shared" si="553"/>
        <v>482.06503791558657</v>
      </c>
      <c r="AH650">
        <f t="shared" si="554"/>
        <v>-3778.5958981866329</v>
      </c>
      <c r="AJ650">
        <f t="shared" si="571"/>
        <v>55000</v>
      </c>
      <c r="AK650">
        <f t="shared" si="555"/>
        <v>274265.75073397503</v>
      </c>
      <c r="AL650">
        <v>25</v>
      </c>
      <c r="AM650">
        <f t="shared" si="556"/>
        <v>388.57511257834506</v>
      </c>
      <c r="AN650">
        <f t="shared" si="557"/>
        <v>711.98367496523872</v>
      </c>
      <c r="AO650">
        <f t="shared" si="558"/>
        <v>-95.735436783457473</v>
      </c>
      <c r="AQ650">
        <f t="shared" si="559"/>
        <v>2.0791085632535021E-4</v>
      </c>
      <c r="AR650">
        <f t="shared" si="560"/>
        <v>-0.81081075749760079</v>
      </c>
      <c r="AT650">
        <f t="shared" si="561"/>
        <v>-3063.6259759311934</v>
      </c>
      <c r="AU650">
        <f t="shared" si="562"/>
        <v>-391.64912966434582</v>
      </c>
      <c r="AV650">
        <f t="shared" ref="AV650:AV676" si="580">ATAN2(AT650,AU650)</f>
        <v>-3.0144438821332709</v>
      </c>
      <c r="AW650">
        <f t="shared" ref="AW650:AW676" si="581">AG650-AH650*AO650/_Rfb2+AG650*AN650/_Rfb2+AN650-AO650*AR650+AQ650*AN650</f>
        <v>1113.1213893148868</v>
      </c>
      <c r="AX650">
        <f t="shared" ref="AX650:AX676" si="582">AH650+AH650*AN650/_Rfb2+AG650*AO650/_Rfb2+AO650+AO650*AQ650+AN650*AR650</f>
        <v>-4961.6099046460304</v>
      </c>
      <c r="AY650">
        <f t="shared" si="521"/>
        <v>-1.3501036803270703</v>
      </c>
      <c r="BA650">
        <f t="shared" si="572"/>
        <v>0.60739332042193139</v>
      </c>
      <c r="BB650">
        <f t="shared" ref="BB650:BB676" si="583">20*LOG(BA650)</f>
        <v>-4.3305997676124761</v>
      </c>
      <c r="BC650">
        <f t="shared" ref="BC650:BC676" si="584">AV650-AY650</f>
        <v>-1.6643402018062006</v>
      </c>
      <c r="BD650">
        <f t="shared" si="573"/>
        <v>-275.35966934641129</v>
      </c>
      <c r="BF650">
        <f t="shared" si="574"/>
        <v>-68.231185189602257</v>
      </c>
      <c r="BG650">
        <f t="shared" si="575"/>
        <v>-191.90535910751922</v>
      </c>
      <c r="BH650">
        <f t="shared" ref="BH650:BH676" si="585">IF(BG650&gt;180,BG650-180,BG650+180)</f>
        <v>-11.905359107519217</v>
      </c>
      <c r="BI650">
        <f t="shared" ref="BI650:BI676" si="586">IF(BH650&gt;180,BH650-360,BH650)</f>
        <v>-11.905359107519217</v>
      </c>
      <c r="BJ650">
        <f t="shared" si="576"/>
        <v>0</v>
      </c>
      <c r="BK650">
        <f t="shared" ref="BK650:BK676" si="587">IF(BJ650&gt;0,BI650,0)</f>
        <v>0</v>
      </c>
      <c r="BM650">
        <f t="shared" ref="BM650:BM676" si="588">20*LOG(J650*F650*C650)</f>
        <v>-63.900585421989774</v>
      </c>
      <c r="BN650">
        <f t="shared" si="577"/>
        <v>-96.545689761107909</v>
      </c>
      <c r="BQ650" s="75">
        <f t="shared" ref="BQ650:BQ676" si="589">20*LOG(BA650*7)</f>
        <v>12.571361032672659</v>
      </c>
    </row>
    <row r="651" spans="1:69">
      <c r="A651">
        <f t="shared" si="563"/>
        <v>7500000</v>
      </c>
      <c r="B651">
        <f t="shared" si="578"/>
        <v>7500</v>
      </c>
      <c r="C651">
        <f t="shared" si="539"/>
        <v>8.8219038445761058</v>
      </c>
      <c r="D651">
        <f t="shared" si="540"/>
        <v>1.4571979442300595</v>
      </c>
      <c r="F651">
        <f t="shared" si="541"/>
        <v>7.9297657916271118E-6</v>
      </c>
      <c r="G651">
        <f t="shared" si="542"/>
        <v>8.6453491989407934E-4</v>
      </c>
      <c r="H651">
        <f t="shared" si="564"/>
        <v>-3.1407281150801061</v>
      </c>
      <c r="J651">
        <f t="shared" si="565"/>
        <v>9</v>
      </c>
      <c r="M651">
        <f t="shared" si="543"/>
        <v>5.627627851693942E-4</v>
      </c>
      <c r="N651">
        <f t="shared" si="566"/>
        <v>-1.5707963250000001</v>
      </c>
      <c r="O651">
        <f t="shared" si="544"/>
        <v>964.53229378910044</v>
      </c>
      <c r="P651">
        <f t="shared" si="567"/>
        <v>1.5697595546872247</v>
      </c>
      <c r="Q651">
        <f t="shared" si="545"/>
        <v>393.8273972069473</v>
      </c>
      <c r="R651">
        <f t="shared" si="568"/>
        <v>1.568257140639564</v>
      </c>
      <c r="S651">
        <f t="shared" si="546"/>
        <v>0.1940986923293864</v>
      </c>
      <c r="T651">
        <f t="shared" si="569"/>
        <v>-1.3754577413312845</v>
      </c>
      <c r="U651">
        <f t="shared" si="547"/>
        <v>0.12592025274882709</v>
      </c>
      <c r="V651">
        <f t="shared" si="570"/>
        <v>-1.4445409137058733</v>
      </c>
      <c r="X651">
        <f t="shared" si="548"/>
        <v>-49.657370910417988</v>
      </c>
      <c r="Y651">
        <f t="shared" si="549"/>
        <v>-168.23808204442886</v>
      </c>
      <c r="Z651">
        <f t="shared" si="579"/>
        <v>11.761917955571136</v>
      </c>
      <c r="AC651">
        <v>1</v>
      </c>
      <c r="AD651">
        <f t="shared" si="550"/>
        <v>964.53177540300021</v>
      </c>
      <c r="AE651">
        <f t="shared" si="551"/>
        <v>-0.25453393864899132</v>
      </c>
      <c r="AF651">
        <f t="shared" si="552"/>
        <v>3.2308138812600001E-2</v>
      </c>
      <c r="AG651">
        <f t="shared" si="553"/>
        <v>469.49814062719236</v>
      </c>
      <c r="AH651">
        <f t="shared" si="554"/>
        <v>-3729.8097430243079</v>
      </c>
      <c r="AJ651">
        <f t="shared" si="571"/>
        <v>55000</v>
      </c>
      <c r="AK651">
        <f t="shared" si="555"/>
        <v>277972.04466281249</v>
      </c>
      <c r="AL651">
        <v>26</v>
      </c>
      <c r="AM651">
        <f t="shared" si="556"/>
        <v>393.82612761318751</v>
      </c>
      <c r="AN651">
        <f t="shared" si="557"/>
        <v>711.94120081098822</v>
      </c>
      <c r="AO651">
        <f t="shared" si="558"/>
        <v>-92.653905417758352</v>
      </c>
      <c r="AQ651">
        <f t="shared" si="559"/>
        <v>2.0240352910588514E-4</v>
      </c>
      <c r="AR651">
        <f t="shared" si="560"/>
        <v>-0.799999948791011</v>
      </c>
      <c r="AT651">
        <f t="shared" si="561"/>
        <v>-2983.7525753390887</v>
      </c>
      <c r="AU651">
        <f t="shared" si="562"/>
        <v>-376.35341511411036</v>
      </c>
      <c r="AV651">
        <f t="shared" si="580"/>
        <v>-3.0161210081862628</v>
      </c>
      <c r="AW651">
        <f t="shared" si="581"/>
        <v>1105.3494979205645</v>
      </c>
      <c r="AX651">
        <f t="shared" si="582"/>
        <v>-4895.0132743195563</v>
      </c>
      <c r="AY651">
        <f t="shared" ref="AY651:AY676" si="590">ATAN2(AW651,AX651)</f>
        <v>-1.3487097753909691</v>
      </c>
      <c r="BA651">
        <f t="shared" si="572"/>
        <v>0.59929005354175902</v>
      </c>
      <c r="BB651">
        <f t="shared" si="583"/>
        <v>-4.44725860518178</v>
      </c>
      <c r="BC651">
        <f t="shared" si="584"/>
        <v>-1.6674112327952937</v>
      </c>
      <c r="BD651">
        <f t="shared" si="573"/>
        <v>-275.53562646104132</v>
      </c>
      <c r="BF651">
        <f t="shared" si="574"/>
        <v>-68.465954810563389</v>
      </c>
      <c r="BG651">
        <f t="shared" si="575"/>
        <v>-191.99480004390801</v>
      </c>
      <c r="BH651">
        <f t="shared" si="585"/>
        <v>-11.994800043908015</v>
      </c>
      <c r="BI651">
        <f t="shared" si="586"/>
        <v>-11.994800043908015</v>
      </c>
      <c r="BJ651">
        <f t="shared" si="576"/>
        <v>0</v>
      </c>
      <c r="BK651">
        <f t="shared" si="587"/>
        <v>0</v>
      </c>
      <c r="BM651">
        <f t="shared" si="588"/>
        <v>-64.018696205381616</v>
      </c>
      <c r="BN651">
        <f t="shared" si="577"/>
        <v>-96.459173582866754</v>
      </c>
      <c r="BQ651" s="75">
        <f t="shared" si="589"/>
        <v>12.454702195103355</v>
      </c>
    </row>
    <row r="652" spans="1:69">
      <c r="A652">
        <f t="shared" si="563"/>
        <v>7600000</v>
      </c>
      <c r="B652">
        <f t="shared" si="578"/>
        <v>7600</v>
      </c>
      <c r="C652">
        <f t="shared" si="539"/>
        <v>8.9380276568574377</v>
      </c>
      <c r="D652">
        <f t="shared" si="540"/>
        <v>1.4586800833049578</v>
      </c>
      <c r="F652">
        <f t="shared" si="541"/>
        <v>7.722459098632952E-6</v>
      </c>
      <c r="G652">
        <f t="shared" si="542"/>
        <v>8.5315928886272674E-4</v>
      </c>
      <c r="H652">
        <f t="shared" si="564"/>
        <v>-3.1407394907111374</v>
      </c>
      <c r="J652">
        <f t="shared" si="565"/>
        <v>9</v>
      </c>
      <c r="M652">
        <f t="shared" si="543"/>
        <v>5.553580116803232E-4</v>
      </c>
      <c r="N652">
        <f t="shared" si="566"/>
        <v>-1.5707963250000001</v>
      </c>
      <c r="O652">
        <f t="shared" si="544"/>
        <v>977.39271064027434</v>
      </c>
      <c r="P652">
        <f t="shared" si="567"/>
        <v>1.5697731964158999</v>
      </c>
      <c r="Q652">
        <f t="shared" si="545"/>
        <v>399.07839553666156</v>
      </c>
      <c r="R652">
        <f t="shared" si="568"/>
        <v>1.5682905508429272</v>
      </c>
      <c r="S652">
        <f t="shared" si="546"/>
        <v>0.19163915873761714</v>
      </c>
      <c r="T652">
        <f t="shared" si="569"/>
        <v>-1.3779643381763469</v>
      </c>
      <c r="U652">
        <f t="shared" si="547"/>
        <v>0.12428916989122124</v>
      </c>
      <c r="V652">
        <f t="shared" si="570"/>
        <v>-1.446184912762754</v>
      </c>
      <c r="X652">
        <f t="shared" si="548"/>
        <v>-49.882845635407271</v>
      </c>
      <c r="Y652">
        <f t="shared" si="549"/>
        <v>-168.38892925712744</v>
      </c>
      <c r="Z652">
        <f t="shared" si="579"/>
        <v>11.611070742872556</v>
      </c>
      <c r="AC652">
        <v>1</v>
      </c>
      <c r="AD652">
        <f t="shared" si="550"/>
        <v>977.39219907504014</v>
      </c>
      <c r="AE652">
        <f t="shared" si="551"/>
        <v>-0.26136676082427979</v>
      </c>
      <c r="AF652">
        <f t="shared" si="552"/>
        <v>3.2738913996767996E-2</v>
      </c>
      <c r="AG652">
        <f t="shared" si="553"/>
        <v>457.4138158913604</v>
      </c>
      <c r="AH652">
        <f t="shared" si="554"/>
        <v>-3682.2469868029034</v>
      </c>
      <c r="AJ652">
        <f t="shared" si="571"/>
        <v>55000</v>
      </c>
      <c r="AK652">
        <f t="shared" si="555"/>
        <v>281678.33859165001</v>
      </c>
      <c r="AL652">
        <v>27</v>
      </c>
      <c r="AM652">
        <f t="shared" si="556"/>
        <v>399.07714264803008</v>
      </c>
      <c r="AN652">
        <f t="shared" si="557"/>
        <v>711.8899421528605</v>
      </c>
      <c r="AO652">
        <f t="shared" si="558"/>
        <v>-89.654274169814755</v>
      </c>
      <c r="AQ652">
        <f t="shared" si="559"/>
        <v>1.9711216293729749E-4</v>
      </c>
      <c r="AR652">
        <f t="shared" si="560"/>
        <v>-0.78947363499646395</v>
      </c>
      <c r="AT652">
        <f t="shared" si="561"/>
        <v>-2906.9467517994572</v>
      </c>
      <c r="AU652">
        <f t="shared" si="562"/>
        <v>-361.84196359739371</v>
      </c>
      <c r="AV652">
        <f t="shared" si="580"/>
        <v>-3.0177546945198839</v>
      </c>
      <c r="AW652">
        <f t="shared" si="581"/>
        <v>1097.8255930104049</v>
      </c>
      <c r="AX652">
        <f t="shared" si="582"/>
        <v>-4830.1050533674243</v>
      </c>
      <c r="AY652">
        <f t="shared" si="590"/>
        <v>-1.3473050700990037</v>
      </c>
      <c r="BA652">
        <f t="shared" si="572"/>
        <v>0.59140027906499237</v>
      </c>
      <c r="BB652">
        <f t="shared" si="583"/>
        <v>-4.562369497572468</v>
      </c>
      <c r="BC652">
        <f t="shared" si="584"/>
        <v>-1.6704496244208802</v>
      </c>
      <c r="BD652">
        <f t="shared" si="573"/>
        <v>-275.70971347789418</v>
      </c>
      <c r="BF652">
        <f t="shared" si="574"/>
        <v>-68.697573090094281</v>
      </c>
      <c r="BG652">
        <f t="shared" si="575"/>
        <v>-192.08461852266896</v>
      </c>
      <c r="BH652">
        <f t="shared" si="585"/>
        <v>-12.084618522668961</v>
      </c>
      <c r="BI652">
        <f t="shared" si="586"/>
        <v>-12.084618522668961</v>
      </c>
      <c r="BJ652">
        <f t="shared" si="576"/>
        <v>0</v>
      </c>
      <c r="BK652">
        <f t="shared" si="587"/>
        <v>0</v>
      </c>
      <c r="BM652">
        <f t="shared" si="588"/>
        <v>-64.135203592521805</v>
      </c>
      <c r="BN652">
        <f t="shared" si="577"/>
        <v>-96.374905044774763</v>
      </c>
      <c r="BQ652" s="75">
        <f t="shared" si="589"/>
        <v>12.33959130271267</v>
      </c>
    </row>
    <row r="653" spans="1:69">
      <c r="A653">
        <f t="shared" si="563"/>
        <v>7700000</v>
      </c>
      <c r="B653">
        <f t="shared" si="578"/>
        <v>7700</v>
      </c>
      <c r="C653">
        <f t="shared" si="539"/>
        <v>9.0541705999609157</v>
      </c>
      <c r="D653">
        <f t="shared" si="540"/>
        <v>1.4601242010202389</v>
      </c>
      <c r="F653">
        <f t="shared" si="541"/>
        <v>7.5231768040261491E-6</v>
      </c>
      <c r="G653">
        <f t="shared" si="542"/>
        <v>8.4207913532169366E-4</v>
      </c>
      <c r="H653">
        <f t="shared" si="564"/>
        <v>-3.1407505708646783</v>
      </c>
      <c r="J653">
        <f t="shared" si="565"/>
        <v>9</v>
      </c>
      <c r="M653">
        <f t="shared" si="543"/>
        <v>5.481455699701892E-4</v>
      </c>
      <c r="N653">
        <f t="shared" si="566"/>
        <v>-1.5707963250000001</v>
      </c>
      <c r="O653">
        <f t="shared" si="544"/>
        <v>990.25312766861339</v>
      </c>
      <c r="P653">
        <f t="shared" si="567"/>
        <v>1.5697864838143265</v>
      </c>
      <c r="Q653">
        <f t="shared" si="545"/>
        <v>404.32939430027324</v>
      </c>
      <c r="R653">
        <f t="shared" si="568"/>
        <v>1.5683230932541792</v>
      </c>
      <c r="S653">
        <f t="shared" si="546"/>
        <v>0.18924003271154344</v>
      </c>
      <c r="T653">
        <f t="shared" si="569"/>
        <v>-1.3804081900060778</v>
      </c>
      <c r="U653">
        <f t="shared" si="547"/>
        <v>0.12269948348331076</v>
      </c>
      <c r="V653">
        <f t="shared" si="570"/>
        <v>-1.4477868618228458</v>
      </c>
      <c r="X653">
        <f t="shared" si="548"/>
        <v>-50.1054870674554</v>
      </c>
      <c r="Y653">
        <f t="shared" si="549"/>
        <v>-168.53600371419071</v>
      </c>
      <c r="Z653">
        <f t="shared" si="579"/>
        <v>11.463996285809287</v>
      </c>
      <c r="AC653">
        <v>1</v>
      </c>
      <c r="AD653">
        <f t="shared" si="550"/>
        <v>990.25262274708007</v>
      </c>
      <c r="AE653">
        <f t="shared" si="551"/>
        <v>-0.26829008395553239</v>
      </c>
      <c r="AF653">
        <f t="shared" si="552"/>
        <v>3.3169689180936004E-2</v>
      </c>
      <c r="AG653">
        <f t="shared" si="553"/>
        <v>445.78779319581099</v>
      </c>
      <c r="AH653">
        <f t="shared" si="554"/>
        <v>-3635.8629652812579</v>
      </c>
      <c r="AJ653">
        <f t="shared" si="571"/>
        <v>55000</v>
      </c>
      <c r="AK653">
        <f t="shared" si="555"/>
        <v>285384.63252048753</v>
      </c>
      <c r="AL653">
        <v>28</v>
      </c>
      <c r="AM653">
        <f t="shared" si="556"/>
        <v>404.32815768287253</v>
      </c>
      <c r="AN653">
        <f t="shared" si="557"/>
        <v>711.8306289598803</v>
      </c>
      <c r="AO653">
        <f t="shared" si="558"/>
        <v>-86.733366753618185</v>
      </c>
      <c r="AQ653">
        <f t="shared" si="559"/>
        <v>1.9202561223769776E-4</v>
      </c>
      <c r="AR653">
        <f t="shared" si="560"/>
        <v>-0.77922073189935381</v>
      </c>
      <c r="AT653">
        <f t="shared" si="561"/>
        <v>-2833.0541982182999</v>
      </c>
      <c r="AU653">
        <f t="shared" si="562"/>
        <v>-348.06526929775811</v>
      </c>
      <c r="AV653">
        <f t="shared" si="580"/>
        <v>-3.0193465987192969</v>
      </c>
      <c r="AW653">
        <f t="shared" si="581"/>
        <v>1090.5386995114616</v>
      </c>
      <c r="AX653">
        <f t="shared" si="582"/>
        <v>-4766.8230580198378</v>
      </c>
      <c r="AY653">
        <f t="shared" si="590"/>
        <v>-1.3458899578223826</v>
      </c>
      <c r="BA653">
        <f t="shared" si="572"/>
        <v>0.58371551361699803</v>
      </c>
      <c r="BB653">
        <f t="shared" si="583"/>
        <v>-4.675975282718384</v>
      </c>
      <c r="BC653">
        <f t="shared" si="584"/>
        <v>-1.6734566408969143</v>
      </c>
      <c r="BD653">
        <f t="shared" si="573"/>
        <v>-275.88200283109416</v>
      </c>
      <c r="BF653">
        <f t="shared" si="574"/>
        <v>-68.926126260437798</v>
      </c>
      <c r="BG653">
        <f t="shared" si="575"/>
        <v>-192.17480087160365</v>
      </c>
      <c r="BH653">
        <f t="shared" si="585"/>
        <v>-12.174800871603651</v>
      </c>
      <c r="BI653">
        <f t="shared" si="586"/>
        <v>-12.174800871603651</v>
      </c>
      <c r="BJ653">
        <f t="shared" si="576"/>
        <v>0</v>
      </c>
      <c r="BK653">
        <f t="shared" si="587"/>
        <v>0</v>
      </c>
      <c r="BM653">
        <f t="shared" si="588"/>
        <v>-64.250150977719414</v>
      </c>
      <c r="BN653">
        <f t="shared" si="577"/>
        <v>-96.29279804050951</v>
      </c>
      <c r="BQ653" s="75">
        <f t="shared" si="589"/>
        <v>12.225985517566754</v>
      </c>
    </row>
    <row r="654" spans="1:69">
      <c r="A654">
        <f t="shared" si="563"/>
        <v>7800000</v>
      </c>
      <c r="B654">
        <f t="shared" si="578"/>
        <v>7800</v>
      </c>
      <c r="C654">
        <f t="shared" si="539"/>
        <v>9.1703319470066695</v>
      </c>
      <c r="D654">
        <f t="shared" si="540"/>
        <v>1.4615317360941171</v>
      </c>
      <c r="F654">
        <f t="shared" si="541"/>
        <v>7.3315100448060819E-6</v>
      </c>
      <c r="G654">
        <f t="shared" si="542"/>
        <v>8.3128309442243866E-4</v>
      </c>
      <c r="H654">
        <f t="shared" si="564"/>
        <v>-3.1407613669055778</v>
      </c>
      <c r="J654">
        <f t="shared" si="565"/>
        <v>9</v>
      </c>
      <c r="M654">
        <f t="shared" si="543"/>
        <v>5.4111806266287905E-4</v>
      </c>
      <c r="N654">
        <f t="shared" si="566"/>
        <v>-1.5707963250000001</v>
      </c>
      <c r="O654">
        <f t="shared" si="544"/>
        <v>1003.1135448673037</v>
      </c>
      <c r="P654">
        <f t="shared" si="567"/>
        <v>1.5697994305105722</v>
      </c>
      <c r="Q654">
        <f t="shared" si="545"/>
        <v>409.58039348109406</v>
      </c>
      <c r="R654">
        <f t="shared" si="568"/>
        <v>1.5683548012496689</v>
      </c>
      <c r="S654">
        <f t="shared" si="546"/>
        <v>0.18689915800848408</v>
      </c>
      <c r="T654">
        <f t="shared" si="569"/>
        <v>-1.3827915955170929</v>
      </c>
      <c r="U654">
        <f t="shared" si="547"/>
        <v>0.12114964920414092</v>
      </c>
      <c r="V654">
        <f t="shared" si="570"/>
        <v>-1.4493483459224041</v>
      </c>
      <c r="X654">
        <f t="shared" si="548"/>
        <v>-50.325364194473863</v>
      </c>
      <c r="Y654">
        <f t="shared" si="549"/>
        <v>-168.67944346264275</v>
      </c>
      <c r="Z654">
        <f t="shared" si="579"/>
        <v>11.320556537357248</v>
      </c>
      <c r="AC654">
        <v>1</v>
      </c>
      <c r="AD654">
        <f t="shared" si="550"/>
        <v>1003.1130464191202</v>
      </c>
      <c r="AE654">
        <f t="shared" si="551"/>
        <v>-0.27530390804274907</v>
      </c>
      <c r="AF654">
        <f t="shared" si="552"/>
        <v>3.3600464365103999E-2</v>
      </c>
      <c r="AG654">
        <f t="shared" si="553"/>
        <v>434.59730120348422</v>
      </c>
      <c r="AH654">
        <f t="shared" si="554"/>
        <v>-3590.6151217198367</v>
      </c>
      <c r="AJ654">
        <f t="shared" si="571"/>
        <v>55000</v>
      </c>
      <c r="AK654">
        <f t="shared" si="555"/>
        <v>289090.92644932499</v>
      </c>
      <c r="AL654">
        <v>29</v>
      </c>
      <c r="AM654">
        <f t="shared" si="556"/>
        <v>409.57917271771498</v>
      </c>
      <c r="AN654">
        <f t="shared" si="557"/>
        <v>711.76393406153602</v>
      </c>
      <c r="AO654">
        <f t="shared" si="558"/>
        <v>-83.888166686385262</v>
      </c>
      <c r="AQ654">
        <f t="shared" si="559"/>
        <v>1.8713344127527955E-4</v>
      </c>
      <c r="AR654">
        <f t="shared" si="560"/>
        <v>-0.76923072370616408</v>
      </c>
      <c r="AT654">
        <f t="shared" si="561"/>
        <v>-2761.9301409423033</v>
      </c>
      <c r="AU654">
        <f t="shared" si="562"/>
        <v>-334.9775206895244</v>
      </c>
      <c r="AV654">
        <f t="shared" si="580"/>
        <v>-3.0208982955183692</v>
      </c>
      <c r="AW654">
        <f t="shared" si="581"/>
        <v>1083.4784529514834</v>
      </c>
      <c r="AX654">
        <f t="shared" si="582"/>
        <v>-4705.1080570609993</v>
      </c>
      <c r="AY654">
        <f t="shared" si="590"/>
        <v>-1.3444648143100182</v>
      </c>
      <c r="BA654">
        <f t="shared" si="572"/>
        <v>0.57622772125339772</v>
      </c>
      <c r="BB654">
        <f t="shared" si="583"/>
        <v>-4.7881170489223956</v>
      </c>
      <c r="BC654">
        <f t="shared" si="584"/>
        <v>-1.676433481208351</v>
      </c>
      <c r="BD654">
        <f t="shared" si="573"/>
        <v>-276.05256321741876</v>
      </c>
      <c r="BF654">
        <f t="shared" si="574"/>
        <v>-69.151697051251432</v>
      </c>
      <c r="BG654">
        <f t="shared" si="575"/>
        <v>-192.26533400616597</v>
      </c>
      <c r="BH654">
        <f t="shared" si="585"/>
        <v>-12.265334006165972</v>
      </c>
      <c r="BI654">
        <f t="shared" si="586"/>
        <v>-12.265334006165972</v>
      </c>
      <c r="BJ654">
        <f t="shared" si="576"/>
        <v>0</v>
      </c>
      <c r="BK654">
        <f t="shared" si="587"/>
        <v>0</v>
      </c>
      <c r="BM654">
        <f t="shared" si="588"/>
        <v>-64.36358000232903</v>
      </c>
      <c r="BN654">
        <f t="shared" si="577"/>
        <v>-96.212770788747207</v>
      </c>
      <c r="BQ654" s="75">
        <f t="shared" si="589"/>
        <v>12.11384375136274</v>
      </c>
    </row>
    <row r="655" spans="1:69">
      <c r="A655">
        <f t="shared" si="563"/>
        <v>7900000</v>
      </c>
      <c r="B655">
        <f t="shared" si="578"/>
        <v>7900</v>
      </c>
      <c r="C655">
        <f t="shared" si="539"/>
        <v>9.2865110073715016</v>
      </c>
      <c r="D655">
        <f t="shared" si="540"/>
        <v>1.4629040558454509</v>
      </c>
      <c r="F655">
        <f t="shared" si="541"/>
        <v>7.1470756708832442E-6</v>
      </c>
      <c r="G655">
        <f t="shared" si="542"/>
        <v>8.2076037677226022E-4</v>
      </c>
      <c r="H655">
        <f t="shared" si="564"/>
        <v>-3.140771889623228</v>
      </c>
      <c r="J655">
        <f t="shared" si="565"/>
        <v>9</v>
      </c>
      <c r="M655">
        <f t="shared" si="543"/>
        <v>5.3426846693296925E-4</v>
      </c>
      <c r="N655">
        <f t="shared" si="566"/>
        <v>-1.5707963250000001</v>
      </c>
      <c r="O655">
        <f t="shared" si="544"/>
        <v>1015.9739622298761</v>
      </c>
      <c r="P655">
        <f t="shared" si="567"/>
        <v>1.5698120494426777</v>
      </c>
      <c r="Q655">
        <f t="shared" si="545"/>
        <v>414.83139306328076</v>
      </c>
      <c r="R655">
        <f t="shared" si="568"/>
        <v>1.5683857065158207</v>
      </c>
      <c r="S655">
        <f t="shared" si="546"/>
        <v>0.18461447772810355</v>
      </c>
      <c r="T655">
        <f t="shared" si="569"/>
        <v>-1.3851167438338057</v>
      </c>
      <c r="U655">
        <f t="shared" si="547"/>
        <v>0.11963819802024311</v>
      </c>
      <c r="V655">
        <f t="shared" si="570"/>
        <v>-1.4508708718113823</v>
      </c>
      <c r="X655">
        <f t="shared" si="548"/>
        <v>-50.542543562424392</v>
      </c>
      <c r="Y655">
        <f t="shared" si="549"/>
        <v>-168.81937998027973</v>
      </c>
      <c r="Z655">
        <f t="shared" si="579"/>
        <v>11.180620019720266</v>
      </c>
      <c r="AC655">
        <v>1</v>
      </c>
      <c r="AD655">
        <f t="shared" si="550"/>
        <v>1015.9734700911602</v>
      </c>
      <c r="AE655">
        <f t="shared" si="551"/>
        <v>-0.28240823308592983</v>
      </c>
      <c r="AF655">
        <f t="shared" si="552"/>
        <v>3.4031239549272001E-2</v>
      </c>
      <c r="AG655">
        <f t="shared" si="553"/>
        <v>423.82095854800912</v>
      </c>
      <c r="AH655">
        <f t="shared" si="554"/>
        <v>-3546.4628866541002</v>
      </c>
      <c r="AJ655">
        <f t="shared" si="571"/>
        <v>55000</v>
      </c>
      <c r="AK655">
        <f t="shared" si="555"/>
        <v>292797.22037816251</v>
      </c>
      <c r="AL655">
        <v>30</v>
      </c>
      <c r="AM655">
        <f t="shared" si="556"/>
        <v>414.83018775255755</v>
      </c>
      <c r="AN655">
        <f t="shared" si="557"/>
        <v>711.69047798341035</v>
      </c>
      <c r="AO655">
        <f t="shared" si="558"/>
        <v>-81.115807513432912</v>
      </c>
      <c r="AQ655">
        <f t="shared" si="559"/>
        <v>1.8242587059987567E-4</v>
      </c>
      <c r="AR655">
        <f t="shared" si="560"/>
        <v>-0.75949362706846235</v>
      </c>
      <c r="AT655">
        <f t="shared" si="561"/>
        <v>-2693.4386451412702</v>
      </c>
      <c r="AU655">
        <f t="shared" si="562"/>
        <v>-322.53628361490786</v>
      </c>
      <c r="AV655">
        <f t="shared" si="580"/>
        <v>-3.0224112818863027</v>
      </c>
      <c r="AW655">
        <f t="shared" si="581"/>
        <v>1076.6350590061493</v>
      </c>
      <c r="AX655">
        <f t="shared" si="582"/>
        <v>-4644.9036028818091</v>
      </c>
      <c r="AY655">
        <f t="shared" si="590"/>
        <v>-1.3430299986910033</v>
      </c>
      <c r="BA655">
        <f t="shared" si="572"/>
        <v>0.56892928412446719</v>
      </c>
      <c r="BB655">
        <f t="shared" si="583"/>
        <v>-4.8988342300287524</v>
      </c>
      <c r="BC655">
        <f t="shared" si="584"/>
        <v>-1.6793812831952994</v>
      </c>
      <c r="BD655">
        <f t="shared" si="573"/>
        <v>-276.22145983030418</v>
      </c>
      <c r="BF655">
        <f t="shared" si="574"/>
        <v>-69.374364878565075</v>
      </c>
      <c r="BG655">
        <f t="shared" si="575"/>
        <v>-192.3562053963787</v>
      </c>
      <c r="BH655">
        <f t="shared" si="585"/>
        <v>-12.356205396378698</v>
      </c>
      <c r="BI655">
        <f t="shared" si="586"/>
        <v>-12.356205396378698</v>
      </c>
      <c r="BJ655">
        <f t="shared" si="576"/>
        <v>0</v>
      </c>
      <c r="BK655">
        <f t="shared" si="587"/>
        <v>0</v>
      </c>
      <c r="BM655">
        <f t="shared" si="588"/>
        <v>-64.475530648536321</v>
      </c>
      <c r="BN655">
        <f t="shared" si="577"/>
        <v>-96.134745566074542</v>
      </c>
      <c r="BQ655" s="75">
        <f t="shared" si="589"/>
        <v>12.003126570256384</v>
      </c>
    </row>
    <row r="656" spans="1:69">
      <c r="A656">
        <f t="shared" si="563"/>
        <v>8000000</v>
      </c>
      <c r="B656">
        <f t="shared" si="578"/>
        <v>8000</v>
      </c>
      <c r="C656">
        <f t="shared" si="539"/>
        <v>9.4027071244625802</v>
      </c>
      <c r="D656">
        <f t="shared" si="540"/>
        <v>1.4642424605514317</v>
      </c>
      <c r="F656">
        <f t="shared" si="541"/>
        <v>6.969514328737688E-6</v>
      </c>
      <c r="G656">
        <f t="shared" si="542"/>
        <v>8.1050073246679958E-4</v>
      </c>
      <c r="H656">
        <f t="shared" si="564"/>
        <v>-3.1407821492675336</v>
      </c>
      <c r="J656">
        <f t="shared" si="565"/>
        <v>9</v>
      </c>
      <c r="M656">
        <f t="shared" si="543"/>
        <v>5.2759011109630716E-4</v>
      </c>
      <c r="N656">
        <f t="shared" si="566"/>
        <v>-1.5707963250000001</v>
      </c>
      <c r="O656">
        <f t="shared" si="544"/>
        <v>1028.834379750185</v>
      </c>
      <c r="P656">
        <f t="shared" si="567"/>
        <v>1.5698243529017823</v>
      </c>
      <c r="Q656">
        <f t="shared" si="545"/>
        <v>420.0823930317822</v>
      </c>
      <c r="R656">
        <f t="shared" si="568"/>
        <v>1.5684158391547529</v>
      </c>
      <c r="S656">
        <f t="shared" si="546"/>
        <v>0.18238402878364127</v>
      </c>
      <c r="T656">
        <f t="shared" si="569"/>
        <v>-1.3873857208789737</v>
      </c>
      <c r="U656">
        <f t="shared" si="547"/>
        <v>0.11816373168865109</v>
      </c>
      <c r="V656">
        <f t="shared" si="570"/>
        <v>-1.4523558727043449</v>
      </c>
      <c r="X656">
        <f t="shared" si="548"/>
        <v>-50.757089387002559</v>
      </c>
      <c r="Y656">
        <f t="shared" si="549"/>
        <v>-168.95593855674423</v>
      </c>
      <c r="Z656">
        <f t="shared" si="579"/>
        <v>11.044061443255771</v>
      </c>
      <c r="AC656">
        <v>1</v>
      </c>
      <c r="AD656">
        <f t="shared" si="550"/>
        <v>1028.8338937632</v>
      </c>
      <c r="AE656">
        <f t="shared" si="551"/>
        <v>-0.28960305908507467</v>
      </c>
      <c r="AF656">
        <f t="shared" si="552"/>
        <v>3.4462014733440002E-2</v>
      </c>
      <c r="AG656">
        <f t="shared" si="553"/>
        <v>413.43867375092111</v>
      </c>
      <c r="AH656">
        <f t="shared" si="554"/>
        <v>-3503.3675655994157</v>
      </c>
      <c r="AJ656">
        <f t="shared" si="571"/>
        <v>55000</v>
      </c>
      <c r="AK656">
        <f t="shared" si="555"/>
        <v>296503.51430700003</v>
      </c>
      <c r="AL656">
        <v>31</v>
      </c>
      <c r="AM656">
        <f t="shared" si="556"/>
        <v>420.08120278740006</v>
      </c>
      <c r="AN656">
        <f t="shared" si="557"/>
        <v>711.61083333197962</v>
      </c>
      <c r="AO656">
        <f t="shared" si="558"/>
        <v>-78.413563730389868</v>
      </c>
      <c r="AQ656">
        <f t="shared" si="559"/>
        <v>1.7789372813213779E-4</v>
      </c>
      <c r="AR656">
        <f t="shared" si="560"/>
        <v>-0.74999995780509299</v>
      </c>
      <c r="AT656">
        <f t="shared" si="561"/>
        <v>-2627.4519782282655</v>
      </c>
      <c r="AU656">
        <f t="shared" si="562"/>
        <v>-310.70221498544612</v>
      </c>
      <c r="AV656">
        <f t="shared" si="580"/>
        <v>-3.0238869817459499</v>
      </c>
      <c r="AW656">
        <f t="shared" si="581"/>
        <v>1069.9992561279798</v>
      </c>
      <c r="AX656">
        <f t="shared" si="582"/>
        <v>-4586.1558736622865</v>
      </c>
      <c r="AY656">
        <f t="shared" si="590"/>
        <v>-1.3415858544095554</v>
      </c>
      <c r="BA656">
        <f t="shared" si="572"/>
        <v>0.56181297543333208</v>
      </c>
      <c r="BB656">
        <f t="shared" si="583"/>
        <v>-5.0081646941440621</v>
      </c>
      <c r="BC656">
        <f t="shared" si="584"/>
        <v>-1.6823011273363946</v>
      </c>
      <c r="BD656">
        <f t="shared" si="573"/>
        <v>-276.38875457661607</v>
      </c>
      <c r="BF656">
        <f t="shared" si="574"/>
        <v>-69.594206021067478</v>
      </c>
      <c r="BG656">
        <f t="shared" si="575"/>
        <v>-192.44740303598854</v>
      </c>
      <c r="BH656">
        <f t="shared" si="585"/>
        <v>-12.447403035988543</v>
      </c>
      <c r="BI656">
        <f t="shared" si="586"/>
        <v>-12.447403035988543</v>
      </c>
      <c r="BJ656">
        <f t="shared" si="576"/>
        <v>0</v>
      </c>
      <c r="BK656">
        <f t="shared" si="587"/>
        <v>0</v>
      </c>
      <c r="BM656">
        <f t="shared" si="588"/>
        <v>-64.586041326923407</v>
      </c>
      <c r="BN656">
        <f t="shared" si="577"/>
        <v>-96.058648459372463</v>
      </c>
      <c r="BQ656" s="75">
        <f t="shared" si="589"/>
        <v>11.893796106141075</v>
      </c>
    </row>
    <row r="657" spans="1:69">
      <c r="A657">
        <f t="shared" si="563"/>
        <v>8100000</v>
      </c>
      <c r="B657">
        <f t="shared" si="578"/>
        <v>8100</v>
      </c>
      <c r="C657">
        <f t="shared" si="539"/>
        <v>9.5189196736527322</v>
      </c>
      <c r="D657">
        <f t="shared" si="540"/>
        <v>1.4655481874912042</v>
      </c>
      <c r="F657">
        <f t="shared" si="541"/>
        <v>6.7984887096569094E-6</v>
      </c>
      <c r="G657">
        <f t="shared" si="542"/>
        <v>8.0049441778693299E-4</v>
      </c>
      <c r="H657">
        <f t="shared" si="564"/>
        <v>-3.1407921555822131</v>
      </c>
      <c r="J657">
        <f t="shared" si="565"/>
        <v>9</v>
      </c>
      <c r="M657">
        <f t="shared" si="543"/>
        <v>5.2107665293462432E-4</v>
      </c>
      <c r="N657">
        <f t="shared" si="566"/>
        <v>-1.5707963250000001</v>
      </c>
      <c r="O657">
        <f t="shared" si="544"/>
        <v>1041.6947974223885</v>
      </c>
      <c r="P657">
        <f t="shared" si="567"/>
        <v>1.5698363525720569</v>
      </c>
      <c r="Q657">
        <f t="shared" si="545"/>
        <v>425.3333933722904</v>
      </c>
      <c r="R657">
        <f t="shared" si="568"/>
        <v>1.5684452277820733</v>
      </c>
      <c r="S657">
        <f t="shared" si="546"/>
        <v>0.18020593672893481</v>
      </c>
      <c r="T657">
        <f t="shared" si="569"/>
        <v>-1.389600515310683</v>
      </c>
      <c r="U657">
        <f t="shared" si="547"/>
        <v>0.11672491857584433</v>
      </c>
      <c r="V657">
        <f t="shared" si="570"/>
        <v>-1.453804712691235</v>
      </c>
      <c r="X657">
        <f t="shared" si="548"/>
        <v>-50.969063659137106</v>
      </c>
      <c r="Y657">
        <f t="shared" si="549"/>
        <v>-169.08923864874185</v>
      </c>
      <c r="Z657">
        <f t="shared" si="579"/>
        <v>10.910761351258145</v>
      </c>
      <c r="AC657">
        <v>1</v>
      </c>
      <c r="AD657">
        <f t="shared" si="550"/>
        <v>1041.6943174352402</v>
      </c>
      <c r="AE657">
        <f t="shared" si="551"/>
        <v>-0.29688838604018347</v>
      </c>
      <c r="AF657">
        <f t="shared" si="552"/>
        <v>3.4892789917608004E-2</v>
      </c>
      <c r="AG657">
        <f t="shared" si="553"/>
        <v>403.43155340465432</v>
      </c>
      <c r="AH657">
        <f t="shared" si="554"/>
        <v>-3461.2922341026519</v>
      </c>
      <c r="AJ657">
        <f t="shared" si="571"/>
        <v>55000</v>
      </c>
      <c r="AK657">
        <f t="shared" si="555"/>
        <v>300209.8082358375</v>
      </c>
      <c r="AL657">
        <v>32</v>
      </c>
      <c r="AM657">
        <f t="shared" si="556"/>
        <v>425.33221782224251</v>
      </c>
      <c r="AN657">
        <f t="shared" si="557"/>
        <v>711.5255287747849</v>
      </c>
      <c r="AO657">
        <f t="shared" si="558"/>
        <v>-75.77884234642471</v>
      </c>
      <c r="AQ657">
        <f t="shared" si="559"/>
        <v>1.7352840445320449E-4</v>
      </c>
      <c r="AR657">
        <f t="shared" si="560"/>
        <v>-0.74074070008939397</v>
      </c>
      <c r="AT657">
        <f t="shared" si="561"/>
        <v>-2563.8500258694125</v>
      </c>
      <c r="AU657">
        <f t="shared" si="562"/>
        <v>-299.43880382584547</v>
      </c>
      <c r="AV657">
        <f t="shared" si="580"/>
        <v>-3.0253267503543886</v>
      </c>
      <c r="AW657">
        <f t="shared" si="581"/>
        <v>1063.5622809936397</v>
      </c>
      <c r="AX657">
        <f t="shared" si="582"/>
        <v>-4528.813525869863</v>
      </c>
      <c r="AY657">
        <f t="shared" si="590"/>
        <v>-1.3401327100976728</v>
      </c>
      <c r="BA657">
        <f t="shared" si="572"/>
        <v>0.55487193448017946</v>
      </c>
      <c r="BB657">
        <f t="shared" si="583"/>
        <v>-5.1161448264284477</v>
      </c>
      <c r="BC657">
        <f t="shared" si="584"/>
        <v>-1.6851940402567158</v>
      </c>
      <c r="BD657">
        <f t="shared" si="573"/>
        <v>-276.55450627763878</v>
      </c>
      <c r="BF657">
        <f t="shared" si="574"/>
        <v>-69.811293784733223</v>
      </c>
      <c r="BG657">
        <f t="shared" si="575"/>
        <v>-192.53891541368048</v>
      </c>
      <c r="BH657">
        <f t="shared" si="585"/>
        <v>-12.538915413680485</v>
      </c>
      <c r="BI657">
        <f t="shared" si="586"/>
        <v>-12.538915413680485</v>
      </c>
      <c r="BJ657">
        <f t="shared" si="576"/>
        <v>0</v>
      </c>
      <c r="BK657">
        <f t="shared" si="587"/>
        <v>0</v>
      </c>
      <c r="BM657">
        <f t="shared" si="588"/>
        <v>-64.69514895830477</v>
      </c>
      <c r="BN657">
        <f t="shared" si="577"/>
        <v>-95.984409136041734</v>
      </c>
      <c r="BQ657" s="75">
        <f t="shared" si="589"/>
        <v>11.785815973856689</v>
      </c>
    </row>
    <row r="658" spans="1:69">
      <c r="A658">
        <f t="shared" si="563"/>
        <v>8200000</v>
      </c>
      <c r="B658">
        <f t="shared" si="578"/>
        <v>8200</v>
      </c>
      <c r="C658">
        <f t="shared" si="539"/>
        <v>9.6351480603638411</v>
      </c>
      <c r="D658">
        <f t="shared" si="540"/>
        <v>1.4668224147014133</v>
      </c>
      <c r="F658">
        <f t="shared" si="541"/>
        <v>6.6336819465954744E-6</v>
      </c>
      <c r="G658">
        <f t="shared" si="542"/>
        <v>7.9073216433258654E-4</v>
      </c>
      <c r="H658">
        <f t="shared" si="564"/>
        <v>-3.1408019178356676</v>
      </c>
      <c r="J658">
        <f t="shared" si="565"/>
        <v>9</v>
      </c>
      <c r="M658">
        <f t="shared" si="543"/>
        <v>5.1472205960615325E-4</v>
      </c>
      <c r="N658">
        <f t="shared" si="566"/>
        <v>-1.5707963250000001</v>
      </c>
      <c r="O658">
        <f t="shared" si="544"/>
        <v>1054.5552152409293</v>
      </c>
      <c r="P658">
        <f t="shared" si="567"/>
        <v>1.5698480595677131</v>
      </c>
      <c r="Q658">
        <f t="shared" si="545"/>
        <v>430.58439407119562</v>
      </c>
      <c r="R658">
        <f t="shared" si="568"/>
        <v>1.5684738996175198</v>
      </c>
      <c r="S658">
        <f t="shared" si="546"/>
        <v>0.17807841091561885</v>
      </c>
      <c r="T658">
        <f t="shared" si="569"/>
        <v>-1.3917630240593342</v>
      </c>
      <c r="U658">
        <f t="shared" si="547"/>
        <v>0.11532048976724416</v>
      </c>
      <c r="V658">
        <f t="shared" si="570"/>
        <v>-1.4552186908359301</v>
      </c>
      <c r="X658">
        <f t="shared" si="548"/>
        <v>-51.178526244702709</v>
      </c>
      <c r="Y658">
        <f t="shared" si="549"/>
        <v>-169.2193942113951</v>
      </c>
      <c r="Z658">
        <f t="shared" si="579"/>
        <v>10.780605788604902</v>
      </c>
      <c r="AC658">
        <v>1</v>
      </c>
      <c r="AD658">
        <f t="shared" si="550"/>
        <v>1054.5547411072801</v>
      </c>
      <c r="AE658">
        <f t="shared" si="551"/>
        <v>-0.30426421395125652</v>
      </c>
      <c r="AF658">
        <f t="shared" si="552"/>
        <v>3.5323565101775999E-2</v>
      </c>
      <c r="AG658">
        <f t="shared" si="553"/>
        <v>393.78181785416763</v>
      </c>
      <c r="AH658">
        <f t="shared" si="554"/>
        <v>-3420.2016396023664</v>
      </c>
      <c r="AJ658">
        <f t="shared" si="571"/>
        <v>55000</v>
      </c>
      <c r="AK658">
        <f t="shared" si="555"/>
        <v>303916.10216467502</v>
      </c>
      <c r="AL658">
        <v>33</v>
      </c>
      <c r="AM658">
        <f t="shared" si="556"/>
        <v>430.58323285708502</v>
      </c>
      <c r="AN658">
        <f t="shared" si="557"/>
        <v>711.43505265700264</v>
      </c>
      <c r="AO658">
        <f t="shared" si="558"/>
        <v>-73.209175037202627</v>
      </c>
      <c r="AQ658">
        <f t="shared" si="559"/>
        <v>1.6932181188758386E-4</v>
      </c>
      <c r="AR658">
        <f t="shared" si="560"/>
        <v>-0.73170727789100498</v>
      </c>
      <c r="AT658">
        <f t="shared" si="561"/>
        <v>-2502.5197557009124</v>
      </c>
      <c r="AU658">
        <f t="shared" si="562"/>
        <v>-288.71213676368285</v>
      </c>
      <c r="AV658">
        <f t="shared" si="580"/>
        <v>-3.0267318783735027</v>
      </c>
      <c r="AW658">
        <f t="shared" si="581"/>
        <v>1057.315836531096</v>
      </c>
      <c r="AX658">
        <f t="shared" si="582"/>
        <v>-4472.8275563234101</v>
      </c>
      <c r="AY658">
        <f t="shared" si="590"/>
        <v>-1.3386708803902854</v>
      </c>
      <c r="BA658">
        <f t="shared" si="572"/>
        <v>0.54809964360604579</v>
      </c>
      <c r="BB658">
        <f t="shared" si="583"/>
        <v>-5.222809606429669</v>
      </c>
      <c r="BC658">
        <f t="shared" si="584"/>
        <v>-1.6880609979832173</v>
      </c>
      <c r="BD658">
        <f t="shared" si="573"/>
        <v>-276.71877085559743</v>
      </c>
      <c r="BF658">
        <f t="shared" si="574"/>
        <v>-70.025698656708627</v>
      </c>
      <c r="BG658">
        <f t="shared" si="575"/>
        <v>-192.63073148619213</v>
      </c>
      <c r="BH658">
        <f t="shared" si="585"/>
        <v>-12.630731486192133</v>
      </c>
      <c r="BI658">
        <f t="shared" si="586"/>
        <v>-12.630731486192133</v>
      </c>
      <c r="BJ658">
        <f t="shared" si="576"/>
        <v>0</v>
      </c>
      <c r="BK658">
        <f t="shared" si="587"/>
        <v>0</v>
      </c>
      <c r="BM658">
        <f t="shared" si="588"/>
        <v>-64.802889050278964</v>
      </c>
      <c r="BN658">
        <f t="shared" si="577"/>
        <v>-95.911960630594734</v>
      </c>
      <c r="BQ658" s="75">
        <f t="shared" si="589"/>
        <v>11.679151193855468</v>
      </c>
    </row>
    <row r="659" spans="1:69">
      <c r="A659">
        <f t="shared" si="563"/>
        <v>8300000</v>
      </c>
      <c r="B659">
        <f t="shared" si="578"/>
        <v>8300</v>
      </c>
      <c r="C659">
        <f t="shared" si="539"/>
        <v>9.7513917182861398</v>
      </c>
      <c r="D659">
        <f t="shared" si="540"/>
        <v>1.4680662644672458</v>
      </c>
      <c r="F659">
        <f t="shared" si="541"/>
        <v>6.4747961454184962E-6</v>
      </c>
      <c r="G659">
        <f t="shared" si="542"/>
        <v>7.8120515038794709E-4</v>
      </c>
      <c r="H659">
        <f t="shared" si="564"/>
        <v>-3.1408114448496121</v>
      </c>
      <c r="J659">
        <f t="shared" si="565"/>
        <v>9</v>
      </c>
      <c r="M659">
        <f t="shared" si="543"/>
        <v>5.0852058900848884E-4</v>
      </c>
      <c r="N659">
        <f t="shared" si="566"/>
        <v>-1.5707963250000001</v>
      </c>
      <c r="O659">
        <f t="shared" si="544"/>
        <v>1067.4156332005184</v>
      </c>
      <c r="P659">
        <f t="shared" si="567"/>
        <v>1.569859484467339</v>
      </c>
      <c r="Q659">
        <f t="shared" si="545"/>
        <v>435.83539511554375</v>
      </c>
      <c r="R659">
        <f t="shared" si="568"/>
        <v>1.5685018805690472</v>
      </c>
      <c r="S659">
        <f t="shared" si="546"/>
        <v>0.17599973995688611</v>
      </c>
      <c r="T659">
        <f t="shared" si="569"/>
        <v>-1.3938750574952983</v>
      </c>
      <c r="U659">
        <f t="shared" si="547"/>
        <v>0.1139492354441678</v>
      </c>
      <c r="V659">
        <f t="shared" si="570"/>
        <v>-1.4565990449879442</v>
      </c>
      <c r="X659">
        <f t="shared" si="548"/>
        <v>-51.385534978815016</v>
      </c>
      <c r="Y659">
        <f t="shared" si="549"/>
        <v>-169.34651400755604</v>
      </c>
      <c r="Z659">
        <f t="shared" si="579"/>
        <v>10.653485992443962</v>
      </c>
      <c r="AC659">
        <v>1</v>
      </c>
      <c r="AD659">
        <f t="shared" si="550"/>
        <v>1067.4151647793201</v>
      </c>
      <c r="AE659">
        <f t="shared" si="551"/>
        <v>-0.3117305428182936</v>
      </c>
      <c r="AF659">
        <f t="shared" si="552"/>
        <v>3.5754340285944E-2</v>
      </c>
      <c r="AG659">
        <f t="shared" si="553"/>
        <v>384.47272368883404</v>
      </c>
      <c r="AH659">
        <f t="shared" si="554"/>
        <v>-3380.062109602346</v>
      </c>
      <c r="AJ659">
        <f t="shared" si="571"/>
        <v>55000</v>
      </c>
      <c r="AK659">
        <f t="shared" si="555"/>
        <v>307622.39609351254</v>
      </c>
      <c r="AL659">
        <v>34</v>
      </c>
      <c r="AM659">
        <f t="shared" si="556"/>
        <v>435.83424789192759</v>
      </c>
      <c r="AN659">
        <f t="shared" si="557"/>
        <v>711.33985629091023</v>
      </c>
      <c r="AO659">
        <f t="shared" si="558"/>
        <v>-70.702210840828656</v>
      </c>
      <c r="AQ659">
        <f t="shared" si="559"/>
        <v>1.6526634701587129E-4</v>
      </c>
      <c r="AR659">
        <f t="shared" si="560"/>
        <v>-0.72289152848212257</v>
      </c>
      <c r="AT659">
        <f t="shared" si="561"/>
        <v>-2443.3547243723765</v>
      </c>
      <c r="AU659">
        <f t="shared" si="562"/>
        <v>-278.49068540464674</v>
      </c>
      <c r="AV659">
        <f t="shared" si="580"/>
        <v>-3.0281035956557272</v>
      </c>
      <c r="AW659">
        <f t="shared" si="581"/>
        <v>1051.2520623103246</v>
      </c>
      <c r="AX659">
        <f t="shared" si="582"/>
        <v>-4418.1511731315795</v>
      </c>
      <c r="AY659">
        <f t="shared" si="590"/>
        <v>-1.3372006666872629</v>
      </c>
      <c r="BA659">
        <f t="shared" si="572"/>
        <v>0.54148990686863729</v>
      </c>
      <c r="BB659">
        <f t="shared" si="583"/>
        <v>-5.3281926803893906</v>
      </c>
      <c r="BC659">
        <f t="shared" si="584"/>
        <v>-1.6909029289684643</v>
      </c>
      <c r="BD659">
        <f t="shared" si="573"/>
        <v>-276.88160150690561</v>
      </c>
      <c r="BF659">
        <f t="shared" si="574"/>
        <v>-70.237488449291305</v>
      </c>
      <c r="BG659">
        <f t="shared" si="575"/>
        <v>-192.72284065317933</v>
      </c>
      <c r="BH659">
        <f t="shared" si="585"/>
        <v>-12.722840653179333</v>
      </c>
      <c r="BI659">
        <f t="shared" si="586"/>
        <v>-12.722840653179333</v>
      </c>
      <c r="BJ659">
        <f t="shared" si="576"/>
        <v>0</v>
      </c>
      <c r="BK659">
        <f t="shared" si="587"/>
        <v>0</v>
      </c>
      <c r="BM659">
        <f t="shared" si="588"/>
        <v>-64.909295768901913</v>
      </c>
      <c r="BN659">
        <f t="shared" si="577"/>
        <v>-95.841239146273765</v>
      </c>
      <c r="BQ659" s="75">
        <f t="shared" si="589"/>
        <v>11.573768119895744</v>
      </c>
    </row>
    <row r="660" spans="1:69">
      <c r="A660">
        <f t="shared" si="563"/>
        <v>8400000</v>
      </c>
      <c r="B660">
        <f t="shared" si="578"/>
        <v>8400</v>
      </c>
      <c r="C660">
        <f t="shared" si="539"/>
        <v>9.8676501077223211</v>
      </c>
      <c r="D660">
        <f t="shared" si="540"/>
        <v>1.4692808065703702</v>
      </c>
      <c r="F660">
        <f t="shared" si="541"/>
        <v>6.3215510378074366E-6</v>
      </c>
      <c r="G660">
        <f t="shared" si="542"/>
        <v>7.7190497433210394E-4</v>
      </c>
      <c r="H660">
        <f t="shared" si="564"/>
        <v>-3.140820745025668</v>
      </c>
      <c r="J660">
        <f t="shared" si="565"/>
        <v>9</v>
      </c>
      <c r="M660">
        <f t="shared" si="543"/>
        <v>5.0246677247267342E-4</v>
      </c>
      <c r="N660">
        <f t="shared" si="566"/>
        <v>-1.5707963250000001</v>
      </c>
      <c r="O660">
        <f t="shared" si="544"/>
        <v>1080.2760512961177</v>
      </c>
      <c r="P660">
        <f t="shared" si="567"/>
        <v>1.5698706373457811</v>
      </c>
      <c r="Q660">
        <f t="shared" si="545"/>
        <v>441.08639649299755</v>
      </c>
      <c r="R660">
        <f t="shared" si="568"/>
        <v>1.5685291953109086</v>
      </c>
      <c r="S660">
        <f t="shared" si="546"/>
        <v>0.17396828747603701</v>
      </c>
      <c r="T660">
        <f t="shared" si="569"/>
        <v>-1.395938344255292</v>
      </c>
      <c r="U660">
        <f t="shared" si="547"/>
        <v>0.11261000150720363</v>
      </c>
      <c r="V660">
        <f t="shared" si="570"/>
        <v>-1.4579469553303244</v>
      </c>
      <c r="X660">
        <f t="shared" si="548"/>
        <v>-51.590145755050131</v>
      </c>
      <c r="Y660">
        <f t="shared" si="549"/>
        <v>-169.47070189674665</v>
      </c>
      <c r="Z660">
        <f t="shared" si="579"/>
        <v>10.529298103253353</v>
      </c>
      <c r="AC660">
        <v>1</v>
      </c>
      <c r="AD660">
        <f t="shared" si="550"/>
        <v>1080.2755884513601</v>
      </c>
      <c r="AE660">
        <f t="shared" si="551"/>
        <v>-0.31928737264129475</v>
      </c>
      <c r="AF660">
        <f t="shared" si="552"/>
        <v>3.6185115470112002E-2</v>
      </c>
      <c r="AG660">
        <f t="shared" si="553"/>
        <v>375.48849242613318</v>
      </c>
      <c r="AH660">
        <f t="shared" si="554"/>
        <v>-3340.8414657024337</v>
      </c>
      <c r="AJ660">
        <f t="shared" si="571"/>
        <v>55000</v>
      </c>
      <c r="AK660">
        <f t="shared" si="555"/>
        <v>311328.69002235</v>
      </c>
      <c r="AL660">
        <v>35</v>
      </c>
      <c r="AM660">
        <f t="shared" si="556"/>
        <v>441.08526292677004</v>
      </c>
      <c r="AN660">
        <f t="shared" si="557"/>
        <v>711.24035695073553</v>
      </c>
      <c r="AO660">
        <f t="shared" si="558"/>
        <v>-68.255709354140521</v>
      </c>
      <c r="AQ660">
        <f t="shared" si="559"/>
        <v>1.6135485629261925E-4</v>
      </c>
      <c r="AR660">
        <f t="shared" si="560"/>
        <v>-0.71428567783616681</v>
      </c>
      <c r="AT660">
        <f t="shared" si="561"/>
        <v>-2386.2546239807007</v>
      </c>
      <c r="AU660">
        <f t="shared" si="562"/>
        <v>-268.74511332687575</v>
      </c>
      <c r="AV660">
        <f t="shared" si="580"/>
        <v>-3.0294430747678418</v>
      </c>
      <c r="AW660">
        <f t="shared" si="581"/>
        <v>1045.3635071012216</v>
      </c>
      <c r="AX660">
        <f t="shared" si="582"/>
        <v>-4364.739674867842</v>
      </c>
      <c r="AY660">
        <f t="shared" si="590"/>
        <v>-1.3357223578662742</v>
      </c>
      <c r="BA660">
        <f t="shared" si="572"/>
        <v>0.53503683029940663</v>
      </c>
      <c r="BB660">
        <f t="shared" si="583"/>
        <v>-5.4323264289116437</v>
      </c>
      <c r="BC660">
        <f t="shared" si="584"/>
        <v>-1.6937207169015676</v>
      </c>
      <c r="BD660">
        <f t="shared" si="573"/>
        <v>-277.04304886321978</v>
      </c>
      <c r="BF660">
        <f t="shared" si="574"/>
        <v>-70.446728434762974</v>
      </c>
      <c r="BG660">
        <f t="shared" si="575"/>
        <v>-192.81523273370138</v>
      </c>
      <c r="BH660">
        <f t="shared" si="585"/>
        <v>-12.815232733701379</v>
      </c>
      <c r="BI660">
        <f t="shared" si="586"/>
        <v>-12.815232733701379</v>
      </c>
      <c r="BJ660">
        <f t="shared" si="576"/>
        <v>0</v>
      </c>
      <c r="BK660">
        <f t="shared" si="587"/>
        <v>0</v>
      </c>
      <c r="BM660">
        <f t="shared" si="588"/>
        <v>-65.014402005851338</v>
      </c>
      <c r="BN660">
        <f t="shared" si="577"/>
        <v>-95.772183870481626</v>
      </c>
      <c r="BQ660" s="75">
        <f t="shared" si="589"/>
        <v>11.469634371373495</v>
      </c>
    </row>
    <row r="661" spans="1:69">
      <c r="A661">
        <f t="shared" si="563"/>
        <v>8500000</v>
      </c>
      <c r="B661">
        <f t="shared" si="578"/>
        <v>8500</v>
      </c>
      <c r="C661">
        <f t="shared" si="539"/>
        <v>9.9839227140463951</v>
      </c>
      <c r="D661">
        <f t="shared" si="540"/>
        <v>1.470467061313228</v>
      </c>
      <c r="F661">
        <f t="shared" si="541"/>
        <v>6.1736827444455994E-6</v>
      </c>
      <c r="G661">
        <f t="shared" si="542"/>
        <v>7.6282362992666892E-4</v>
      </c>
      <c r="H661">
        <f t="shared" si="564"/>
        <v>-3.1408298263700734</v>
      </c>
      <c r="J661">
        <f t="shared" si="565"/>
        <v>9</v>
      </c>
      <c r="M661">
        <f t="shared" si="543"/>
        <v>4.9655539867887732E-4</v>
      </c>
      <c r="N661">
        <f t="shared" si="566"/>
        <v>-1.5707963250000001</v>
      </c>
      <c r="O661">
        <f t="shared" si="544"/>
        <v>1093.1364695229277</v>
      </c>
      <c r="P661">
        <f t="shared" si="567"/>
        <v>1.5698815278037765</v>
      </c>
      <c r="Q661">
        <f t="shared" si="545"/>
        <v>446.3373981918005</v>
      </c>
      <c r="R661">
        <f t="shared" si="568"/>
        <v>1.5685558673562265</v>
      </c>
      <c r="S661">
        <f t="shared" si="546"/>
        <v>0.17198248811973438</v>
      </c>
      <c r="T661">
        <f t="shared" si="569"/>
        <v>-1.3979545357531464</v>
      </c>
      <c r="U661">
        <f t="shared" si="547"/>
        <v>0.11130168642682367</v>
      </c>
      <c r="V661">
        <f t="shared" si="570"/>
        <v>-1.4592635476846985</v>
      </c>
      <c r="X661">
        <f t="shared" si="548"/>
        <v>-51.792412609906549</v>
      </c>
      <c r="Y661">
        <f t="shared" si="549"/>
        <v>-169.59205710525313</v>
      </c>
      <c r="Z661">
        <f t="shared" si="579"/>
        <v>10.407942894746867</v>
      </c>
      <c r="AC661">
        <v>1</v>
      </c>
      <c r="AD661">
        <f t="shared" si="550"/>
        <v>1093.1360121234002</v>
      </c>
      <c r="AE661">
        <f t="shared" si="551"/>
        <v>-0.32693470342026004</v>
      </c>
      <c r="AF661">
        <f t="shared" si="552"/>
        <v>3.6615890654280003E-2</v>
      </c>
      <c r="AG661">
        <f t="shared" si="553"/>
        <v>366.81424483087585</v>
      </c>
      <c r="AH661">
        <f t="shared" si="554"/>
        <v>-3302.5089430666153</v>
      </c>
      <c r="AJ661">
        <f t="shared" si="571"/>
        <v>55000</v>
      </c>
      <c r="AK661">
        <f t="shared" si="555"/>
        <v>315034.98395118752</v>
      </c>
      <c r="AL661">
        <v>36</v>
      </c>
      <c r="AM661">
        <f t="shared" si="556"/>
        <v>446.33627796161255</v>
      </c>
      <c r="AN661">
        <f t="shared" si="557"/>
        <v>711.13694060186106</v>
      </c>
      <c r="AO661">
        <f t="shared" si="558"/>
        <v>-65.86753439042991</v>
      </c>
      <c r="AQ661">
        <f t="shared" si="559"/>
        <v>1.5758060447884994E-4</v>
      </c>
      <c r="AR661">
        <f t="shared" si="560"/>
        <v>-0.70588231776300825</v>
      </c>
      <c r="AT661">
        <f t="shared" si="561"/>
        <v>-2331.1248643544932</v>
      </c>
      <c r="AU661">
        <f t="shared" si="562"/>
        <v>-259.44810068525146</v>
      </c>
      <c r="AV661">
        <f t="shared" si="580"/>
        <v>-3.0307514342736201</v>
      </c>
      <c r="AW661">
        <f t="shared" si="581"/>
        <v>1039.6431034203929</v>
      </c>
      <c r="AX661">
        <f t="shared" si="582"/>
        <v>-4312.5503373942665</v>
      </c>
      <c r="AY661">
        <f t="shared" si="590"/>
        <v>-1.3342362309501443</v>
      </c>
      <c r="BA661">
        <f t="shared" si="572"/>
        <v>0.52873480360598868</v>
      </c>
      <c r="BB661">
        <f t="shared" si="583"/>
        <v>-5.5352420303485905</v>
      </c>
      <c r="BC661">
        <f t="shared" si="584"/>
        <v>-1.6965152033234758</v>
      </c>
      <c r="BD661">
        <f t="shared" si="573"/>
        <v>-277.20316114128468</v>
      </c>
      <c r="BF661">
        <f t="shared" si="574"/>
        <v>-70.653481471768259</v>
      </c>
      <c r="BG661">
        <f t="shared" si="575"/>
        <v>-192.90789794420286</v>
      </c>
      <c r="BH661">
        <f t="shared" si="585"/>
        <v>-12.907897944202858</v>
      </c>
      <c r="BI661">
        <f t="shared" si="586"/>
        <v>-12.907897944202858</v>
      </c>
      <c r="BJ661">
        <f t="shared" si="576"/>
        <v>0</v>
      </c>
      <c r="BK661">
        <f t="shared" si="587"/>
        <v>0</v>
      </c>
      <c r="BM661">
        <f t="shared" si="588"/>
        <v>-65.118239441419675</v>
      </c>
      <c r="BN661">
        <f t="shared" si="577"/>
        <v>-95.704736802918148</v>
      </c>
      <c r="BQ661" s="75">
        <f t="shared" si="589"/>
        <v>11.366718769936545</v>
      </c>
    </row>
    <row r="662" spans="1:69">
      <c r="A662">
        <f t="shared" si="563"/>
        <v>8600000</v>
      </c>
      <c r="B662">
        <f t="shared" si="578"/>
        <v>8600</v>
      </c>
      <c r="C662">
        <f t="shared" si="539"/>
        <v>10.100209046268157</v>
      </c>
      <c r="D662">
        <f t="shared" si="540"/>
        <v>1.4716260023373748</v>
      </c>
      <c r="F662">
        <f t="shared" si="541"/>
        <v>6.0309426382849605E-6</v>
      </c>
      <c r="G662">
        <f t="shared" si="542"/>
        <v>7.5395348332758891E-4</v>
      </c>
      <c r="H662">
        <f t="shared" si="564"/>
        <v>-3.1408386965166728</v>
      </c>
      <c r="J662">
        <f t="shared" si="565"/>
        <v>9</v>
      </c>
      <c r="M662">
        <f t="shared" si="543"/>
        <v>4.9078149869423915E-4</v>
      </c>
      <c r="N662">
        <f t="shared" si="566"/>
        <v>-1.5707963250000001</v>
      </c>
      <c r="O662">
        <f t="shared" si="544"/>
        <v>1105.9968878763707</v>
      </c>
      <c r="P662">
        <f t="shared" si="567"/>
        <v>1.5698921649955162</v>
      </c>
      <c r="Q662">
        <f t="shared" si="545"/>
        <v>451.58840020074268</v>
      </c>
      <c r="R662">
        <f t="shared" si="568"/>
        <v>1.5685819191244985</v>
      </c>
      <c r="S662">
        <f t="shared" si="546"/>
        <v>0.17004084381742726</v>
      </c>
      <c r="T662">
        <f t="shared" si="569"/>
        <v>-1.3999252103984947</v>
      </c>
      <c r="U662">
        <f t="shared" si="547"/>
        <v>0.11002323830372436</v>
      </c>
      <c r="V662">
        <f t="shared" si="570"/>
        <v>-1.4605498965925647</v>
      </c>
      <c r="X662">
        <f t="shared" si="548"/>
        <v>-51.992387802804878</v>
      </c>
      <c r="Y662">
        <f t="shared" si="549"/>
        <v>-169.71067447877482</v>
      </c>
      <c r="Z662">
        <f t="shared" si="579"/>
        <v>10.28932552122518</v>
      </c>
      <c r="AC662">
        <v>1</v>
      </c>
      <c r="AD662">
        <f t="shared" si="550"/>
        <v>1105.99643579544</v>
      </c>
      <c r="AE662">
        <f t="shared" si="551"/>
        <v>-0.33467253515518941</v>
      </c>
      <c r="AF662">
        <f t="shared" si="552"/>
        <v>3.7046665838448005E-2</v>
      </c>
      <c r="AG662">
        <f t="shared" si="553"/>
        <v>358.43594036899776</v>
      </c>
      <c r="AH662">
        <f t="shared" si="554"/>
        <v>-3265.0351149412395</v>
      </c>
      <c r="AJ662">
        <f t="shared" si="571"/>
        <v>55000</v>
      </c>
      <c r="AK662">
        <f t="shared" si="555"/>
        <v>318741.27788002504</v>
      </c>
      <c r="AL662">
        <v>37</v>
      </c>
      <c r="AM662">
        <f t="shared" si="556"/>
        <v>451.58729299645501</v>
      </c>
      <c r="AN662">
        <f t="shared" si="557"/>
        <v>711.02996439024673</v>
      </c>
      <c r="AO662">
        <f t="shared" si="558"/>
        <v>-63.535648063033754</v>
      </c>
      <c r="AQ662">
        <f t="shared" si="559"/>
        <v>1.5393724562892515E-4</v>
      </c>
      <c r="AR662">
        <f t="shared" si="560"/>
        <v>-0.69767438463941456</v>
      </c>
      <c r="AT662">
        <f t="shared" si="561"/>
        <v>-2277.8761880013149</v>
      </c>
      <c r="AU662">
        <f t="shared" si="562"/>
        <v>-250.57418464206617</v>
      </c>
      <c r="AV662">
        <f t="shared" si="580"/>
        <v>-3.032029741794279</v>
      </c>
      <c r="AW662">
        <f t="shared" si="581"/>
        <v>1034.0841439046442</v>
      </c>
      <c r="AX662">
        <f t="shared" si="582"/>
        <v>-4261.5423077915857</v>
      </c>
      <c r="AY662">
        <f t="shared" si="590"/>
        <v>-1.3327425517320588</v>
      </c>
      <c r="BA662">
        <f t="shared" si="572"/>
        <v>0.52257848319735301</v>
      </c>
      <c r="BB662">
        <f t="shared" si="583"/>
        <v>-5.6369695202272272</v>
      </c>
      <c r="BC662">
        <f t="shared" si="584"/>
        <v>-1.6992871900622202</v>
      </c>
      <c r="BD662">
        <f t="shared" si="573"/>
        <v>-277.36198428246246</v>
      </c>
      <c r="BF662">
        <f t="shared" si="574"/>
        <v>-70.85780812387091</v>
      </c>
      <c r="BG662">
        <f t="shared" si="575"/>
        <v>-193.00082687788094</v>
      </c>
      <c r="BH662">
        <f t="shared" si="585"/>
        <v>-13.000826877880939</v>
      </c>
      <c r="BI662">
        <f t="shared" si="586"/>
        <v>-13.000826877880939</v>
      </c>
      <c r="BJ662">
        <f t="shared" si="576"/>
        <v>0</v>
      </c>
      <c r="BK662">
        <f t="shared" si="587"/>
        <v>0</v>
      </c>
      <c r="BM662">
        <f t="shared" si="588"/>
        <v>-65.220838603643699</v>
      </c>
      <c r="BN662">
        <f t="shared" si="577"/>
        <v>-95.638842595418481</v>
      </c>
      <c r="BQ662" s="75">
        <f t="shared" si="589"/>
        <v>11.264991280057908</v>
      </c>
    </row>
    <row r="663" spans="1:69">
      <c r="A663">
        <f t="shared" si="563"/>
        <v>8700000</v>
      </c>
      <c r="B663">
        <f t="shared" si="578"/>
        <v>8700</v>
      </c>
      <c r="C663">
        <f t="shared" si="539"/>
        <v>10.216508635694931</v>
      </c>
      <c r="D663">
        <f t="shared" si="540"/>
        <v>1.4727585592519943</v>
      </c>
      <c r="F663">
        <f t="shared" si="541"/>
        <v>5.8930962987447845E-6</v>
      </c>
      <c r="G663">
        <f t="shared" si="542"/>
        <v>7.4528725168241739E-4</v>
      </c>
      <c r="H663">
        <f t="shared" si="564"/>
        <v>-3.140847362748318</v>
      </c>
      <c r="J663">
        <f t="shared" si="565"/>
        <v>9</v>
      </c>
      <c r="M663">
        <f t="shared" si="543"/>
        <v>4.8514033204258126E-4</v>
      </c>
      <c r="N663">
        <f t="shared" si="566"/>
        <v>-1.5707963250000001</v>
      </c>
      <c r="O663">
        <f t="shared" si="544"/>
        <v>1118.8573063520803</v>
      </c>
      <c r="P663">
        <f t="shared" si="567"/>
        <v>1.5699025576543102</v>
      </c>
      <c r="Q663">
        <f t="shared" si="545"/>
        <v>456.83940250912974</v>
      </c>
      <c r="R663">
        <f t="shared" si="568"/>
        <v>1.5686073720044489</v>
      </c>
      <c r="S663">
        <f t="shared" si="546"/>
        <v>0.16814192026983113</v>
      </c>
      <c r="T663">
        <f t="shared" si="569"/>
        <v>-1.4018518775449393</v>
      </c>
      <c r="U663">
        <f t="shared" si="547"/>
        <v>0.10877365212289819</v>
      </c>
      <c r="V663">
        <f t="shared" si="570"/>
        <v>-1.4618070281902238</v>
      </c>
      <c r="X663">
        <f t="shared" si="548"/>
        <v>-52.190121891899949</v>
      </c>
      <c r="Y663">
        <f t="shared" si="549"/>
        <v>-169.82664471891061</v>
      </c>
      <c r="Z663">
        <f t="shared" si="579"/>
        <v>10.173355281089385</v>
      </c>
      <c r="AC663">
        <v>1</v>
      </c>
      <c r="AD663">
        <f t="shared" si="550"/>
        <v>1118.8568594674803</v>
      </c>
      <c r="AE663">
        <f t="shared" si="551"/>
        <v>-0.3425008678460828</v>
      </c>
      <c r="AF663">
        <f t="shared" si="552"/>
        <v>3.7477441022616E-2</v>
      </c>
      <c r="AG663">
        <f t="shared" si="553"/>
        <v>350.34032134429236</v>
      </c>
      <c r="AH663">
        <f t="shared" si="554"/>
        <v>-3228.3918218664494</v>
      </c>
      <c r="AJ663">
        <f t="shared" si="571"/>
        <v>55000</v>
      </c>
      <c r="AK663">
        <f t="shared" si="555"/>
        <v>322447.5718088625</v>
      </c>
      <c r="AL663">
        <v>38</v>
      </c>
      <c r="AM663">
        <f t="shared" si="556"/>
        <v>456.83830803129757</v>
      </c>
      <c r="AN663">
        <f t="shared" si="557"/>
        <v>710.91975891518075</v>
      </c>
      <c r="AO663">
        <f t="shared" si="558"/>
        <v>-61.258105262280012</v>
      </c>
      <c r="AQ663">
        <f t="shared" si="559"/>
        <v>1.5041879639825532E-4</v>
      </c>
      <c r="AR663">
        <f t="shared" si="560"/>
        <v>-0.68965513960636093</v>
      </c>
      <c r="AT663">
        <f t="shared" si="561"/>
        <v>-2226.4243148438736</v>
      </c>
      <c r="AU663">
        <f t="shared" si="562"/>
        <v>-242.09961403858242</v>
      </c>
      <c r="AV663">
        <f t="shared" si="580"/>
        <v>-3.0332790168640122</v>
      </c>
      <c r="AW663">
        <f t="shared" si="581"/>
        <v>1028.6802593636271</v>
      </c>
      <c r="AX663">
        <f t="shared" si="582"/>
        <v>-4211.6765048949001</v>
      </c>
      <c r="AY663">
        <f t="shared" si="590"/>
        <v>-1.3312415753616771</v>
      </c>
      <c r="BA663">
        <f t="shared" si="572"/>
        <v>0.51656277642084358</v>
      </c>
      <c r="BB663">
        <f t="shared" si="583"/>
        <v>-5.737537847012149</v>
      </c>
      <c r="BC663">
        <f t="shared" si="584"/>
        <v>-1.7020374415023352</v>
      </c>
      <c r="BD663">
        <f t="shared" si="573"/>
        <v>-277.5195620827609</v>
      </c>
      <c r="BF663">
        <f t="shared" si="574"/>
        <v>-71.059766770864726</v>
      </c>
      <c r="BG663">
        <f t="shared" si="575"/>
        <v>-193.09401048533726</v>
      </c>
      <c r="BH663">
        <f t="shared" si="585"/>
        <v>-13.094010485337265</v>
      </c>
      <c r="BI663">
        <f t="shared" si="586"/>
        <v>-13.094010485337265</v>
      </c>
      <c r="BJ663">
        <f t="shared" si="576"/>
        <v>0</v>
      </c>
      <c r="BK663">
        <f t="shared" si="587"/>
        <v>0</v>
      </c>
      <c r="BM663">
        <f t="shared" si="588"/>
        <v>-65.322228923852578</v>
      </c>
      <c r="BN663">
        <f t="shared" si="577"/>
        <v>-95.574448402576408</v>
      </c>
      <c r="BQ663" s="75">
        <f t="shared" si="589"/>
        <v>11.164422953272988</v>
      </c>
    </row>
    <row r="664" spans="1:69">
      <c r="A664">
        <f t="shared" si="563"/>
        <v>8800000</v>
      </c>
      <c r="B664">
        <f t="shared" si="578"/>
        <v>8800</v>
      </c>
      <c r="C664">
        <f t="shared" si="539"/>
        <v>10.332821034682995</v>
      </c>
      <c r="D664">
        <f t="shared" si="540"/>
        <v>1.4738656200872873</v>
      </c>
      <c r="F664">
        <f t="shared" si="541"/>
        <v>5.7599225486229298E-6</v>
      </c>
      <c r="G664">
        <f t="shared" si="542"/>
        <v>7.368179831869204E-4</v>
      </c>
      <c r="H664">
        <f t="shared" si="564"/>
        <v>-3.1408558320168134</v>
      </c>
      <c r="J664">
        <f t="shared" si="565"/>
        <v>9</v>
      </c>
      <c r="M664">
        <f t="shared" si="543"/>
        <v>4.7962737372391558E-4</v>
      </c>
      <c r="N664">
        <f t="shared" si="566"/>
        <v>-1.5707963250000001</v>
      </c>
      <c r="O664">
        <f t="shared" si="544"/>
        <v>1131.7177249458882</v>
      </c>
      <c r="P664">
        <f t="shared" si="567"/>
        <v>1.5699127141164999</v>
      </c>
      <c r="Q664">
        <f t="shared" si="545"/>
        <v>462.09040510675345</v>
      </c>
      <c r="R664">
        <f t="shared" si="568"/>
        <v>1.5686322464125955</v>
      </c>
      <c r="S664">
        <f t="shared" si="546"/>
        <v>0.16628434365065636</v>
      </c>
      <c r="T664">
        <f t="shared" si="569"/>
        <v>-1.4037359811874912</v>
      </c>
      <c r="U664">
        <f t="shared" si="547"/>
        <v>0.10755196718680991</v>
      </c>
      <c r="V664">
        <f t="shared" si="570"/>
        <v>-1.4630359228932304</v>
      </c>
      <c r="X664">
        <f t="shared" si="548"/>
        <v>-52.385663805961009</v>
      </c>
      <c r="Y664">
        <f t="shared" si="549"/>
        <v>-169.94005460466283</v>
      </c>
      <c r="Z664">
        <f t="shared" si="579"/>
        <v>10.059945395337166</v>
      </c>
      <c r="AC664">
        <v>1</v>
      </c>
      <c r="AD664">
        <f t="shared" si="550"/>
        <v>1131.7172831395201</v>
      </c>
      <c r="AE664">
        <f t="shared" si="551"/>
        <v>-0.35041970149294027</v>
      </c>
      <c r="AF664">
        <f t="shared" si="552"/>
        <v>3.7908216206784001E-2</v>
      </c>
      <c r="AG664">
        <f t="shared" si="553"/>
        <v>342.51486131044356</v>
      </c>
      <c r="AH664">
        <f t="shared" si="554"/>
        <v>-3192.5521052516101</v>
      </c>
      <c r="AJ664">
        <f t="shared" si="571"/>
        <v>55000</v>
      </c>
      <c r="AK664">
        <f t="shared" si="555"/>
        <v>326153.86573770002</v>
      </c>
      <c r="AL664">
        <v>39</v>
      </c>
      <c r="AM664">
        <f t="shared" si="556"/>
        <v>462.08932306614008</v>
      </c>
      <c r="AN664">
        <f t="shared" si="557"/>
        <v>710.80663030604705</v>
      </c>
      <c r="AO664">
        <f t="shared" si="558"/>
        <v>-59.033048496036578</v>
      </c>
      <c r="AQ664">
        <f t="shared" si="559"/>
        <v>1.4701961146207593E-4</v>
      </c>
      <c r="AR664">
        <f t="shared" si="560"/>
        <v>-0.68181815011652325</v>
      </c>
      <c r="AT664">
        <f t="shared" si="561"/>
        <v>-2176.6896141514349</v>
      </c>
      <c r="AU664">
        <f t="shared" si="562"/>
        <v>-234.00221689619067</v>
      </c>
      <c r="AV664">
        <f t="shared" si="580"/>
        <v>-3.0345002335963622</v>
      </c>
      <c r="AW664">
        <f t="shared" si="581"/>
        <v>1023.4253983772394</v>
      </c>
      <c r="AX664">
        <f t="shared" si="582"/>
        <v>-4162.9155259728641</v>
      </c>
      <c r="AY664">
        <f t="shared" si="590"/>
        <v>-1.3297335468949707</v>
      </c>
      <c r="BA664">
        <f t="shared" si="572"/>
        <v>0.51068282691080114</v>
      </c>
      <c r="BB664">
        <f t="shared" si="583"/>
        <v>-5.8369749244743012</v>
      </c>
      <c r="BC664">
        <f t="shared" si="584"/>
        <v>-1.7047666867013915</v>
      </c>
      <c r="BD664">
        <f t="shared" si="573"/>
        <v>-277.67593631410182</v>
      </c>
      <c r="BF664">
        <f t="shared" si="574"/>
        <v>-71.25941371336701</v>
      </c>
      <c r="BG664">
        <f t="shared" si="575"/>
        <v>-193.18744005642014</v>
      </c>
      <c r="BH664">
        <f t="shared" si="585"/>
        <v>-13.187440056420144</v>
      </c>
      <c r="BI664">
        <f t="shared" si="586"/>
        <v>-13.187440056420144</v>
      </c>
      <c r="BJ664">
        <f t="shared" si="576"/>
        <v>0</v>
      </c>
      <c r="BK664">
        <f t="shared" si="587"/>
        <v>0</v>
      </c>
      <c r="BM664">
        <f t="shared" si="588"/>
        <v>-65.42243878889272</v>
      </c>
      <c r="BN664">
        <f t="shared" si="577"/>
        <v>-95.511503742318297</v>
      </c>
      <c r="BQ664" s="75">
        <f t="shared" si="589"/>
        <v>11.064985875810835</v>
      </c>
    </row>
    <row r="665" spans="1:69">
      <c r="A665">
        <f t="shared" si="563"/>
        <v>8900000</v>
      </c>
      <c r="B665">
        <f t="shared" si="578"/>
        <v>8900</v>
      </c>
      <c r="C665">
        <f t="shared" si="539"/>
        <v>10.449145815471812</v>
      </c>
      <c r="D665">
        <f t="shared" si="540"/>
        <v>1.4749480335861533</v>
      </c>
      <c r="F665">
        <f t="shared" si="541"/>
        <v>5.6312125663271051E-6</v>
      </c>
      <c r="G665">
        <f t="shared" si="542"/>
        <v>7.2853903848623519E-4</v>
      </c>
      <c r="H665">
        <f t="shared" si="564"/>
        <v>-3.1408641109615139</v>
      </c>
      <c r="J665">
        <f t="shared" si="565"/>
        <v>9</v>
      </c>
      <c r="M665">
        <f t="shared" si="543"/>
        <v>4.7423830210904013E-4</v>
      </c>
      <c r="N665">
        <f t="shared" si="566"/>
        <v>-1.5707963250000001</v>
      </c>
      <c r="O665">
        <f t="shared" si="544"/>
        <v>1144.5781436538136</v>
      </c>
      <c r="P665">
        <f t="shared" si="567"/>
        <v>1.5699226423437604</v>
      </c>
      <c r="Q665">
        <f t="shared" si="545"/>
        <v>467.34140798386426</v>
      </c>
      <c r="R665">
        <f t="shared" si="568"/>
        <v>1.5686565618478669</v>
      </c>
      <c r="S665">
        <f t="shared" si="546"/>
        <v>0.16446679750697601</v>
      </c>
      <c r="T665">
        <f t="shared" si="569"/>
        <v>-1.4055789034274522</v>
      </c>
      <c r="U665">
        <f t="shared" si="547"/>
        <v>0.10635726471428716</v>
      </c>
      <c r="V665">
        <f t="shared" si="570"/>
        <v>-1.4642375179048661</v>
      </c>
      <c r="X665">
        <f t="shared" si="548"/>
        <v>-52.579060912557544</v>
      </c>
      <c r="Y665">
        <f t="shared" si="549"/>
        <v>-170.05098720003983</v>
      </c>
      <c r="Z665">
        <f t="shared" si="579"/>
        <v>9.9490127999601725</v>
      </c>
      <c r="AC665">
        <v>1</v>
      </c>
      <c r="AD665">
        <f t="shared" si="550"/>
        <v>1144.5777068115601</v>
      </c>
      <c r="AE665">
        <f t="shared" si="551"/>
        <v>-0.35842903609576188</v>
      </c>
      <c r="AF665">
        <f t="shared" si="552"/>
        <v>3.8338991390952003E-2</v>
      </c>
      <c r="AG665">
        <f t="shared" si="553"/>
        <v>334.94771739004278</v>
      </c>
      <c r="AH665">
        <f t="shared" si="554"/>
        <v>-3157.4901450109001</v>
      </c>
      <c r="AJ665">
        <f t="shared" si="571"/>
        <v>55000</v>
      </c>
      <c r="AK665">
        <f t="shared" si="555"/>
        <v>329860.15966653754</v>
      </c>
      <c r="AL665">
        <v>40</v>
      </c>
      <c r="AM665">
        <f t="shared" si="556"/>
        <v>467.34033810098254</v>
      </c>
      <c r="AN665">
        <f t="shared" si="557"/>
        <v>710.69086212163165</v>
      </c>
      <c r="AO665">
        <f t="shared" si="558"/>
        <v>-56.858703066613948</v>
      </c>
      <c r="AQ665">
        <f t="shared" si="559"/>
        <v>1.4373436085661078E-4</v>
      </c>
      <c r="AR665">
        <f t="shared" si="560"/>
        <v>-0.67415727272576154</v>
      </c>
      <c r="AT665">
        <f t="shared" si="561"/>
        <v>-2128.5968013229385</v>
      </c>
      <c r="AU665">
        <f t="shared" si="562"/>
        <v>-226.26127948929454</v>
      </c>
      <c r="AV665">
        <f t="shared" si="580"/>
        <v>-3.035694323175834</v>
      </c>
      <c r="AW665">
        <f t="shared" si="581"/>
        <v>1018.3138083152746</v>
      </c>
      <c r="AX665">
        <f t="shared" si="582"/>
        <v>-4115.223559123513</v>
      </c>
      <c r="AY665">
        <f t="shared" si="590"/>
        <v>-1.3282187018103719</v>
      </c>
      <c r="BA665">
        <f t="shared" si="572"/>
        <v>0.5049340009578972</v>
      </c>
      <c r="BB665">
        <f t="shared" si="583"/>
        <v>-5.9353076809123637</v>
      </c>
      <c r="BC665">
        <f t="shared" si="584"/>
        <v>-1.707475621365462</v>
      </c>
      <c r="BD665">
        <f t="shared" si="573"/>
        <v>-277.83114683750716</v>
      </c>
      <c r="BF665">
        <f t="shared" si="574"/>
        <v>-71.456803271178075</v>
      </c>
      <c r="BG665">
        <f t="shared" si="575"/>
        <v>-193.28110720317224</v>
      </c>
      <c r="BH665">
        <f t="shared" si="585"/>
        <v>-13.28110720317224</v>
      </c>
      <c r="BI665">
        <f t="shared" si="586"/>
        <v>-13.28110720317224</v>
      </c>
      <c r="BJ665">
        <f t="shared" si="576"/>
        <v>0</v>
      </c>
      <c r="BK665">
        <f t="shared" si="587"/>
        <v>0</v>
      </c>
      <c r="BM665">
        <f t="shared" si="588"/>
        <v>-65.521495590265715</v>
      </c>
      <c r="BN665">
        <f t="shared" si="577"/>
        <v>-95.44996036566512</v>
      </c>
      <c r="BQ665" s="75">
        <f t="shared" si="589"/>
        <v>10.966653119372774</v>
      </c>
    </row>
    <row r="666" spans="1:69">
      <c r="A666">
        <f t="shared" si="563"/>
        <v>9000000</v>
      </c>
      <c r="B666">
        <f t="shared" si="578"/>
        <v>9000</v>
      </c>
      <c r="C666">
        <f t="shared" si="539"/>
        <v>10.565482569094666</v>
      </c>
      <c r="D666">
        <f t="shared" si="540"/>
        <v>1.4760066113464247</v>
      </c>
      <c r="F666">
        <f t="shared" si="541"/>
        <v>5.5067690667684839E-6</v>
      </c>
      <c r="G666">
        <f t="shared" si="542"/>
        <v>7.2044407331599909E-4</v>
      </c>
      <c r="H666">
        <f t="shared" si="564"/>
        <v>-3.140872205926684</v>
      </c>
      <c r="J666">
        <f t="shared" si="565"/>
        <v>9</v>
      </c>
      <c r="M666">
        <f t="shared" si="543"/>
        <v>4.6896898764116189E-4</v>
      </c>
      <c r="N666">
        <f t="shared" si="566"/>
        <v>-1.5707963250000001</v>
      </c>
      <c r="O666">
        <f t="shared" si="544"/>
        <v>1157.4385624720526</v>
      </c>
      <c r="P666">
        <f t="shared" si="567"/>
        <v>1.5699323499439151</v>
      </c>
      <c r="Q666">
        <f t="shared" si="545"/>
        <v>472.59241113114598</v>
      </c>
      <c r="R666">
        <f t="shared" si="568"/>
        <v>1.5686803369425788</v>
      </c>
      <c r="S666">
        <f t="shared" si="546"/>
        <v>0.16268801984472445</v>
      </c>
      <c r="T666">
        <f t="shared" si="569"/>
        <v>-1.4073819677214374</v>
      </c>
      <c r="U666">
        <f t="shared" si="547"/>
        <v>0.1051886655928617</v>
      </c>
      <c r="V666">
        <f t="shared" si="570"/>
        <v>-1.4654127095618952</v>
      </c>
      <c r="X666">
        <f t="shared" si="548"/>
        <v>-52.770359082772707</v>
      </c>
      <c r="Y666">
        <f t="shared" si="549"/>
        <v>-170.1595220487537</v>
      </c>
      <c r="Z666">
        <f t="shared" si="579"/>
        <v>9.8404779512462994</v>
      </c>
      <c r="AC666">
        <v>1</v>
      </c>
      <c r="AD666">
        <f t="shared" si="550"/>
        <v>1157.4381304836002</v>
      </c>
      <c r="AE666">
        <f t="shared" si="551"/>
        <v>-0.36652887165454751</v>
      </c>
      <c r="AF666">
        <f t="shared" si="552"/>
        <v>3.8769766575119997E-2</v>
      </c>
      <c r="AG666">
        <f t="shared" si="553"/>
        <v>327.62768616743233</v>
      </c>
      <c r="AH666">
        <f t="shared" si="554"/>
        <v>-3123.1812009784949</v>
      </c>
      <c r="AJ666">
        <f t="shared" si="571"/>
        <v>55000</v>
      </c>
      <c r="AK666">
        <f t="shared" si="555"/>
        <v>333566.453595375</v>
      </c>
      <c r="AL666">
        <v>41</v>
      </c>
      <c r="AM666">
        <f t="shared" si="556"/>
        <v>472.59135313582499</v>
      </c>
      <c r="AN666">
        <f t="shared" si="557"/>
        <v>710.57271708858889</v>
      </c>
      <c r="AO666">
        <f t="shared" si="558"/>
        <v>-54.733372559048277</v>
      </c>
      <c r="AQ666">
        <f t="shared" si="559"/>
        <v>1.4055800907270387E-4</v>
      </c>
      <c r="AR666">
        <f t="shared" si="560"/>
        <v>-0.66666663703183449</v>
      </c>
      <c r="AT666">
        <f t="shared" si="561"/>
        <v>-2082.0746574020941</v>
      </c>
      <c r="AU666">
        <f t="shared" si="562"/>
        <v>-218.85743586734623</v>
      </c>
      <c r="AV666">
        <f t="shared" si="580"/>
        <v>-3.036862176187916</v>
      </c>
      <c r="AW666">
        <f t="shared" si="581"/>
        <v>1013.3400176675652</v>
      </c>
      <c r="AX666">
        <f t="shared" si="582"/>
        <v>-4068.5663009922841</v>
      </c>
      <c r="AY666">
        <f t="shared" si="590"/>
        <v>-1.3266972664936048</v>
      </c>
      <c r="BA666">
        <f t="shared" si="572"/>
        <v>0.49931187481673117</v>
      </c>
      <c r="BB666">
        <f t="shared" si="583"/>
        <v>-6.0325621054527954</v>
      </c>
      <c r="BC666">
        <f t="shared" si="584"/>
        <v>-1.7101649096943112</v>
      </c>
      <c r="BD666">
        <f t="shared" si="573"/>
        <v>-277.98523170882004</v>
      </c>
      <c r="BF666">
        <f t="shared" si="574"/>
        <v>-71.651987875849642</v>
      </c>
      <c r="BG666">
        <f t="shared" si="575"/>
        <v>-193.37500384380596</v>
      </c>
      <c r="BH666">
        <f t="shared" si="585"/>
        <v>-13.375003843805956</v>
      </c>
      <c r="BI666">
        <f t="shared" si="586"/>
        <v>-13.375003843805956</v>
      </c>
      <c r="BJ666">
        <f t="shared" si="576"/>
        <v>0</v>
      </c>
      <c r="BK666">
        <f t="shared" si="587"/>
        <v>0</v>
      </c>
      <c r="BM666">
        <f t="shared" si="588"/>
        <v>-65.619425770396859</v>
      </c>
      <c r="BN666">
        <f t="shared" si="577"/>
        <v>-95.389772134985947</v>
      </c>
      <c r="BQ666" s="75">
        <f t="shared" si="589"/>
        <v>10.869398694832341</v>
      </c>
    </row>
    <row r="667" spans="1:69">
      <c r="A667">
        <f t="shared" si="563"/>
        <v>9100000</v>
      </c>
      <c r="B667">
        <f t="shared" si="578"/>
        <v>9100</v>
      </c>
      <c r="C667">
        <f t="shared" si="539"/>
        <v>10.681830904360014</v>
      </c>
      <c r="D667">
        <f t="shared" si="540"/>
        <v>1.4770421298248679</v>
      </c>
      <c r="F667">
        <f t="shared" si="541"/>
        <v>5.3864055449149112E-6</v>
      </c>
      <c r="G667">
        <f t="shared" si="542"/>
        <v>7.1252702228806366E-4</v>
      </c>
      <c r="H667">
        <f t="shared" si="564"/>
        <v>-3.1408801229777121</v>
      </c>
      <c r="J667">
        <f t="shared" si="565"/>
        <v>9</v>
      </c>
      <c r="M667">
        <f t="shared" si="543"/>
        <v>4.6381548228246783E-4</v>
      </c>
      <c r="N667">
        <f t="shared" si="566"/>
        <v>-1.5707963250000001</v>
      </c>
      <c r="O667">
        <f t="shared" si="544"/>
        <v>1170.2989813969684</v>
      </c>
      <c r="P667">
        <f t="shared" si="567"/>
        <v>1.5699418441903776</v>
      </c>
      <c r="Q667">
        <f t="shared" si="545"/>
        <v>477.84341453969188</v>
      </c>
      <c r="R667">
        <f t="shared" si="568"/>
        <v>1.5687035895100507</v>
      </c>
      <c r="S667">
        <f t="shared" si="546"/>
        <v>0.16094680038683157</v>
      </c>
      <c r="T667">
        <f t="shared" si="569"/>
        <v>-1.4091464419299031</v>
      </c>
      <c r="U667">
        <f t="shared" si="547"/>
        <v>0.10404532827331502</v>
      </c>
      <c r="V667">
        <f t="shared" si="570"/>
        <v>-1.466562355529736</v>
      </c>
      <c r="X667">
        <f t="shared" si="548"/>
        <v>-52.959602752650483</v>
      </c>
      <c r="Y667">
        <f t="shared" si="549"/>
        <v>-170.26573535692791</v>
      </c>
      <c r="Z667">
        <f t="shared" si="579"/>
        <v>9.7342646430720947</v>
      </c>
      <c r="AC667">
        <v>1</v>
      </c>
      <c r="AD667">
        <f t="shared" si="550"/>
        <v>1170.2985541556402</v>
      </c>
      <c r="AE667">
        <f t="shared" si="551"/>
        <v>-0.37471920816929732</v>
      </c>
      <c r="AF667">
        <f t="shared" si="552"/>
        <v>3.9200541759288006E-2</v>
      </c>
      <c r="AG667">
        <f t="shared" si="553"/>
        <v>320.54416285370849</v>
      </c>
      <c r="AH667">
        <f t="shared" si="554"/>
        <v>-3089.601557844177</v>
      </c>
      <c r="AJ667">
        <f t="shared" si="571"/>
        <v>55000</v>
      </c>
      <c r="AK667">
        <f t="shared" si="555"/>
        <v>337272.74752421252</v>
      </c>
      <c r="AL667">
        <v>42</v>
      </c>
      <c r="AM667">
        <f t="shared" si="556"/>
        <v>477.84236817066756</v>
      </c>
      <c r="AN667">
        <f t="shared" si="557"/>
        <v>710.45243869399064</v>
      </c>
      <c r="AO667">
        <f t="shared" si="558"/>
        <v>-52.655434617856706</v>
      </c>
      <c r="AQ667">
        <f t="shared" si="559"/>
        <v>1.3748579574871301E-4</v>
      </c>
      <c r="AR667">
        <f t="shared" si="560"/>
        <v>-0.65934063067210302</v>
      </c>
      <c r="AT667">
        <f t="shared" si="561"/>
        <v>-2037.0557694051893</v>
      </c>
      <c r="AU667">
        <f t="shared" si="562"/>
        <v>-211.77256682295211</v>
      </c>
      <c r="AV667">
        <f t="shared" si="580"/>
        <v>-3.038004644799555</v>
      </c>
      <c r="AW667">
        <f t="shared" si="581"/>
        <v>1008.4988195825697</v>
      </c>
      <c r="AX667">
        <f t="shared" si="582"/>
        <v>-4022.9108794477079</v>
      </c>
      <c r="AY667">
        <f t="shared" si="590"/>
        <v>-1.3251694586933931</v>
      </c>
      <c r="BA667">
        <f t="shared" si="572"/>
        <v>0.49381222287680998</v>
      </c>
      <c r="BB667">
        <f t="shared" si="583"/>
        <v>-6.1287632916356003</v>
      </c>
      <c r="BC667">
        <f t="shared" si="584"/>
        <v>-1.7128351861061619</v>
      </c>
      <c r="BD667">
        <f t="shared" si="573"/>
        <v>-278.13822727752728</v>
      </c>
      <c r="BF667">
        <f t="shared" si="574"/>
        <v>-71.845018157868964</v>
      </c>
      <c r="BG667">
        <f t="shared" si="575"/>
        <v>-193.46912218763342</v>
      </c>
      <c r="BH667">
        <f t="shared" si="585"/>
        <v>-13.469122187633417</v>
      </c>
      <c r="BI667">
        <f t="shared" si="586"/>
        <v>-13.469122187633417</v>
      </c>
      <c r="BJ667">
        <f t="shared" si="576"/>
        <v>0</v>
      </c>
      <c r="BK667">
        <f t="shared" si="587"/>
        <v>0</v>
      </c>
      <c r="BM667">
        <f t="shared" si="588"/>
        <v>-65.716254866233356</v>
      </c>
      <c r="BN667">
        <f t="shared" si="577"/>
        <v>-95.330894910106167</v>
      </c>
      <c r="BQ667" s="75">
        <f t="shared" si="589"/>
        <v>10.773197508649536</v>
      </c>
    </row>
    <row r="668" spans="1:69">
      <c r="A668">
        <f t="shared" si="563"/>
        <v>9200000</v>
      </c>
      <c r="B668">
        <f t="shared" si="578"/>
        <v>9200</v>
      </c>
      <c r="C668">
        <f t="shared" si="539"/>
        <v>10.798190446898246</v>
      </c>
      <c r="D668">
        <f t="shared" si="540"/>
        <v>1.4780553322132126</v>
      </c>
      <c r="F668">
        <f t="shared" si="541"/>
        <v>5.2699455765848723E-6</v>
      </c>
      <c r="G668">
        <f t="shared" si="542"/>
        <v>7.0478208373370057E-4</v>
      </c>
      <c r="H668">
        <f t="shared" si="564"/>
        <v>-3.1408878679162666</v>
      </c>
      <c r="J668">
        <f t="shared" si="565"/>
        <v>9</v>
      </c>
      <c r="M668">
        <f t="shared" si="543"/>
        <v>4.5877400964896274E-4</v>
      </c>
      <c r="N668">
        <f t="shared" si="566"/>
        <v>-1.5707963250000001</v>
      </c>
      <c r="O668">
        <f t="shared" si="544"/>
        <v>1183.1594004250826</v>
      </c>
      <c r="P668">
        <f t="shared" si="567"/>
        <v>1.569951132040327</v>
      </c>
      <c r="Q668">
        <f t="shared" si="545"/>
        <v>483.09441820098249</v>
      </c>
      <c r="R668">
        <f t="shared" si="568"/>
        <v>1.5687263365891155</v>
      </c>
      <c r="S668">
        <f t="shared" si="546"/>
        <v>0.15924197799242581</v>
      </c>
      <c r="T668">
        <f t="shared" si="569"/>
        <v>-1.4108735411793116</v>
      </c>
      <c r="U668">
        <f t="shared" si="547"/>
        <v>0.10292644679610816</v>
      </c>
      <c r="V668">
        <f t="shared" si="570"/>
        <v>-1.4676872768581637</v>
      </c>
      <c r="X668">
        <f t="shared" si="548"/>
        <v>-53.146834981569398</v>
      </c>
      <c r="Y668">
        <f t="shared" si="549"/>
        <v>-170.36970016465872</v>
      </c>
      <c r="Z668">
        <f t="shared" si="579"/>
        <v>9.6302998353412761</v>
      </c>
      <c r="AC668">
        <v>1</v>
      </c>
      <c r="AD668">
        <f t="shared" si="550"/>
        <v>1183.15897782768</v>
      </c>
      <c r="AE668">
        <f t="shared" si="551"/>
        <v>-0.38300004564001122</v>
      </c>
      <c r="AF668">
        <f t="shared" si="552"/>
        <v>3.9631316943456001E-2</v>
      </c>
      <c r="AG668">
        <f t="shared" si="553"/>
        <v>313.68710345045054</v>
      </c>
      <c r="AH668">
        <f t="shared" si="554"/>
        <v>-3056.7284733698139</v>
      </c>
      <c r="AJ668">
        <f t="shared" si="571"/>
        <v>55000</v>
      </c>
      <c r="AK668">
        <f t="shared" si="555"/>
        <v>340979.04145305004</v>
      </c>
      <c r="AL668">
        <v>43</v>
      </c>
      <c r="AM668">
        <f t="shared" si="556"/>
        <v>483.09338320551007</v>
      </c>
      <c r="AN668">
        <f t="shared" si="557"/>
        <v>710.3302526453632</v>
      </c>
      <c r="AO668">
        <f t="shared" si="558"/>
        <v>-50.623336991237103</v>
      </c>
      <c r="AQ668">
        <f t="shared" si="559"/>
        <v>1.3451321782436302E-4</v>
      </c>
      <c r="AR668">
        <f t="shared" si="560"/>
        <v>-0.65217388529964171</v>
      </c>
      <c r="AT668">
        <f t="shared" si="561"/>
        <v>-1993.4762897219589</v>
      </c>
      <c r="AU668">
        <f t="shared" si="562"/>
        <v>-204.9897074086393</v>
      </c>
      <c r="AV668">
        <f t="shared" si="580"/>
        <v>-3.0391225448011161</v>
      </c>
      <c r="AW668">
        <f t="shared" si="581"/>
        <v>1003.7852565211572</v>
      </c>
      <c r="AX668">
        <f t="shared" si="582"/>
        <v>-3978.2257808776008</v>
      </c>
      <c r="AY668">
        <f t="shared" si="590"/>
        <v>-1.3236354879500516</v>
      </c>
      <c r="BA668">
        <f t="shared" si="572"/>
        <v>0.48843100662880229</v>
      </c>
      <c r="BB668">
        <f t="shared" si="583"/>
        <v>-6.2239354784760694</v>
      </c>
      <c r="BC668">
        <f t="shared" si="584"/>
        <v>-1.7154870568510645</v>
      </c>
      <c r="BD668">
        <f t="shared" si="573"/>
        <v>-278.29016827919799</v>
      </c>
      <c r="BF668">
        <f t="shared" si="574"/>
        <v>-72.035943028832151</v>
      </c>
      <c r="BG668">
        <f t="shared" si="575"/>
        <v>-193.56345472088537</v>
      </c>
      <c r="BH668">
        <f t="shared" si="585"/>
        <v>-13.563454720885375</v>
      </c>
      <c r="BI668">
        <f t="shared" si="586"/>
        <v>-13.563454720885375</v>
      </c>
      <c r="BJ668">
        <f t="shared" si="576"/>
        <v>0</v>
      </c>
      <c r="BK668">
        <f t="shared" si="587"/>
        <v>0</v>
      </c>
      <c r="BM668">
        <f t="shared" si="588"/>
        <v>-65.812007550356086</v>
      </c>
      <c r="BN668">
        <f t="shared" si="577"/>
        <v>-95.273286441687375</v>
      </c>
      <c r="BQ668" s="75">
        <f t="shared" si="589"/>
        <v>10.678025321809068</v>
      </c>
    </row>
    <row r="669" spans="1:69">
      <c r="A669">
        <f t="shared" si="563"/>
        <v>9300000</v>
      </c>
      <c r="B669">
        <f t="shared" si="578"/>
        <v>9300</v>
      </c>
      <c r="C669">
        <f t="shared" si="539"/>
        <v>10.914560838268978</v>
      </c>
      <c r="D669">
        <f t="shared" si="540"/>
        <v>1.4790469301956177</v>
      </c>
      <c r="F669">
        <f t="shared" si="541"/>
        <v>5.1572221715849868E-6</v>
      </c>
      <c r="G669">
        <f t="shared" si="542"/>
        <v>6.9720370552469951E-4</v>
      </c>
      <c r="H669">
        <f t="shared" si="564"/>
        <v>-3.1408954462944756</v>
      </c>
      <c r="J669">
        <f t="shared" si="565"/>
        <v>9</v>
      </c>
      <c r="M669">
        <f t="shared" si="543"/>
        <v>4.538409557817696E-4</v>
      </c>
      <c r="N669">
        <f t="shared" si="566"/>
        <v>-1.5707963250000001</v>
      </c>
      <c r="O669">
        <f t="shared" si="544"/>
        <v>1196.0198195530661</v>
      </c>
      <c r="P669">
        <f t="shared" si="567"/>
        <v>1.5699602201517089</v>
      </c>
      <c r="Q669">
        <f t="shared" si="545"/>
        <v>488.34542210686487</v>
      </c>
      <c r="R669">
        <f t="shared" si="568"/>
        <v>1.5687485944857578</v>
      </c>
      <c r="S669">
        <f t="shared" si="546"/>
        <v>0.15757243822639624</v>
      </c>
      <c r="T669">
        <f t="shared" si="569"/>
        <v>-1.4125644305509581</v>
      </c>
      <c r="U669">
        <f t="shared" si="547"/>
        <v>0.10183124894021763</v>
      </c>
      <c r="V669">
        <f t="shared" si="570"/>
        <v>-1.4687882599077344</v>
      </c>
      <c r="X669">
        <f t="shared" si="548"/>
        <v>-53.332097507722416</v>
      </c>
      <c r="Y669">
        <f t="shared" si="549"/>
        <v>-170.47148650720678</v>
      </c>
      <c r="Z669">
        <f t="shared" si="579"/>
        <v>9.5285134927932233</v>
      </c>
      <c r="AC669">
        <v>1</v>
      </c>
      <c r="AD669">
        <f t="shared" si="550"/>
        <v>1196.0194014997203</v>
      </c>
      <c r="AE669">
        <f t="shared" si="551"/>
        <v>-0.39137138406668914</v>
      </c>
      <c r="AF669">
        <f t="shared" si="552"/>
        <v>4.0062092127624002E-2</v>
      </c>
      <c r="AG669">
        <f t="shared" si="553"/>
        <v>307.0469896640779</v>
      </c>
      <c r="AH669">
        <f t="shared" si="554"/>
        <v>-3024.5401296651376</v>
      </c>
      <c r="AJ669">
        <f t="shared" si="571"/>
        <v>55000</v>
      </c>
      <c r="AK669">
        <f t="shared" si="555"/>
        <v>344685.3353818875</v>
      </c>
      <c r="AL669">
        <v>44</v>
      </c>
      <c r="AM669">
        <f t="shared" si="556"/>
        <v>488.34439824035252</v>
      </c>
      <c r="AN669">
        <f t="shared" si="557"/>
        <v>710.2063682102829</v>
      </c>
      <c r="AO669">
        <f t="shared" si="558"/>
        <v>-48.63559382339399</v>
      </c>
      <c r="AQ669">
        <f t="shared" si="559"/>
        <v>1.3163601303056813E-4</v>
      </c>
      <c r="AR669">
        <f t="shared" si="560"/>
        <v>-0.64516126346411751</v>
      </c>
      <c r="AT669">
        <f t="shared" si="561"/>
        <v>-1951.2757130111536</v>
      </c>
      <c r="AU669">
        <f t="shared" si="562"/>
        <v>-198.49296219845041</v>
      </c>
      <c r="AV669">
        <f t="shared" si="580"/>
        <v>-3.0402166575199585</v>
      </c>
      <c r="AW669">
        <f t="shared" si="581"/>
        <v>999.19460594031489</v>
      </c>
      <c r="AX669">
        <f t="shared" si="582"/>
        <v>-3934.4807817938167</v>
      </c>
      <c r="AY669">
        <f t="shared" si="590"/>
        <v>-1.322095555998823</v>
      </c>
      <c r="BA669">
        <f t="shared" si="572"/>
        <v>0.48316436436407262</v>
      </c>
      <c r="BB669">
        <f t="shared" si="583"/>
        <v>-6.3181020891770423</v>
      </c>
      <c r="BC669">
        <f t="shared" si="584"/>
        <v>-1.7181211015211355</v>
      </c>
      <c r="BD669">
        <f t="shared" si="573"/>
        <v>-278.44108792201445</v>
      </c>
      <c r="BF669">
        <f t="shared" si="574"/>
        <v>-72.224809758950428</v>
      </c>
      <c r="BG669">
        <f t="shared" si="575"/>
        <v>-193.6579941933588</v>
      </c>
      <c r="BH669">
        <f t="shared" si="585"/>
        <v>-13.657994193358803</v>
      </c>
      <c r="BI669">
        <f t="shared" si="586"/>
        <v>-13.657994193358803</v>
      </c>
      <c r="BJ669">
        <f t="shared" si="576"/>
        <v>0</v>
      </c>
      <c r="BK669">
        <f t="shared" si="587"/>
        <v>0</v>
      </c>
      <c r="BM669">
        <f t="shared" si="588"/>
        <v>-65.906707669773382</v>
      </c>
      <c r="BN669">
        <f t="shared" si="577"/>
        <v>-95.216906271344385</v>
      </c>
      <c r="BQ669" s="75">
        <f t="shared" si="589"/>
        <v>10.583858711108094</v>
      </c>
    </row>
    <row r="670" spans="1:69">
      <c r="A670">
        <f t="shared" si="563"/>
        <v>9400000</v>
      </c>
      <c r="B670">
        <f t="shared" si="578"/>
        <v>9400</v>
      </c>
      <c r="C670">
        <f t="shared" si="539"/>
        <v>11.030941735124497</v>
      </c>
      <c r="D670">
        <f t="shared" si="540"/>
        <v>1.4800176055961964</v>
      </c>
      <c r="F670">
        <f t="shared" si="541"/>
        <v>5.0480771747601786E-6</v>
      </c>
      <c r="G670">
        <f t="shared" si="542"/>
        <v>6.8978657179953715E-4</v>
      </c>
      <c r="H670">
        <f t="shared" si="564"/>
        <v>-3.1409028634282006</v>
      </c>
      <c r="J670">
        <f t="shared" si="565"/>
        <v>9</v>
      </c>
      <c r="M670">
        <f t="shared" si="543"/>
        <v>4.4901286050749544E-4</v>
      </c>
      <c r="N670">
        <f t="shared" si="566"/>
        <v>-1.5707963250000001</v>
      </c>
      <c r="O670">
        <f t="shared" si="544"/>
        <v>1208.8802387777318</v>
      </c>
      <c r="P670">
        <f t="shared" si="567"/>
        <v>1.5699691148991528</v>
      </c>
      <c r="Q670">
        <f t="shared" si="545"/>
        <v>493.5964262495329</v>
      </c>
      <c r="R670">
        <f t="shared" si="568"/>
        <v>1.5687703788120959</v>
      </c>
      <c r="S670">
        <f t="shared" si="546"/>
        <v>0.15593711106939023</v>
      </c>
      <c r="T670">
        <f t="shared" si="569"/>
        <v>-1.414220227608465</v>
      </c>
      <c r="U670">
        <f t="shared" si="547"/>
        <v>0.10075899448566379</v>
      </c>
      <c r="V670">
        <f t="shared" si="570"/>
        <v>-1.4698660581562868</v>
      </c>
      <c r="X670">
        <f t="shared" si="548"/>
        <v>-53.515430800870753</v>
      </c>
      <c r="Y670">
        <f t="shared" si="549"/>
        <v>-170.57116156653578</v>
      </c>
      <c r="Z670">
        <f t="shared" si="579"/>
        <v>9.4288384334642217</v>
      </c>
      <c r="AC670">
        <v>1</v>
      </c>
      <c r="AD670">
        <f t="shared" si="550"/>
        <v>1208.8798251717601</v>
      </c>
      <c r="AE670">
        <f t="shared" si="551"/>
        <v>-0.39983322344933109</v>
      </c>
      <c r="AF670">
        <f t="shared" si="552"/>
        <v>4.0492867311792004E-2</v>
      </c>
      <c r="AG670">
        <f t="shared" si="553"/>
        <v>300.61479634550147</v>
      </c>
      <c r="AH670">
        <f t="shared" si="554"/>
        <v>-2993.0155873178287</v>
      </c>
      <c r="AJ670">
        <f t="shared" si="571"/>
        <v>55000</v>
      </c>
      <c r="AK670">
        <f t="shared" si="555"/>
        <v>348391.62931072502</v>
      </c>
      <c r="AL670">
        <v>45</v>
      </c>
      <c r="AM670">
        <f t="shared" si="556"/>
        <v>493.59541327519503</v>
      </c>
      <c r="AN670">
        <f t="shared" si="557"/>
        <v>710.08097944639849</v>
      </c>
      <c r="AO670">
        <f t="shared" si="558"/>
        <v>-46.690782177230233</v>
      </c>
      <c r="AQ670">
        <f t="shared" si="559"/>
        <v>1.2885014460213589E-4</v>
      </c>
      <c r="AR670">
        <f t="shared" si="560"/>
        <v>-0.63829784633006081</v>
      </c>
      <c r="AT670">
        <f t="shared" si="561"/>
        <v>-1910.3966691572934</v>
      </c>
      <c r="AU670">
        <f t="shared" si="562"/>
        <v>-192.26742757350578</v>
      </c>
      <c r="AV670">
        <f t="shared" si="580"/>
        <v>-3.0412877316148998</v>
      </c>
      <c r="AW670">
        <f t="shared" si="581"/>
        <v>994.72236692871536</v>
      </c>
      <c r="AX670">
        <f t="shared" si="582"/>
        <v>-3891.6468844568176</v>
      </c>
      <c r="AY670">
        <f t="shared" si="590"/>
        <v>-1.3205498571496701</v>
      </c>
      <c r="BA670">
        <f t="shared" si="572"/>
        <v>0.47800860155097435</v>
      </c>
      <c r="BB670">
        <f t="shared" si="583"/>
        <v>-6.4112857676524557</v>
      </c>
      <c r="BC670">
        <f t="shared" si="584"/>
        <v>-1.7207378744652297</v>
      </c>
      <c r="BD670">
        <f t="shared" si="573"/>
        <v>-278.59101796782642</v>
      </c>
      <c r="BF670">
        <f t="shared" si="574"/>
        <v>-72.411664050205275</v>
      </c>
      <c r="BG670">
        <f t="shared" si="575"/>
        <v>-193.75273360583589</v>
      </c>
      <c r="BH670">
        <f t="shared" si="585"/>
        <v>-13.752733605835886</v>
      </c>
      <c r="BI670">
        <f t="shared" si="586"/>
        <v>-13.752733605835886</v>
      </c>
      <c r="BJ670">
        <f t="shared" si="576"/>
        <v>0</v>
      </c>
      <c r="BK670">
        <f t="shared" si="587"/>
        <v>0</v>
      </c>
      <c r="BM670">
        <f t="shared" si="588"/>
        <v>-66.00037828255283</v>
      </c>
      <c r="BN670">
        <f t="shared" si="577"/>
        <v>-95.161715638009511</v>
      </c>
      <c r="BQ670" s="75">
        <f t="shared" si="589"/>
        <v>10.490675032632682</v>
      </c>
    </row>
    <row r="671" spans="1:69">
      <c r="A671">
        <f t="shared" si="563"/>
        <v>9500000</v>
      </c>
      <c r="B671">
        <f t="shared" si="578"/>
        <v>9500</v>
      </c>
      <c r="C671">
        <f t="shared" si="539"/>
        <v>11.14733280842527</v>
      </c>
      <c r="D671">
        <f t="shared" si="540"/>
        <v>1.4809680119245214</v>
      </c>
      <c r="F671">
        <f t="shared" si="541"/>
        <v>4.9423607109431529E-6</v>
      </c>
      <c r="G671">
        <f t="shared" si="542"/>
        <v>6.825255905279202E-4</v>
      </c>
      <c r="H671">
        <f t="shared" si="564"/>
        <v>-3.1409101244094724</v>
      </c>
      <c r="J671">
        <f t="shared" si="565"/>
        <v>9</v>
      </c>
      <c r="M671">
        <f t="shared" si="543"/>
        <v>4.4428640934425864E-4</v>
      </c>
      <c r="N671">
        <f t="shared" si="566"/>
        <v>-1.5707963250000001</v>
      </c>
      <c r="O671">
        <f t="shared" si="544"/>
        <v>1221.7406580960262</v>
      </c>
      <c r="P671">
        <f t="shared" si="567"/>
        <v>1.5699778223888825</v>
      </c>
      <c r="Q671">
        <f t="shared" si="545"/>
        <v>498.8474306215092</v>
      </c>
      <c r="R671">
        <f t="shared" si="568"/>
        <v>1.5687917045229003</v>
      </c>
      <c r="S671">
        <f t="shared" si="546"/>
        <v>0.15433496875904812</v>
      </c>
      <c r="T671">
        <f t="shared" si="569"/>
        <v>-1.4158420047750111</v>
      </c>
      <c r="U671">
        <f t="shared" si="547"/>
        <v>9.9708973581716515E-2</v>
      </c>
      <c r="V671">
        <f t="shared" si="570"/>
        <v>-1.4709213938941033</v>
      </c>
      <c r="X671">
        <f t="shared" si="548"/>
        <v>-53.696874112528263</v>
      </c>
      <c r="Y671">
        <f t="shared" si="549"/>
        <v>-170.66878981385787</v>
      </c>
      <c r="Z671">
        <f t="shared" si="579"/>
        <v>9.3312101861421297</v>
      </c>
      <c r="AC671">
        <v>1</v>
      </c>
      <c r="AD671">
        <f t="shared" si="550"/>
        <v>1221.7402488438001</v>
      </c>
      <c r="AE671">
        <f t="shared" si="551"/>
        <v>-0.40838556378793722</v>
      </c>
      <c r="AF671">
        <f t="shared" si="552"/>
        <v>4.0923642495960005E-2</v>
      </c>
      <c r="AG671">
        <f t="shared" si="553"/>
        <v>294.38196125022006</v>
      </c>
      <c r="AH671">
        <f t="shared" si="554"/>
        <v>-2962.1347421881328</v>
      </c>
      <c r="AJ671">
        <f t="shared" si="571"/>
        <v>55000</v>
      </c>
      <c r="AK671">
        <f t="shared" si="555"/>
        <v>352097.92323956254</v>
      </c>
      <c r="AL671">
        <v>46</v>
      </c>
      <c r="AM671">
        <f t="shared" si="556"/>
        <v>498.8464283100376</v>
      </c>
      <c r="AN671">
        <f t="shared" si="557"/>
        <v>709.95426633167961</v>
      </c>
      <c r="AO671">
        <f t="shared" si="558"/>
        <v>-44.787538771064277</v>
      </c>
      <c r="AQ671">
        <f t="shared" si="559"/>
        <v>1.2615178711091992E-4</v>
      </c>
      <c r="AR671">
        <f t="shared" si="560"/>
        <v>-0.63157892217082046</v>
      </c>
      <c r="AT671">
        <f t="shared" si="561"/>
        <v>-1870.7847309854171</v>
      </c>
      <c r="AU671">
        <f t="shared" si="562"/>
        <v>-186.29912038433662</v>
      </c>
      <c r="AV671">
        <f t="shared" si="580"/>
        <v>-3.0423364847601091</v>
      </c>
      <c r="AW671">
        <f t="shared" si="581"/>
        <v>990.36424772266241</v>
      </c>
      <c r="AX671">
        <f t="shared" si="582"/>
        <v>-3849.6962562526764</v>
      </c>
      <c r="AY671">
        <f t="shared" si="590"/>
        <v>-1.3189985786451075</v>
      </c>
      <c r="BA671">
        <f t="shared" si="572"/>
        <v>0.47296018183633548</v>
      </c>
      <c r="BB671">
        <f t="shared" si="583"/>
        <v>-6.5035084130100653</v>
      </c>
      <c r="BC671">
        <f t="shared" si="584"/>
        <v>-1.7233379061150016</v>
      </c>
      <c r="BD671">
        <f t="shared" si="573"/>
        <v>-278.739988808129</v>
      </c>
      <c r="BF671">
        <f t="shared" si="574"/>
        <v>-72.596550105444251</v>
      </c>
      <c r="BG671">
        <f t="shared" si="575"/>
        <v>-193.84766619822318</v>
      </c>
      <c r="BH671">
        <f t="shared" si="585"/>
        <v>-13.84766619822318</v>
      </c>
      <c r="BI671">
        <f t="shared" si="586"/>
        <v>-13.84766619822318</v>
      </c>
      <c r="BJ671">
        <f t="shared" si="576"/>
        <v>0</v>
      </c>
      <c r="BK671">
        <f t="shared" si="587"/>
        <v>0</v>
      </c>
      <c r="BM671">
        <f t="shared" si="588"/>
        <v>-66.093041692434184</v>
      </c>
      <c r="BN671">
        <f t="shared" si="577"/>
        <v>-95.10767739009421</v>
      </c>
      <c r="BQ671" s="75">
        <f t="shared" si="589"/>
        <v>10.398452387275071</v>
      </c>
    </row>
    <row r="672" spans="1:69">
      <c r="A672">
        <f t="shared" si="563"/>
        <v>9600000</v>
      </c>
      <c r="B672">
        <f t="shared" si="578"/>
        <v>9600</v>
      </c>
      <c r="C672">
        <f t="shared" si="539"/>
        <v>11.263733742703785</v>
      </c>
      <c r="D672">
        <f t="shared" si="540"/>
        <v>1.4818987758263824</v>
      </c>
      <c r="F672">
        <f t="shared" si="541"/>
        <v>4.8399306701641225E-6</v>
      </c>
      <c r="G672">
        <f t="shared" si="542"/>
        <v>6.7541588185257161E-4</v>
      </c>
      <c r="H672">
        <f t="shared" si="564"/>
        <v>-3.1409172341181475</v>
      </c>
      <c r="J672">
        <f t="shared" si="565"/>
        <v>9</v>
      </c>
      <c r="M672">
        <f t="shared" si="543"/>
        <v>4.3965842591358928E-4</v>
      </c>
      <c r="N672">
        <f t="shared" si="566"/>
        <v>-1.5707963250000001</v>
      </c>
      <c r="O672">
        <f t="shared" si="544"/>
        <v>1234.6010775050233</v>
      </c>
      <c r="P672">
        <f t="shared" si="567"/>
        <v>1.5699863484726964</v>
      </c>
      <c r="Q672">
        <f t="shared" si="545"/>
        <v>504.09843521562783</v>
      </c>
      <c r="R672">
        <f t="shared" si="568"/>
        <v>1.5688125859498296</v>
      </c>
      <c r="S672">
        <f t="shared" si="546"/>
        <v>0.15276502375394307</v>
      </c>
      <c r="T672">
        <f t="shared" si="569"/>
        <v>-1.4174307915705244</v>
      </c>
      <c r="U672">
        <f t="shared" si="547"/>
        <v>9.8680505213397274E-2</v>
      </c>
      <c r="V672">
        <f t="shared" si="570"/>
        <v>-1.4719549598156352</v>
      </c>
      <c r="X672">
        <f t="shared" si="548"/>
        <v>-53.876465523723034</v>
      </c>
      <c r="Y672">
        <f t="shared" si="549"/>
        <v>-170.76443314379785</v>
      </c>
      <c r="Z672">
        <f t="shared" si="579"/>
        <v>9.2355668562021549</v>
      </c>
      <c r="AC672">
        <v>1</v>
      </c>
      <c r="AD672">
        <f t="shared" si="550"/>
        <v>1234.6006725158402</v>
      </c>
      <c r="AE672">
        <f t="shared" si="551"/>
        <v>-0.41702840508250744</v>
      </c>
      <c r="AF672">
        <f t="shared" si="552"/>
        <v>4.1354417680128E-2</v>
      </c>
      <c r="AG672">
        <f t="shared" si="553"/>
        <v>288.34035693244329</v>
      </c>
      <c r="AH672">
        <f t="shared" si="554"/>
        <v>-2931.8782846921827</v>
      </c>
      <c r="AJ672">
        <f t="shared" si="571"/>
        <v>55000</v>
      </c>
      <c r="AK672">
        <f t="shared" si="555"/>
        <v>355804.21716840001</v>
      </c>
      <c r="AL672">
        <v>47</v>
      </c>
      <c r="AM672">
        <f t="shared" si="556"/>
        <v>504.09744334488005</v>
      </c>
      <c r="AN672">
        <f t="shared" si="557"/>
        <v>709.82639580373439</v>
      </c>
      <c r="AO672">
        <f t="shared" si="558"/>
        <v>-42.92455691432788</v>
      </c>
      <c r="AQ672">
        <f t="shared" si="559"/>
        <v>1.2353731332654386E-4</v>
      </c>
      <c r="AR672">
        <f t="shared" si="560"/>
        <v>-0.62499997558165066</v>
      </c>
      <c r="AT672">
        <f t="shared" si="561"/>
        <v>-1832.388235547967</v>
      </c>
      <c r="AU672">
        <f t="shared" si="562"/>
        <v>-180.57491240827278</v>
      </c>
      <c r="AV672">
        <f t="shared" si="580"/>
        <v>-3.0433636052262609</v>
      </c>
      <c r="AW672">
        <f t="shared" si="581"/>
        <v>986.11615403686119</v>
      </c>
      <c r="AX672">
        <f t="shared" si="582"/>
        <v>-3808.6021725746987</v>
      </c>
      <c r="AY672">
        <f t="shared" si="590"/>
        <v>-1.3174419009975333</v>
      </c>
      <c r="BA672">
        <f t="shared" si="572"/>
        <v>0.46801571862503227</v>
      </c>
      <c r="BB672">
        <f t="shared" si="583"/>
        <v>-6.5947912121296213</v>
      </c>
      <c r="BC672">
        <f t="shared" si="584"/>
        <v>-1.7259217042287276</v>
      </c>
      <c r="BD672">
        <f t="shared" si="573"/>
        <v>-278.88802953532849</v>
      </c>
      <c r="BF672">
        <f t="shared" si="574"/>
        <v>-72.779510693686063</v>
      </c>
      <c r="BG672">
        <f t="shared" si="575"/>
        <v>-193.9427854383631</v>
      </c>
      <c r="BH672">
        <f t="shared" si="585"/>
        <v>-13.942785438363103</v>
      </c>
      <c r="BI672">
        <f t="shared" si="586"/>
        <v>-13.942785438363103</v>
      </c>
      <c r="BJ672">
        <f t="shared" si="576"/>
        <v>0</v>
      </c>
      <c r="BK672">
        <f t="shared" si="587"/>
        <v>0</v>
      </c>
      <c r="BM672">
        <f t="shared" si="588"/>
        <v>-66.184719481556456</v>
      </c>
      <c r="BN672">
        <f t="shared" si="577"/>
        <v>-95.054755903034632</v>
      </c>
      <c r="BQ672" s="75">
        <f t="shared" si="589"/>
        <v>10.307169588155515</v>
      </c>
    </row>
    <row r="673" spans="1:69">
      <c r="A673">
        <f t="shared" si="563"/>
        <v>9700000</v>
      </c>
      <c r="B673">
        <f t="shared" si="578"/>
        <v>9700</v>
      </c>
      <c r="C673">
        <f t="shared" si="539"/>
        <v>11.380144235373276</v>
      </c>
      <c r="D673">
        <f t="shared" si="540"/>
        <v>1.4828104984464874</v>
      </c>
      <c r="F673">
        <f t="shared" si="541"/>
        <v>4.7406522298176117E-6</v>
      </c>
      <c r="G673">
        <f t="shared" si="542"/>
        <v>6.6845276715216757E-4</v>
      </c>
      <c r="H673">
        <f t="shared" si="564"/>
        <v>-3.1409241972328479</v>
      </c>
      <c r="J673">
        <f t="shared" si="565"/>
        <v>9</v>
      </c>
      <c r="M673">
        <f t="shared" si="543"/>
        <v>4.3512586482169664E-4</v>
      </c>
      <c r="N673">
        <f t="shared" si="566"/>
        <v>-1.5707963250000001</v>
      </c>
      <c r="O673">
        <f t="shared" si="544"/>
        <v>1247.4614970019186</v>
      </c>
      <c r="P673">
        <f t="shared" si="567"/>
        <v>1.5699946987610818</v>
      </c>
      <c r="Q673">
        <f t="shared" si="545"/>
        <v>509.34944002501857</v>
      </c>
      <c r="R673">
        <f t="shared" si="568"/>
        <v>1.5688330368335508</v>
      </c>
      <c r="S673">
        <f t="shared" si="546"/>
        <v>0.15122632681230974</v>
      </c>
      <c r="T673">
        <f t="shared" si="569"/>
        <v>-1.4189875767182731</v>
      </c>
      <c r="U673">
        <f t="shared" si="547"/>
        <v>9.7672935759477442E-2</v>
      </c>
      <c r="V673">
        <f t="shared" si="570"/>
        <v>-1.4729674205150491</v>
      </c>
      <c r="X673">
        <f t="shared" si="548"/>
        <v>-54.054241990473059</v>
      </c>
      <c r="Y673">
        <f t="shared" si="549"/>
        <v>-170.85815100073808</v>
      </c>
      <c r="Z673">
        <f t="shared" si="579"/>
        <v>9.1418489992619243</v>
      </c>
      <c r="AC673">
        <v>1</v>
      </c>
      <c r="AD673">
        <f t="shared" si="550"/>
        <v>1247.4610961878802</v>
      </c>
      <c r="AE673">
        <f t="shared" si="551"/>
        <v>-0.42576174733304167</v>
      </c>
      <c r="AF673">
        <f t="shared" si="552"/>
        <v>4.1785192864296002E-2</v>
      </c>
      <c r="AG673">
        <f t="shared" si="553"/>
        <v>282.48226460344659</v>
      </c>
      <c r="AH673">
        <f t="shared" si="554"/>
        <v>-2902.2276614111115</v>
      </c>
      <c r="AJ673">
        <f t="shared" si="571"/>
        <v>55000</v>
      </c>
      <c r="AK673">
        <f t="shared" si="555"/>
        <v>359510.51109723753</v>
      </c>
      <c r="AL673">
        <v>48</v>
      </c>
      <c r="AM673">
        <f t="shared" si="556"/>
        <v>509.34845837972256</v>
      </c>
      <c r="AN673">
        <f t="shared" si="557"/>
        <v>709.69752271619075</v>
      </c>
      <c r="AO673">
        <f t="shared" si="558"/>
        <v>-41.100583628381244</v>
      </c>
      <c r="AQ673">
        <f t="shared" si="559"/>
        <v>1.2100328202038896E-4</v>
      </c>
      <c r="AR673">
        <f t="shared" si="560"/>
        <v>-0.61855667736002629</v>
      </c>
      <c r="AT673">
        <f t="shared" si="561"/>
        <v>-1795.1581179036868</v>
      </c>
      <c r="AU673">
        <f t="shared" si="562"/>
        <v>-175.08247007844477</v>
      </c>
      <c r="AV673">
        <f t="shared" si="580"/>
        <v>-3.04436975336617</v>
      </c>
      <c r="AW673">
        <f t="shared" si="581"/>
        <v>981.9741781498974</v>
      </c>
      <c r="AX673">
        <f t="shared" si="582"/>
        <v>-3768.3389629800245</v>
      </c>
      <c r="AY673">
        <f t="shared" si="590"/>
        <v>-1.3158799983074112</v>
      </c>
      <c r="BA673">
        <f t="shared" si="572"/>
        <v>0.46317196719457099</v>
      </c>
      <c r="BB673">
        <f t="shared" si="583"/>
        <v>-6.6851546704623317</v>
      </c>
      <c r="BC673">
        <f t="shared" si="584"/>
        <v>-1.7284897550587588</v>
      </c>
      <c r="BD673">
        <f t="shared" si="573"/>
        <v>-279.03516800963251</v>
      </c>
      <c r="BF673">
        <f t="shared" si="574"/>
        <v>-72.960587211883279</v>
      </c>
      <c r="BG673">
        <f t="shared" si="575"/>
        <v>-194.03808501147384</v>
      </c>
      <c r="BH673">
        <f t="shared" si="585"/>
        <v>-14.038085011473839</v>
      </c>
      <c r="BI673">
        <f t="shared" si="586"/>
        <v>-14.038085011473839</v>
      </c>
      <c r="BJ673">
        <f t="shared" si="576"/>
        <v>0</v>
      </c>
      <c r="BK673">
        <f t="shared" si="587"/>
        <v>0</v>
      </c>
      <c r="BM673">
        <f t="shared" si="588"/>
        <v>-66.275432541420955</v>
      </c>
      <c r="BN673">
        <f t="shared" si="577"/>
        <v>-95.002917001841368</v>
      </c>
      <c r="BQ673" s="75">
        <f t="shared" si="589"/>
        <v>10.216806129822803</v>
      </c>
    </row>
    <row r="674" spans="1:69">
      <c r="A674">
        <f t="shared" si="563"/>
        <v>9800000</v>
      </c>
      <c r="B674">
        <f t="shared" si="578"/>
        <v>9800</v>
      </c>
      <c r="C674">
        <f t="shared" si="539"/>
        <v>11.496563996078208</v>
      </c>
      <c r="D674">
        <f t="shared" si="540"/>
        <v>1.4837037567092624</v>
      </c>
      <c r="F674">
        <f t="shared" si="541"/>
        <v>4.6443974107849282E-6</v>
      </c>
      <c r="G674">
        <f t="shared" si="542"/>
        <v>6.6163175877391152E-4</v>
      </c>
      <c r="H674">
        <f t="shared" si="564"/>
        <v>-3.1409310182412264</v>
      </c>
      <c r="J674">
        <f t="shared" si="565"/>
        <v>9</v>
      </c>
      <c r="M674">
        <f t="shared" si="543"/>
        <v>4.3068580497657724E-4</v>
      </c>
      <c r="N674">
        <f t="shared" si="566"/>
        <v>-1.5707963250000001</v>
      </c>
      <c r="O674">
        <f t="shared" si="544"/>
        <v>1260.3219165840208</v>
      </c>
      <c r="P674">
        <f t="shared" si="567"/>
        <v>1.5700028786355271</v>
      </c>
      <c r="Q674">
        <f t="shared" si="545"/>
        <v>514.60044504309133</v>
      </c>
      <c r="R674">
        <f t="shared" si="568"/>
        <v>1.5688530703538905</v>
      </c>
      <c r="S674">
        <f t="shared" si="546"/>
        <v>0.14971796517821059</v>
      </c>
      <c r="T674">
        <f t="shared" si="569"/>
        <v>-1.4205133101295919</v>
      </c>
      <c r="U674">
        <f t="shared" si="547"/>
        <v>9.6685637635701233E-2</v>
      </c>
      <c r="V674">
        <f t="shared" si="570"/>
        <v>-1.4739594138922913</v>
      </c>
      <c r="X674">
        <f t="shared" si="548"/>
        <v>-54.23023938710412</v>
      </c>
      <c r="Y674">
        <f t="shared" si="549"/>
        <v>-170.95000049786762</v>
      </c>
      <c r="Z674">
        <f t="shared" si="579"/>
        <v>9.0499995021323798</v>
      </c>
      <c r="AC674">
        <v>1</v>
      </c>
      <c r="AD674">
        <f t="shared" si="550"/>
        <v>1260.3215198599203</v>
      </c>
      <c r="AE674">
        <f t="shared" si="551"/>
        <v>-0.4345855905395401</v>
      </c>
      <c r="AF674">
        <f t="shared" si="552"/>
        <v>4.2215968048464003E-2</v>
      </c>
      <c r="AG674">
        <f t="shared" si="553"/>
        <v>276.80034979935618</v>
      </c>
      <c r="AH674">
        <f t="shared" si="554"/>
        <v>-2873.165038874849</v>
      </c>
      <c r="AJ674">
        <f t="shared" si="571"/>
        <v>55000</v>
      </c>
      <c r="AK674">
        <f t="shared" si="555"/>
        <v>363216.80502607505</v>
      </c>
      <c r="AL674">
        <v>49</v>
      </c>
      <c r="AM674">
        <f t="shared" si="556"/>
        <v>514.59947341456507</v>
      </c>
      <c r="AN674">
        <f t="shared" si="557"/>
        <v>709.56779071935921</v>
      </c>
      <c r="AO674">
        <f t="shared" si="558"/>
        <v>-39.314416939663332</v>
      </c>
      <c r="AQ674">
        <f t="shared" si="559"/>
        <v>1.1854642663624142E-4</v>
      </c>
      <c r="AR674">
        <f t="shared" si="560"/>
        <v>-0.61224487500553237</v>
      </c>
      <c r="AT674">
        <f t="shared" si="561"/>
        <v>-1759.0477564038372</v>
      </c>
      <c r="AU674">
        <f t="shared" si="562"/>
        <v>-169.81019901288926</v>
      </c>
      <c r="AV674">
        <f t="shared" si="580"/>
        <v>-3.0453555630115456</v>
      </c>
      <c r="AW674">
        <f t="shared" si="581"/>
        <v>977.93458868921311</v>
      </c>
      <c r="AX674">
        <f t="shared" si="582"/>
        <v>-3728.8819604081314</v>
      </c>
      <c r="AY674">
        <f t="shared" si="590"/>
        <v>-1.3143130385635569</v>
      </c>
      <c r="BA674">
        <f t="shared" si="572"/>
        <v>0.45842581730525178</v>
      </c>
      <c r="BB674">
        <f t="shared" si="583"/>
        <v>-6.7746186411676508</v>
      </c>
      <c r="BC674">
        <f t="shared" si="584"/>
        <v>-1.7310425244479888</v>
      </c>
      <c r="BD674">
        <f t="shared" si="573"/>
        <v>-279.18143092187267</v>
      </c>
      <c r="BF674">
        <f t="shared" si="574"/>
        <v>-73.139819743371802</v>
      </c>
      <c r="BG674">
        <f t="shared" si="575"/>
        <v>-194.13355881017594</v>
      </c>
      <c r="BH674">
        <f t="shared" si="585"/>
        <v>-14.133558810175941</v>
      </c>
      <c r="BI674">
        <f t="shared" si="586"/>
        <v>-14.133558810175941</v>
      </c>
      <c r="BJ674">
        <f t="shared" si="576"/>
        <v>0</v>
      </c>
      <c r="BK674">
        <f t="shared" si="587"/>
        <v>0</v>
      </c>
      <c r="BM674">
        <f t="shared" si="588"/>
        <v>-66.365201102204153</v>
      </c>
      <c r="BN674">
        <f t="shared" si="577"/>
        <v>-94.952127888303238</v>
      </c>
      <c r="BQ674" s="75">
        <f t="shared" si="589"/>
        <v>10.127342159117486</v>
      </c>
    </row>
    <row r="675" spans="1:69">
      <c r="A675">
        <f t="shared" si="563"/>
        <v>9900000</v>
      </c>
      <c r="B675">
        <f t="shared" si="578"/>
        <v>9900</v>
      </c>
      <c r="C675">
        <f t="shared" si="539"/>
        <v>11.612992746083599</v>
      </c>
      <c r="D675">
        <f t="shared" si="540"/>
        <v>1.4845791045234231</v>
      </c>
      <c r="F675">
        <f t="shared" si="541"/>
        <v>4.5510446647824089E-6</v>
      </c>
      <c r="G675">
        <f t="shared" si="542"/>
        <v>6.5494855038839776E-4</v>
      </c>
      <c r="H675">
        <f t="shared" si="564"/>
        <v>-3.1409377014496118</v>
      </c>
      <c r="J675">
        <f t="shared" si="565"/>
        <v>9</v>
      </c>
      <c r="M675">
        <f t="shared" si="543"/>
        <v>4.2633544331014718E-4</v>
      </c>
      <c r="N675">
        <f t="shared" si="566"/>
        <v>-1.5707963250000001</v>
      </c>
      <c r="O675">
        <f t="shared" si="544"/>
        <v>1273.1823362487478</v>
      </c>
      <c r="P675">
        <f t="shared" si="567"/>
        <v>1.5700108932600865</v>
      </c>
      <c r="Q675">
        <f t="shared" si="545"/>
        <v>519.85145026352245</v>
      </c>
      <c r="R675">
        <f t="shared" si="568"/>
        <v>1.5688726991581607</v>
      </c>
      <c r="S675">
        <f t="shared" si="546"/>
        <v>0.14823906086831282</v>
      </c>
      <c r="T675">
        <f t="shared" si="569"/>
        <v>-1.4220089047748119</v>
      </c>
      <c r="U675">
        <f t="shared" si="547"/>
        <v>9.571800801744576E-2</v>
      </c>
      <c r="V675">
        <f t="shared" si="570"/>
        <v>-1.4749315524758271</v>
      </c>
      <c r="X675">
        <f t="shared" si="548"/>
        <v>-54.404492547529983</v>
      </c>
      <c r="Y675">
        <f t="shared" si="549"/>
        <v>-171.04003652941589</v>
      </c>
      <c r="Z675">
        <f t="shared" si="579"/>
        <v>8.959963470584114</v>
      </c>
      <c r="AC675">
        <v>1</v>
      </c>
      <c r="AD675">
        <f t="shared" si="550"/>
        <v>1273.1819435319601</v>
      </c>
      <c r="AE675">
        <f t="shared" si="551"/>
        <v>-0.44349993470200255</v>
      </c>
      <c r="AF675">
        <f t="shared" si="552"/>
        <v>4.2646743232631998E-2</v>
      </c>
      <c r="AG675">
        <f t="shared" si="553"/>
        <v>271.28763971711169</v>
      </c>
      <c r="AH675">
        <f t="shared" si="554"/>
        <v>-2844.6732693804406</v>
      </c>
      <c r="AJ675">
        <f t="shared" si="571"/>
        <v>55000</v>
      </c>
      <c r="AK675">
        <f t="shared" si="555"/>
        <v>366923.09895491251</v>
      </c>
      <c r="AL675">
        <v>50</v>
      </c>
      <c r="AM675">
        <f t="shared" si="556"/>
        <v>519.85048844940764</v>
      </c>
      <c r="AN675">
        <f t="shared" si="557"/>
        <v>709.43733307172556</v>
      </c>
      <c r="AO675">
        <f t="shared" si="558"/>
        <v>-37.564903333382588</v>
      </c>
      <c r="AQ675">
        <f t="shared" si="559"/>
        <v>1.1616364475792417E-4</v>
      </c>
      <c r="AR675">
        <f t="shared" si="560"/>
        <v>-0.60606058379551775</v>
      </c>
      <c r="AT675">
        <f t="shared" si="561"/>
        <v>-1724.0128285872067</v>
      </c>
      <c r="AU675">
        <f t="shared" si="562"/>
        <v>-164.74719291857747</v>
      </c>
      <c r="AV675">
        <f t="shared" si="580"/>
        <v>-3.0463216427869888</v>
      </c>
      <c r="AW675">
        <f t="shared" si="581"/>
        <v>973.9938210648711</v>
      </c>
      <c r="AX675">
        <f t="shared" si="582"/>
        <v>-3690.2074532635997</v>
      </c>
      <c r="AY675">
        <f t="shared" si="590"/>
        <v>-1.3127411839266849</v>
      </c>
      <c r="BA675">
        <f t="shared" si="572"/>
        <v>0.45377428626978111</v>
      </c>
      <c r="BB675">
        <f t="shared" si="583"/>
        <v>-6.8632023526947794</v>
      </c>
      <c r="BC675">
        <f t="shared" si="584"/>
        <v>-1.7335804588603039</v>
      </c>
      <c r="BD675">
        <f t="shared" si="573"/>
        <v>-279.32684385254549</v>
      </c>
      <c r="BF675">
        <f t="shared" si="574"/>
        <v>-73.317247113219551</v>
      </c>
      <c r="BG675">
        <f t="shared" si="575"/>
        <v>-194.22920092506857</v>
      </c>
      <c r="BH675">
        <f t="shared" si="585"/>
        <v>-14.229200925068568</v>
      </c>
      <c r="BI675">
        <f t="shared" si="586"/>
        <v>-14.229200925068568</v>
      </c>
      <c r="BJ675">
        <f t="shared" si="576"/>
        <v>0</v>
      </c>
      <c r="BK675">
        <f t="shared" si="587"/>
        <v>0</v>
      </c>
      <c r="BM675">
        <f t="shared" si="588"/>
        <v>-66.454044760524766</v>
      </c>
      <c r="BN675">
        <f t="shared" si="577"/>
        <v>-94.902357072523046</v>
      </c>
      <c r="BQ675" s="75">
        <f t="shared" si="589"/>
        <v>10.038758447590357</v>
      </c>
    </row>
    <row r="676" spans="1:69">
      <c r="A676">
        <f t="shared" si="563"/>
        <v>10000000</v>
      </c>
      <c r="B676">
        <f t="shared" si="578"/>
        <v>10000</v>
      </c>
      <c r="C676">
        <f t="shared" si="539"/>
        <v>11.729430217700482</v>
      </c>
      <c r="D676">
        <f t="shared" si="540"/>
        <v>1.485437073915544</v>
      </c>
      <c r="F676">
        <f t="shared" si="541"/>
        <v>4.4604784904499291E-6</v>
      </c>
      <c r="G676">
        <f t="shared" si="542"/>
        <v>6.4839900792319956E-4</v>
      </c>
      <c r="H676">
        <f t="shared" si="564"/>
        <v>-3.1409442509920771</v>
      </c>
      <c r="J676">
        <f t="shared" si="565"/>
        <v>9</v>
      </c>
      <c r="M676">
        <f t="shared" si="543"/>
        <v>4.220720888770457E-4</v>
      </c>
      <c r="N676">
        <f t="shared" si="566"/>
        <v>-1.5707963250000001</v>
      </c>
      <c r="O676">
        <f t="shared" si="544"/>
        <v>1286.0427559936213</v>
      </c>
      <c r="P676">
        <f t="shared" si="567"/>
        <v>1.5700187475922527</v>
      </c>
      <c r="Q676">
        <f t="shared" si="545"/>
        <v>525.10245568024141</v>
      </c>
      <c r="R676">
        <f t="shared" si="568"/>
        <v>1.5688919353877837</v>
      </c>
      <c r="S676">
        <f t="shared" si="546"/>
        <v>0.1467887690529294</v>
      </c>
      <c r="T676">
        <f t="shared" si="569"/>
        <v>-1.4234752384478719</v>
      </c>
      <c r="U676">
        <f t="shared" si="547"/>
        <v>9.4769467636473217E-2</v>
      </c>
      <c r="V676">
        <f t="shared" si="570"/>
        <v>-1.4758844246677465</v>
      </c>
      <c r="X676">
        <f t="shared" si="548"/>
        <v>-54.577035304607186</v>
      </c>
      <c r="Y676">
        <f t="shared" si="549"/>
        <v>-171.12831187651926</v>
      </c>
      <c r="Z676">
        <f t="shared" si="579"/>
        <v>8.8716881234807374</v>
      </c>
      <c r="AC676">
        <v>1</v>
      </c>
      <c r="AD676">
        <f t="shared" si="550"/>
        <v>1286.0423672040001</v>
      </c>
      <c r="AE676">
        <f t="shared" si="551"/>
        <v>-0.45250477982042914</v>
      </c>
      <c r="AF676">
        <f t="shared" si="552"/>
        <v>4.3077518416800006E-2</v>
      </c>
      <c r="AG676">
        <f t="shared" si="553"/>
        <v>265.93750208959023</v>
      </c>
      <c r="AH676">
        <f t="shared" si="554"/>
        <v>-2816.7358587147337</v>
      </c>
      <c r="AJ676">
        <f t="shared" si="571"/>
        <v>55000</v>
      </c>
      <c r="AK676">
        <f t="shared" si="555"/>
        <v>370629.39288375003</v>
      </c>
      <c r="AL676">
        <v>51</v>
      </c>
      <c r="AM676">
        <f t="shared" si="556"/>
        <v>525.10150348425009</v>
      </c>
      <c r="AN676">
        <f t="shared" si="557"/>
        <v>709.30627338819136</v>
      </c>
      <c r="AO676">
        <f t="shared" si="558"/>
        <v>-35.850935356856951</v>
      </c>
      <c r="AQ676">
        <f t="shared" si="559"/>
        <v>1.1385198831047574E-4</v>
      </c>
      <c r="AR676">
        <f t="shared" si="560"/>
        <v>-0.59999997839620711</v>
      </c>
      <c r="AT676">
        <f t="shared" si="561"/>
        <v>-1690.011176863283</v>
      </c>
      <c r="AU676">
        <f t="shared" si="562"/>
        <v>-159.88318648655553</v>
      </c>
      <c r="AV676">
        <f t="shared" si="580"/>
        <v>-3.0472685773468813</v>
      </c>
      <c r="AW676">
        <f t="shared" si="581"/>
        <v>970.14846850546428</v>
      </c>
      <c r="AX676">
        <f t="shared" si="582"/>
        <v>-3652.2926401795671</v>
      </c>
      <c r="AY676">
        <f t="shared" si="590"/>
        <v>-1.3111645909972902</v>
      </c>
      <c r="BA676">
        <f t="shared" si="572"/>
        <v>0.44921451244919602</v>
      </c>
      <c r="BB676">
        <f t="shared" si="583"/>
        <v>-6.9509244349081403</v>
      </c>
      <c r="BC676">
        <f t="shared" si="584"/>
        <v>-1.7361039863495911</v>
      </c>
      <c r="BD676">
        <f t="shared" si="573"/>
        <v>-279.47143132733214</v>
      </c>
      <c r="BF676">
        <f t="shared" si="574"/>
        <v>-73.492906940670494</v>
      </c>
      <c r="BG676">
        <f t="shared" si="575"/>
        <v>-194.3250056358205</v>
      </c>
      <c r="BH676">
        <f t="shared" si="585"/>
        <v>-14.325005635820503</v>
      </c>
      <c r="BI676">
        <f t="shared" si="586"/>
        <v>-14.325005635820503</v>
      </c>
      <c r="BJ676">
        <f t="shared" si="576"/>
        <v>0</v>
      </c>
      <c r="BK676">
        <f t="shared" si="587"/>
        <v>0</v>
      </c>
      <c r="BM676">
        <f t="shared" si="588"/>
        <v>-66.541982505762348</v>
      </c>
      <c r="BN676">
        <f t="shared" si="577"/>
        <v>-94.853574308488376</v>
      </c>
      <c r="BQ676" s="75">
        <f t="shared" si="589"/>
        <v>9.9510363653769964</v>
      </c>
    </row>
    <row r="677" spans="1:69">
      <c r="BD677">
        <f t="shared" si="573"/>
        <v>-180</v>
      </c>
    </row>
    <row r="678" spans="1:69">
      <c r="BD678">
        <f t="shared" si="573"/>
        <v>-180</v>
      </c>
    </row>
    <row r="679" spans="1:69">
      <c r="C679" s="538" t="s">
        <v>46</v>
      </c>
      <c r="D679" s="538"/>
      <c r="E679" s="538"/>
      <c r="F679" s="538"/>
      <c r="G679" s="538"/>
      <c r="H679" s="538"/>
      <c r="J679" s="7" t="s">
        <v>76</v>
      </c>
      <c r="M679" s="7" t="s">
        <v>37</v>
      </c>
      <c r="N679" s="5"/>
      <c r="O679" s="5"/>
      <c r="P679" s="5"/>
      <c r="Q679" s="5"/>
      <c r="R679" s="5"/>
      <c r="S679" s="5"/>
      <c r="T679" s="5"/>
      <c r="U679" s="5"/>
      <c r="V679" s="5"/>
      <c r="X679" s="7" t="s">
        <v>105</v>
      </c>
      <c r="Y679" s="5"/>
      <c r="Z679" s="5"/>
      <c r="AD679" s="5"/>
      <c r="AE679" s="5"/>
      <c r="AF679" s="5"/>
      <c r="AG679" s="5"/>
      <c r="AH679" s="5"/>
      <c r="AJ679" s="7" t="s">
        <v>87</v>
      </c>
      <c r="AK679" s="5"/>
      <c r="AL679" s="5"/>
      <c r="AM679" s="5"/>
      <c r="AN679" s="5"/>
      <c r="AO679" s="5"/>
      <c r="AQ679" s="7" t="s">
        <v>463</v>
      </c>
      <c r="AR679" s="5"/>
      <c r="AT679" s="7" t="s">
        <v>108</v>
      </c>
      <c r="AU679" s="5"/>
      <c r="AV679" s="5"/>
      <c r="AW679" s="5"/>
      <c r="AX679" s="5"/>
      <c r="AY679" s="5"/>
      <c r="BA679" s="7" t="s">
        <v>109</v>
      </c>
      <c r="BB679" s="5"/>
      <c r="BC679" s="5"/>
      <c r="BF679" s="7" t="s">
        <v>110</v>
      </c>
      <c r="BG679" s="5"/>
      <c r="BH679" s="5"/>
      <c r="BJ679" t="s">
        <v>85</v>
      </c>
      <c r="BK679" s="4">
        <f>SUM(BK683:BK1300)</f>
        <v>0</v>
      </c>
    </row>
    <row r="680" spans="1:69">
      <c r="C680" s="2" t="s">
        <v>47</v>
      </c>
      <c r="D680" s="2"/>
      <c r="E680" s="2"/>
      <c r="F680" s="2" t="s">
        <v>48</v>
      </c>
      <c r="G680" s="2"/>
      <c r="H680" s="2"/>
      <c r="M680" s="2" t="s">
        <v>50</v>
      </c>
      <c r="N680" s="2"/>
      <c r="O680" s="2" t="s">
        <v>64</v>
      </c>
      <c r="P680" s="2"/>
      <c r="Q680" s="2" t="s">
        <v>65</v>
      </c>
      <c r="R680" s="2"/>
      <c r="S680" s="2" t="s">
        <v>66</v>
      </c>
      <c r="T680" s="2"/>
      <c r="U680" s="2" t="s">
        <v>67</v>
      </c>
      <c r="V680" s="2"/>
      <c r="AD680" s="2"/>
      <c r="AE680" s="2" t="s">
        <v>91</v>
      </c>
      <c r="AF680" s="2"/>
      <c r="AG680" s="2" t="s">
        <v>92</v>
      </c>
      <c r="AH680" s="2"/>
      <c r="AJ680" s="2" t="s">
        <v>90</v>
      </c>
      <c r="AK680" s="2"/>
      <c r="AL680" s="2" t="s">
        <v>91</v>
      </c>
      <c r="AM680" s="2"/>
      <c r="AN680" s="2" t="s">
        <v>92</v>
      </c>
      <c r="AO680" s="2"/>
      <c r="AQ680" s="2" t="s">
        <v>83</v>
      </c>
      <c r="AR680" s="2"/>
      <c r="AT680" s="2" t="s">
        <v>90</v>
      </c>
      <c r="AU680" s="2"/>
      <c r="AV680" s="2"/>
      <c r="AW680" s="2" t="s">
        <v>91</v>
      </c>
      <c r="AX680" s="2"/>
      <c r="AY680" s="2"/>
    </row>
    <row r="681" spans="1:69">
      <c r="A681" s="2" t="s">
        <v>44</v>
      </c>
      <c r="B681" s="2"/>
      <c r="C681" s="2" t="s">
        <v>68</v>
      </c>
      <c r="D681" s="2" t="s">
        <v>69</v>
      </c>
      <c r="E681" s="2"/>
      <c r="F681" s="2" t="s">
        <v>68</v>
      </c>
      <c r="G681" s="2"/>
      <c r="H681" s="2" t="s">
        <v>69</v>
      </c>
      <c r="J681" s="2" t="s">
        <v>68</v>
      </c>
      <c r="M681" s="2" t="s">
        <v>68</v>
      </c>
      <c r="N681" s="2" t="s">
        <v>69</v>
      </c>
      <c r="O681" s="2" t="s">
        <v>68</v>
      </c>
      <c r="P681" s="2" t="s">
        <v>69</v>
      </c>
      <c r="Q681" s="2" t="s">
        <v>68</v>
      </c>
      <c r="R681" s="2" t="s">
        <v>69</v>
      </c>
      <c r="S681" s="2" t="s">
        <v>68</v>
      </c>
      <c r="T681" s="2" t="s">
        <v>69</v>
      </c>
      <c r="U681" s="2" t="s">
        <v>68</v>
      </c>
      <c r="V681" s="2" t="s">
        <v>69</v>
      </c>
      <c r="X681" s="2" t="s">
        <v>71</v>
      </c>
      <c r="Y681" s="2" t="s">
        <v>72</v>
      </c>
      <c r="Z681" s="2" t="s">
        <v>73</v>
      </c>
      <c r="AC681" s="2" t="s">
        <v>88</v>
      </c>
      <c r="AD681" s="2" t="s">
        <v>89</v>
      </c>
      <c r="AE681" s="2" t="s">
        <v>88</v>
      </c>
      <c r="AF681" s="2" t="s">
        <v>89</v>
      </c>
      <c r="AG681" s="2" t="s">
        <v>97</v>
      </c>
      <c r="AH681" s="2" t="s">
        <v>98</v>
      </c>
      <c r="AJ681" s="2" t="s">
        <v>88</v>
      </c>
      <c r="AK681" s="2" t="s">
        <v>89</v>
      </c>
      <c r="AL681" s="2" t="s">
        <v>88</v>
      </c>
      <c r="AM681" s="2" t="s">
        <v>89</v>
      </c>
      <c r="AN681" s="2" t="s">
        <v>100</v>
      </c>
      <c r="AO681" s="2" t="s">
        <v>99</v>
      </c>
      <c r="AQ681" s="2" t="s">
        <v>88</v>
      </c>
      <c r="AR681" s="2" t="s">
        <v>89</v>
      </c>
      <c r="AT681" s="2" t="s">
        <v>88</v>
      </c>
      <c r="AU681" s="2" t="s">
        <v>89</v>
      </c>
      <c r="AV681" s="2" t="s">
        <v>69</v>
      </c>
      <c r="AW681" s="2" t="s">
        <v>88</v>
      </c>
      <c r="AX681" s="2" t="s">
        <v>89</v>
      </c>
      <c r="AY681" s="2" t="s">
        <v>69</v>
      </c>
      <c r="BA681" s="2" t="s">
        <v>462</v>
      </c>
      <c r="BB681" s="2" t="s">
        <v>460</v>
      </c>
      <c r="BC681" s="2" t="s">
        <v>461</v>
      </c>
      <c r="BF681" s="2" t="s">
        <v>71</v>
      </c>
      <c r="BG681" s="2" t="s">
        <v>72</v>
      </c>
      <c r="BH681" s="2" t="s">
        <v>104</v>
      </c>
    </row>
    <row r="682" spans="1:69">
      <c r="A682">
        <f>Fesr</f>
        <v>855671.73803094833</v>
      </c>
      <c r="B682">
        <f t="shared" ref="B682:B692" si="591">A682/1000</f>
        <v>855.67173803094829</v>
      </c>
      <c r="C682">
        <f t="shared" ref="C682:C688" si="592">SQRT((A682/Fesr)^2+1)</f>
        <v>1.4142135623730951</v>
      </c>
      <c r="D682">
        <f t="shared" ref="D682:D688" si="593">ATAN(A682/Fesr)</f>
        <v>0.78539816339744828</v>
      </c>
      <c r="F682">
        <f t="shared" ref="F682:F687" si="594">(Ro/(Ro+Rdcr))/SQRT((A682/(Q*Fo))^2+(1-(A682^2/Fo^2))^2)</f>
        <v>6.0956184374603571E-4</v>
      </c>
      <c r="G682">
        <f t="shared" ref="G682:G687" si="595">-ATAN(A682*Fo/(Q*(Fo^2-A682^2)))</f>
        <v>7.5821083255535032E-3</v>
      </c>
      <c r="H682">
        <f t="shared" ref="H682:H687" si="596">IF(G682&gt;0,G682-Pi,G682)</f>
        <v>-3.1340105416744466</v>
      </c>
      <c r="J682">
        <f t="shared" ref="J682:J688" si="597">Vin/Vramp</f>
        <v>9</v>
      </c>
      <c r="M682">
        <f t="shared" ref="M682:M687" si="598">1/(2*Pi*_Rfb1*(Cc1ea_u+Cc2ea_u)*A682)</f>
        <v>4.9326402885329374E-3</v>
      </c>
      <c r="N682">
        <f t="shared" ref="N682:N688" si="599">-Pi/2</f>
        <v>-1.5707963250000001</v>
      </c>
      <c r="O682">
        <f t="shared" ref="O682:O687" si="600">SQRT(1+(A682/Fz1_u)^2)</f>
        <v>110.04755433682409</v>
      </c>
      <c r="P682">
        <f t="shared" ref="P682:P687" si="601">ATAN(A682/Fz1_u)</f>
        <v>1.5617092210546488</v>
      </c>
      <c r="Q682">
        <f t="shared" ref="Q682:Q687" si="602">SQRT(1+(A682/Fz2_u)^2)</f>
        <v>44.942578297675183</v>
      </c>
      <c r="R682">
        <f t="shared" ref="R682:R687" si="603">ATAN(A682/Fz2_u)</f>
        <v>1.5485438755282643</v>
      </c>
      <c r="S682">
        <f t="shared" ref="S682:S687" si="604">1/SQRT(1+(A682/Fp1_u)^2)</f>
        <v>0.86630187177853324</v>
      </c>
      <c r="T682">
        <f t="shared" ref="T682:T687" si="605">-ATAN(A682/Fp1_u)</f>
        <v>-0.52304557455093448</v>
      </c>
      <c r="U682">
        <f t="shared" ref="U682:U687" si="606">1/SQRT(1+(A682/Fp2_u)^2)</f>
        <v>0.7437250425709907</v>
      </c>
      <c r="V682">
        <f t="shared" ref="V682:V687" si="607">-ATAN(A682/Fp2_u)</f>
        <v>-0.73217074695195217</v>
      </c>
      <c r="X682">
        <f t="shared" ref="X682:X688" si="608">20*LOG(C682*J682*O682*Q682*F682*M682*S682*U682)</f>
        <v>-18.276504717286976</v>
      </c>
      <c r="Y682">
        <f t="shared" ref="Y682:Y688" si="609">(180/Pi)*(D682+H682+N682+P682+R682+T682+V682)</f>
        <v>-118.27979896612467</v>
      </c>
      <c r="Z682">
        <f t="shared" ref="Z682:Z687" si="610">Y682+180</f>
        <v>61.720201033875327</v>
      </c>
      <c r="AC682">
        <v>1</v>
      </c>
      <c r="AD682">
        <f t="shared" ref="AD682:AD687" si="611">Rcea1_u*Cc1ea_u*A682*2*Pi</f>
        <v>110.04301075268818</v>
      </c>
      <c r="AE682">
        <f t="shared" ref="AE682:AE687" si="612">-Rcea1_u*Cc1ea_u*Cc2ea_u*(A682*2*Pi)^2</f>
        <v>-3.3131229043820106E-3</v>
      </c>
      <c r="AF682">
        <f t="shared" ref="AF682:AF687" si="613">(Cc2ea_u+Cc1ea_u)*A682*2*Pi</f>
        <v>3.6860215053763443E-3</v>
      </c>
      <c r="AG682">
        <f t="shared" ref="AG682:AG687" si="614">AC682*AE682/(AE682^2+AF682^2)+AD682*AF682/(AE682^2+AF682^2)</f>
        <v>16378.250665492051</v>
      </c>
      <c r="AH682">
        <f t="shared" ref="AH682:AH687" si="615">AD682*AE682/(AE682^2+AF682^2)-AC682*AF682/(AE682^2+AF682^2)</f>
        <v>-14992.630220129231</v>
      </c>
      <c r="AJ682">
        <f t="shared" ref="AJ682:AJ688" si="616">_Rfb1</f>
        <v>55000</v>
      </c>
      <c r="AK682">
        <f t="shared" ref="AK682:AK687" si="617">_Rfb1*Rcea2_u*Cc3ea_u*A682*2*Pi</f>
        <v>31713.709677419356</v>
      </c>
      <c r="AL682">
        <v>1</v>
      </c>
      <c r="AM682">
        <f t="shared" ref="AM682:AM687" si="618">(_Rfb1+Rcea2_u)*Cc3ea_u*A682*2*Pi</f>
        <v>44.931451612903231</v>
      </c>
      <c r="AN682">
        <f t="shared" ref="AN682:AN687" si="619">AJ682*AL682/(AL682^2+AM682^2)+AK682*AM682/(AL682^2+AM682^2)</f>
        <v>732.70478021963368</v>
      </c>
      <c r="AO682">
        <f t="shared" ref="AO682:AO687" si="620">AK682*AL682/(AL682^2+AM682^2)-AJ682*AM682/(AL682^2+AM682^2)</f>
        <v>-1207.7797015620145</v>
      </c>
      <c r="AQ682">
        <f t="shared" ref="AQ682:AQ687" si="621">Eadcg/(1+(Eadcg*A682/GBP)^2)</f>
        <v>1.5549775511315096E-2</v>
      </c>
      <c r="AR682">
        <f t="shared" ref="AR682:AR687" si="622">-(A682*Eadcg*Eadcg/GBP)/(1+(Eadcg*A682/GBP)^2)</f>
        <v>-7.0120003116985021</v>
      </c>
      <c r="AT682">
        <f t="shared" ref="AT682:AT687" si="623">-AR682*AH682+AG682*AQ682</f>
        <v>-104873.6496556101</v>
      </c>
      <c r="AU682">
        <f t="shared" ref="AU682:AU687" si="624">AQ682*AH682+AG682*AR682</f>
        <v>-115077.43080575364</v>
      </c>
      <c r="AV682">
        <f t="shared" ref="AV682:AV687" si="625">IF(AT682&lt;0,ATAN(AU682/AT682)+Pi,ATAN(AU682/AT682))</f>
        <v>3.9733487152792972</v>
      </c>
      <c r="AW682">
        <f t="shared" ref="AW682:AW687" si="626">AG682-AH682*AO682/_Rfb2+AG682*AN682/_Rfb2+AN682-AO682*AR682+AQ682*AN682</f>
        <v>7515.2051610855979</v>
      </c>
      <c r="AX682">
        <f t="shared" ref="AX682:AX687" si="627">AH682+AH682*AN682/_Rfb2+AG682*AO682/_Rfb2+AO682+AO682*AQ682+AN682*AR682</f>
        <v>-27090.671825748104</v>
      </c>
      <c r="AY682">
        <f t="shared" ref="AY682:AY687" si="628">IF(AW682&lt;0,ATAN(AX682/AW682)+Pi,ATAN(AX682/AW682))</f>
        <v>-1.3001915622236322</v>
      </c>
      <c r="BA682">
        <f t="shared" ref="BA682:BA687" si="629">SQRT(AT682^2+AU682^2)/SQRT(AW682^2+AX682^2)</f>
        <v>5.5380795247040293</v>
      </c>
      <c r="BB682">
        <f t="shared" ref="BB682:BB687" si="630">20*LOG(BA682)</f>
        <v>14.867183755140061</v>
      </c>
      <c r="BC682">
        <f t="shared" ref="BC682:BC687" si="631">AV682-AY682</f>
        <v>5.2735402775029296</v>
      </c>
      <c r="BD682">
        <f t="shared" ref="BD682:BD687" si="632">BC682*180/Pi</f>
        <v>302.15160133842539</v>
      </c>
      <c r="BF682">
        <f t="shared" ref="BF682:BF687" si="633">20*LOG(BA682*J682*F682*C682)</f>
        <v>-27.337310619455579</v>
      </c>
      <c r="BG682">
        <f t="shared" ref="BG682:BG688" si="634">(180/Pi)*(D682+H682+BC682)</f>
        <v>167.58602419720697</v>
      </c>
      <c r="BH682">
        <f t="shared" ref="BH682:BH687" si="635">IF(BG682&gt;180,BG682-180,BG682+180)</f>
        <v>347.58602419720694</v>
      </c>
      <c r="BI682">
        <f t="shared" ref="BI682:BI687" si="636">IF(BH682&gt;180,BH682-360,BH682)</f>
        <v>-12.413975802793061</v>
      </c>
    </row>
    <row r="683" spans="1:69">
      <c r="A683">
        <f>Fo+1</f>
        <v>21135.813205417224</v>
      </c>
      <c r="B683">
        <f t="shared" si="591"/>
        <v>21.135813205417225</v>
      </c>
      <c r="C683">
        <f t="shared" si="592"/>
        <v>1.0003050193024738</v>
      </c>
      <c r="D683">
        <f t="shared" si="593"/>
        <v>2.4695821185074907E-2</v>
      </c>
      <c r="F683">
        <f t="shared" si="594"/>
        <v>3.2547688840991058</v>
      </c>
      <c r="G683">
        <f t="shared" si="595"/>
        <v>1.5704878807219946</v>
      </c>
      <c r="H683">
        <f t="shared" si="596"/>
        <v>-1.5711047692780056</v>
      </c>
      <c r="J683">
        <f t="shared" si="597"/>
        <v>9</v>
      </c>
      <c r="M683">
        <f t="shared" si="598"/>
        <v>0.19969522098580353</v>
      </c>
      <c r="N683">
        <f t="shared" si="599"/>
        <v>-1.5707963250000001</v>
      </c>
      <c r="O683">
        <f t="shared" si="600"/>
        <v>2.8962678194862819</v>
      </c>
      <c r="P683">
        <f t="shared" si="601"/>
        <v>1.2182678009445431</v>
      </c>
      <c r="Q683">
        <f t="shared" si="602"/>
        <v>1.4939060622502329</v>
      </c>
      <c r="R683">
        <f t="shared" si="603"/>
        <v>0.83741414456487184</v>
      </c>
      <c r="S683">
        <f t="shared" si="604"/>
        <v>0.99989858640063212</v>
      </c>
      <c r="T683">
        <f t="shared" si="605"/>
        <v>-1.4241861783761715E-2</v>
      </c>
      <c r="U683">
        <f t="shared" si="606"/>
        <v>0.99975362740577112</v>
      </c>
      <c r="V683">
        <f t="shared" si="607"/>
        <v>-2.2198320272913494E-2</v>
      </c>
      <c r="X683">
        <f t="shared" si="608"/>
        <v>28.065474719341267</v>
      </c>
      <c r="Y683">
        <f t="shared" si="609"/>
        <v>-62.908675233638043</v>
      </c>
      <c r="Z683">
        <f t="shared" si="610"/>
        <v>117.09132476636196</v>
      </c>
      <c r="AC683">
        <v>1</v>
      </c>
      <c r="AD683">
        <f t="shared" si="611"/>
        <v>2.718155124747633</v>
      </c>
      <c r="AE683">
        <f t="shared" si="612"/>
        <v>-2.0214411168787479E-6</v>
      </c>
      <c r="AF683">
        <f t="shared" si="613"/>
        <v>9.1047838261040521E-5</v>
      </c>
      <c r="AG683">
        <f t="shared" si="614"/>
        <v>29595.704354211848</v>
      </c>
      <c r="AH683">
        <f t="shared" si="615"/>
        <v>-11640.320010959469</v>
      </c>
      <c r="AJ683">
        <f t="shared" si="616"/>
        <v>55000</v>
      </c>
      <c r="AK683">
        <f t="shared" si="617"/>
        <v>783.35536164281325</v>
      </c>
      <c r="AL683">
        <v>1</v>
      </c>
      <c r="AM683">
        <f t="shared" si="618"/>
        <v>1.1098447291526852</v>
      </c>
      <c r="AN683">
        <f t="shared" si="619"/>
        <v>25033.838722238219</v>
      </c>
      <c r="AO683">
        <f t="shared" si="620"/>
        <v>-27000.318594691667</v>
      </c>
      <c r="AQ683">
        <f t="shared" si="621"/>
        <v>25.282282655624666</v>
      </c>
      <c r="AR683">
        <f t="shared" si="622"/>
        <v>-281.60856510554908</v>
      </c>
      <c r="AT683">
        <f t="shared" si="623"/>
        <v>-2529766.8527802201</v>
      </c>
      <c r="AU683">
        <f t="shared" si="624"/>
        <v>-8628697.6971966513</v>
      </c>
      <c r="AV683">
        <f t="shared" si="625"/>
        <v>4.4272001860477364</v>
      </c>
      <c r="AW683">
        <f t="shared" si="626"/>
        <v>-6836475.7955354564</v>
      </c>
      <c r="AX683">
        <f t="shared" si="627"/>
        <v>-7974242.4038414946</v>
      </c>
      <c r="AY683">
        <f t="shared" si="628"/>
        <v>4.0036607189858859</v>
      </c>
      <c r="BA683">
        <f t="shared" si="629"/>
        <v>0.85607599249719701</v>
      </c>
      <c r="BB683">
        <f t="shared" si="630"/>
        <v>-1.3497536396966978</v>
      </c>
      <c r="BC683">
        <f t="shared" si="631"/>
        <v>0.42353946706185042</v>
      </c>
      <c r="BD683">
        <f t="shared" si="632"/>
        <v>24.267023947593291</v>
      </c>
      <c r="BF683">
        <f t="shared" si="633"/>
        <v>27.988148618052385</v>
      </c>
      <c r="BG683">
        <f t="shared" si="634"/>
        <v>-64.335682280640171</v>
      </c>
      <c r="BH683">
        <f t="shared" si="635"/>
        <v>115.66431771935983</v>
      </c>
      <c r="BI683">
        <f t="shared" si="636"/>
        <v>115.66431771935983</v>
      </c>
    </row>
    <row r="684" spans="1:69">
      <c r="A684">
        <f>Fz1_u</f>
        <v>7775.7935935976329</v>
      </c>
      <c r="B684">
        <f t="shared" si="591"/>
        <v>7.7757935935976326</v>
      </c>
      <c r="C684">
        <f t="shared" si="592"/>
        <v>1.0000412891659798</v>
      </c>
      <c r="D684">
        <f t="shared" si="593"/>
        <v>9.0871057402477137E-3</v>
      </c>
      <c r="F684">
        <f t="shared" si="594"/>
        <v>1.1451924541407887</v>
      </c>
      <c r="G684">
        <f t="shared" si="595"/>
        <v>-0.12980888451892147</v>
      </c>
      <c r="H684">
        <f t="shared" si="596"/>
        <v>-0.12980888451892147</v>
      </c>
      <c r="J684">
        <f t="shared" si="597"/>
        <v>9</v>
      </c>
      <c r="M684">
        <f t="shared" si="598"/>
        <v>0.54280258831017303</v>
      </c>
      <c r="N684">
        <f t="shared" si="599"/>
        <v>-1.5707963250000001</v>
      </c>
      <c r="O684">
        <f t="shared" si="600"/>
        <v>1.4142135623730951</v>
      </c>
      <c r="P684">
        <f t="shared" si="601"/>
        <v>0.78539816339744828</v>
      </c>
      <c r="Q684">
        <f t="shared" si="602"/>
        <v>1.0801460535099972</v>
      </c>
      <c r="R684">
        <f t="shared" si="603"/>
        <v>0.38764794290907795</v>
      </c>
      <c r="S684">
        <f t="shared" si="604"/>
        <v>0.99998627207662427</v>
      </c>
      <c r="T684">
        <f t="shared" si="605"/>
        <v>-5.239838696962879E-3</v>
      </c>
      <c r="U684">
        <f t="shared" si="606"/>
        <v>0.99996664332833307</v>
      </c>
      <c r="V684">
        <f t="shared" si="607"/>
        <v>-8.1678463640308813E-3</v>
      </c>
      <c r="X684">
        <f t="shared" si="608"/>
        <v>18.635157210443069</v>
      </c>
      <c r="Y684">
        <f t="shared" si="609"/>
        <v>-30.474461052729243</v>
      </c>
      <c r="Z684">
        <f t="shared" si="610"/>
        <v>149.52553894727075</v>
      </c>
      <c r="AC684">
        <v>1</v>
      </c>
      <c r="AD684">
        <f t="shared" si="611"/>
        <v>1</v>
      </c>
      <c r="AE684">
        <f t="shared" si="612"/>
        <v>-2.7359781121751019E-7</v>
      </c>
      <c r="AF684">
        <f t="shared" si="613"/>
        <v>3.3496189173343751E-5</v>
      </c>
      <c r="AG684">
        <f t="shared" si="614"/>
        <v>29608.3175175426</v>
      </c>
      <c r="AH684">
        <f t="shared" si="615"/>
        <v>-30095.983923713888</v>
      </c>
      <c r="AJ684">
        <f t="shared" si="616"/>
        <v>55000</v>
      </c>
      <c r="AK684">
        <f t="shared" si="617"/>
        <v>288.19376587844437</v>
      </c>
      <c r="AL684">
        <v>1</v>
      </c>
      <c r="AM684">
        <f t="shared" si="618"/>
        <v>0.40830809067813167</v>
      </c>
      <c r="AN684">
        <f t="shared" si="619"/>
        <v>47241.741446064581</v>
      </c>
      <c r="AO684">
        <f t="shared" si="620"/>
        <v>-19000.991484274145</v>
      </c>
      <c r="AQ684">
        <f t="shared" si="621"/>
        <v>177.71713650865905</v>
      </c>
      <c r="AR684">
        <f t="shared" si="622"/>
        <v>-728.25696359976041</v>
      </c>
      <c r="AT684">
        <f t="shared" si="623"/>
        <v>-16655704.462774239</v>
      </c>
      <c r="AU684">
        <f t="shared" si="624"/>
        <v>-26911035.495956242</v>
      </c>
      <c r="AV684">
        <f t="shared" si="625"/>
        <v>4.1581757263204366</v>
      </c>
      <c r="AW684">
        <f t="shared" si="626"/>
        <v>-5210984.1421479918</v>
      </c>
      <c r="AX684">
        <f t="shared" si="627"/>
        <v>-38199841.122968391</v>
      </c>
      <c r="AY684">
        <f t="shared" si="628"/>
        <v>4.5768120498320091</v>
      </c>
      <c r="BA684">
        <f t="shared" si="629"/>
        <v>0.82089090918111474</v>
      </c>
      <c r="BB684">
        <f t="shared" si="630"/>
        <v>-1.7142910765784245</v>
      </c>
      <c r="BC684">
        <f t="shared" si="631"/>
        <v>-0.41863632351157243</v>
      </c>
      <c r="BD684">
        <f t="shared" si="632"/>
        <v>-23.98609451549456</v>
      </c>
      <c r="BF684">
        <f t="shared" si="633"/>
        <v>18.548487292384607</v>
      </c>
      <c r="BG684">
        <f t="shared" si="634"/>
        <v>-30.902942942728206</v>
      </c>
      <c r="BH684">
        <f t="shared" si="635"/>
        <v>149.0970570572718</v>
      </c>
      <c r="BI684">
        <f t="shared" si="636"/>
        <v>149.0970570572718</v>
      </c>
    </row>
    <row r="685" spans="1:69">
      <c r="A685">
        <f>Fz2_u</f>
        <v>19043.937093392728</v>
      </c>
      <c r="B685">
        <f t="shared" si="591"/>
        <v>19.043937093392728</v>
      </c>
      <c r="C685">
        <f t="shared" si="592"/>
        <v>1.0002476368862463</v>
      </c>
      <c r="D685">
        <f t="shared" si="593"/>
        <v>2.2252451266632296E-2</v>
      </c>
      <c r="F685">
        <f t="shared" si="594"/>
        <v>2.9866213374221542</v>
      </c>
      <c r="G685">
        <f t="shared" si="595"/>
        <v>-0.97338558440389056</v>
      </c>
      <c r="H685">
        <f t="shared" si="596"/>
        <v>-0.97338558440389056</v>
      </c>
      <c r="J685">
        <f t="shared" si="597"/>
        <v>9</v>
      </c>
      <c r="M685">
        <f t="shared" si="598"/>
        <v>0.22163068844807471</v>
      </c>
      <c r="N685">
        <f t="shared" si="599"/>
        <v>-1.5707963250000001</v>
      </c>
      <c r="O685">
        <f t="shared" si="600"/>
        <v>2.6454191777489755</v>
      </c>
      <c r="P685">
        <f t="shared" si="601"/>
        <v>1.1831483838858188</v>
      </c>
      <c r="Q685">
        <f t="shared" si="602"/>
        <v>1.4142135623730951</v>
      </c>
      <c r="R685">
        <f t="shared" si="603"/>
        <v>0.78539816339744828</v>
      </c>
      <c r="S685">
        <f t="shared" si="604"/>
        <v>0.99991766505888469</v>
      </c>
      <c r="T685">
        <f t="shared" si="605"/>
        <v>-1.2832464375996316E-2</v>
      </c>
      <c r="U685">
        <f t="shared" si="606"/>
        <v>0.99979996861347054</v>
      </c>
      <c r="V685">
        <f t="shared" si="607"/>
        <v>-2.0001902691721047E-2</v>
      </c>
      <c r="X685">
        <f t="shared" si="608"/>
        <v>26.960939152241114</v>
      </c>
      <c r="Y685">
        <f t="shared" si="609"/>
        <v>-33.587775940941157</v>
      </c>
      <c r="Z685">
        <f t="shared" si="610"/>
        <v>146.41222405905884</v>
      </c>
      <c r="AC685">
        <v>1</v>
      </c>
      <c r="AD685">
        <f t="shared" si="611"/>
        <v>2.4491309940470849</v>
      </c>
      <c r="AE685">
        <f t="shared" si="612"/>
        <v>-1.6411060536257351E-6</v>
      </c>
      <c r="AF685">
        <f t="shared" si="613"/>
        <v>8.2036555086900597E-5</v>
      </c>
      <c r="AG685">
        <f t="shared" si="614"/>
        <v>29598.448095132055</v>
      </c>
      <c r="AH685">
        <f t="shared" si="615"/>
        <v>-12781.792107629371</v>
      </c>
      <c r="AJ685">
        <f t="shared" si="616"/>
        <v>55000</v>
      </c>
      <c r="AK685">
        <f t="shared" si="617"/>
        <v>705.82428430404741</v>
      </c>
      <c r="AL685">
        <v>1</v>
      </c>
      <c r="AM685">
        <f t="shared" si="618"/>
        <v>1</v>
      </c>
      <c r="AN685">
        <f t="shared" si="619"/>
        <v>27852.912142152025</v>
      </c>
      <c r="AO685">
        <f t="shared" si="620"/>
        <v>-27147.087857847975</v>
      </c>
      <c r="AQ685">
        <f t="shared" si="621"/>
        <v>31.083986451557674</v>
      </c>
      <c r="AR685">
        <f t="shared" si="622"/>
        <v>-311.96370132774223</v>
      </c>
      <c r="AT685">
        <f t="shared" si="623"/>
        <v>-3067417.4159215642</v>
      </c>
      <c r="AU685">
        <f t="shared" si="624"/>
        <v>-9630950.4740146361</v>
      </c>
      <c r="AV685">
        <f t="shared" si="625"/>
        <v>4.4040510917520166</v>
      </c>
      <c r="AW685">
        <f t="shared" si="626"/>
        <v>-7456702.3945875755</v>
      </c>
      <c r="AX685">
        <f t="shared" si="627"/>
        <v>-9788958.855501093</v>
      </c>
      <c r="AY685">
        <f t="shared" si="628"/>
        <v>4.0614125750549848</v>
      </c>
      <c r="BA685">
        <f t="shared" si="629"/>
        <v>0.82138938050823251</v>
      </c>
      <c r="BB685">
        <f t="shared" si="630"/>
        <v>-1.7090183261286664</v>
      </c>
      <c r="BC685">
        <f t="shared" si="631"/>
        <v>0.34263851669703183</v>
      </c>
      <c r="BD685">
        <f t="shared" si="632"/>
        <v>19.631740927795246</v>
      </c>
      <c r="BF685">
        <f t="shared" si="633"/>
        <v>26.881585813382941</v>
      </c>
      <c r="BG685">
        <f t="shared" si="634"/>
        <v>-34.864173418294932</v>
      </c>
      <c r="BH685">
        <f t="shared" si="635"/>
        <v>145.13582658170506</v>
      </c>
      <c r="BI685">
        <f t="shared" si="636"/>
        <v>145.13582658170506</v>
      </c>
    </row>
    <row r="686" spans="1:69">
      <c r="A686">
        <f>Fp1_u</f>
        <v>1483962.1750466796</v>
      </c>
      <c r="B686">
        <f t="shared" si="591"/>
        <v>1483.9621750466795</v>
      </c>
      <c r="C686">
        <f t="shared" si="592"/>
        <v>2.0019184891119481</v>
      </c>
      <c r="D686">
        <f t="shared" si="593"/>
        <v>1.0477507522439622</v>
      </c>
      <c r="F686">
        <f t="shared" si="594"/>
        <v>2.0258994741915209E-4</v>
      </c>
      <c r="G686">
        <f t="shared" si="595"/>
        <v>4.3702166493869953E-3</v>
      </c>
      <c r="H686">
        <f t="shared" si="596"/>
        <v>-3.1372224333506131</v>
      </c>
      <c r="J686">
        <f t="shared" si="597"/>
        <v>9</v>
      </c>
      <c r="M686">
        <f t="shared" si="598"/>
        <v>2.8442240373395566E-3</v>
      </c>
      <c r="N686">
        <f t="shared" si="599"/>
        <v>-1.5707963250000001</v>
      </c>
      <c r="O686">
        <f t="shared" si="600"/>
        <v>190.84644276916575</v>
      </c>
      <c r="P686">
        <f t="shared" si="601"/>
        <v>1.5655564880979338</v>
      </c>
      <c r="Q686">
        <f t="shared" si="602"/>
        <v>77.929493243314269</v>
      </c>
      <c r="R686">
        <f t="shared" si="603"/>
        <v>1.5579638624189003</v>
      </c>
      <c r="S686">
        <f t="shared" si="604"/>
        <v>0.70710678118654746</v>
      </c>
      <c r="T686">
        <f t="shared" si="605"/>
        <v>-0.78539816339744828</v>
      </c>
      <c r="U686">
        <f t="shared" si="606"/>
        <v>0.53995612738088505</v>
      </c>
      <c r="V686">
        <f t="shared" si="607"/>
        <v>-1.0004113425096905</v>
      </c>
      <c r="X686">
        <f t="shared" si="608"/>
        <v>-24.59000016326145</v>
      </c>
      <c r="Y686">
        <f t="shared" si="609"/>
        <v>-133.07272318371764</v>
      </c>
      <c r="Z686">
        <f t="shared" si="610"/>
        <v>46.927276816282358</v>
      </c>
      <c r="AC686">
        <v>1</v>
      </c>
      <c r="AD686">
        <f t="shared" si="611"/>
        <v>190.84382284382286</v>
      </c>
      <c r="AE686">
        <f t="shared" si="612"/>
        <v>-9.9648056683021759E-3</v>
      </c>
      <c r="AF686">
        <f t="shared" si="613"/>
        <v>6.392540792540792E-3</v>
      </c>
      <c r="AG686">
        <f t="shared" si="614"/>
        <v>8632.9584550294385</v>
      </c>
      <c r="AH686">
        <f t="shared" si="615"/>
        <v>-13613.640674525148</v>
      </c>
      <c r="AJ686">
        <f t="shared" si="616"/>
        <v>55000</v>
      </c>
      <c r="AK686">
        <f t="shared" si="617"/>
        <v>55000.000000000007</v>
      </c>
      <c r="AL686">
        <v>1</v>
      </c>
      <c r="AM686">
        <f t="shared" si="618"/>
        <v>77.923076923076934</v>
      </c>
      <c r="AN686">
        <f t="shared" si="619"/>
        <v>714.76453176244081</v>
      </c>
      <c r="AO686">
        <f t="shared" si="620"/>
        <v>-696.65159041173558</v>
      </c>
      <c r="AQ686">
        <f t="shared" si="621"/>
        <v>5.1700442775036333E-3</v>
      </c>
      <c r="AR686">
        <f t="shared" si="622"/>
        <v>-4.0432231296465266</v>
      </c>
      <c r="AT686">
        <f t="shared" si="623"/>
        <v>-54998.354076478463</v>
      </c>
      <c r="AU686">
        <f t="shared" si="624"/>
        <v>-34975.360427717889</v>
      </c>
      <c r="AV686">
        <f t="shared" si="625"/>
        <v>3.7080164886739211</v>
      </c>
      <c r="AW686">
        <f t="shared" si="626"/>
        <v>5917.1973060745286</v>
      </c>
      <c r="AX686">
        <f t="shared" si="627"/>
        <v>-20138.088204935066</v>
      </c>
      <c r="AY686">
        <f t="shared" si="628"/>
        <v>-1.2850086064762229</v>
      </c>
      <c r="BA686">
        <f t="shared" si="629"/>
        <v>3.1052504087260409</v>
      </c>
      <c r="BB686">
        <f t="shared" si="630"/>
        <v>9.8419325523644012</v>
      </c>
      <c r="BC686">
        <f t="shared" si="631"/>
        <v>4.993025095150144</v>
      </c>
      <c r="BD686">
        <f t="shared" si="632"/>
        <v>286.07926528190274</v>
      </c>
      <c r="BF686">
        <f t="shared" si="633"/>
        <v>-38.911931612394469</v>
      </c>
      <c r="BG686">
        <f t="shared" si="634"/>
        <v>166.36135640558896</v>
      </c>
      <c r="BH686">
        <f t="shared" si="635"/>
        <v>346.36135640558894</v>
      </c>
      <c r="BI686">
        <f t="shared" si="636"/>
        <v>-13.638643594411064</v>
      </c>
    </row>
    <row r="687" spans="1:69">
      <c r="A687">
        <f>Fp2_u</f>
        <v>951979.30138759618</v>
      </c>
      <c r="B687">
        <f t="shared" si="591"/>
        <v>951.97930138759614</v>
      </c>
      <c r="C687">
        <f t="shared" si="592"/>
        <v>1.4959184293394383</v>
      </c>
      <c r="D687">
        <f t="shared" si="593"/>
        <v>0.8386255798429445</v>
      </c>
      <c r="F687">
        <f t="shared" si="594"/>
        <v>4.9241198433731012E-4</v>
      </c>
      <c r="G687">
        <f t="shared" si="595"/>
        <v>6.8142857747120382E-3</v>
      </c>
      <c r="H687">
        <f t="shared" si="596"/>
        <v>-3.134778364225288</v>
      </c>
      <c r="J687">
        <f t="shared" si="597"/>
        <v>9</v>
      </c>
      <c r="M687">
        <f t="shared" si="598"/>
        <v>4.4336267423234653E-3</v>
      </c>
      <c r="N687">
        <f t="shared" si="599"/>
        <v>-1.5707963250000001</v>
      </c>
      <c r="O687">
        <f t="shared" si="600"/>
        <v>122.43265537445811</v>
      </c>
      <c r="P687">
        <f t="shared" si="601"/>
        <v>1.5626284804308657</v>
      </c>
      <c r="Q687">
        <f t="shared" si="602"/>
        <v>49.99857752923895</v>
      </c>
      <c r="R687">
        <f t="shared" si="603"/>
        <v>1.5507944241031755</v>
      </c>
      <c r="S687">
        <f t="shared" si="604"/>
        <v>0.84169316291855267</v>
      </c>
      <c r="T687">
        <f t="shared" si="605"/>
        <v>-0.57038498428520601</v>
      </c>
      <c r="U687">
        <f t="shared" si="606"/>
        <v>0.70710678118654746</v>
      </c>
      <c r="V687">
        <f t="shared" si="607"/>
        <v>-0.78539816339744828</v>
      </c>
      <c r="X687">
        <f t="shared" si="608"/>
        <v>-19.405362332472421</v>
      </c>
      <c r="Y687">
        <f t="shared" si="609"/>
        <v>-120.85452372559251</v>
      </c>
      <c r="Z687">
        <f t="shared" si="610"/>
        <v>59.145476274407486</v>
      </c>
      <c r="AC687">
        <v>1</v>
      </c>
      <c r="AD687">
        <f t="shared" si="611"/>
        <v>122.42857142857144</v>
      </c>
      <c r="AE687">
        <f t="shared" si="612"/>
        <v>-4.1008905887936582E-3</v>
      </c>
      <c r="AF687">
        <f t="shared" si="613"/>
        <v>4.1008905887936573E-3</v>
      </c>
      <c r="AG687">
        <f t="shared" si="614"/>
        <v>14805.146443115857</v>
      </c>
      <c r="AH687">
        <f t="shared" si="615"/>
        <v>-15048.995913943651</v>
      </c>
      <c r="AJ687">
        <f t="shared" si="616"/>
        <v>55000</v>
      </c>
      <c r="AK687">
        <f t="shared" si="617"/>
        <v>35283.151051118133</v>
      </c>
      <c r="AL687">
        <v>1</v>
      </c>
      <c r="AM687">
        <f t="shared" si="618"/>
        <v>49.988576244451274</v>
      </c>
      <c r="AN687">
        <f t="shared" si="619"/>
        <v>727.54319035310004</v>
      </c>
      <c r="AO687">
        <f t="shared" si="620"/>
        <v>-1085.6971909791318</v>
      </c>
      <c r="AQ687">
        <f t="shared" si="621"/>
        <v>1.2562726304722787E-2</v>
      </c>
      <c r="AR687">
        <f t="shared" si="622"/>
        <v>-6.3026330016463152</v>
      </c>
      <c r="AT687">
        <f t="shared" si="623"/>
        <v>-94662.305286195595</v>
      </c>
      <c r="AU687">
        <f t="shared" si="624"/>
        <v>-93500.460983416328</v>
      </c>
      <c r="AV687">
        <f t="shared" si="625"/>
        <v>3.9208162148814272</v>
      </c>
      <c r="AW687">
        <f t="shared" si="626"/>
        <v>7661.5420970927062</v>
      </c>
      <c r="AX687">
        <f t="shared" si="627"/>
        <v>-25769.818854911005</v>
      </c>
      <c r="AY687">
        <f t="shared" si="628"/>
        <v>-1.2818121959168314</v>
      </c>
      <c r="BA687">
        <f t="shared" si="629"/>
        <v>4.9490639815504007</v>
      </c>
      <c r="BB687">
        <f t="shared" si="630"/>
        <v>13.890461368220166</v>
      </c>
      <c r="BC687">
        <f t="shared" si="631"/>
        <v>5.2026284107982583</v>
      </c>
      <c r="BD687">
        <f t="shared" si="632"/>
        <v>298.08865065421082</v>
      </c>
      <c r="BF687">
        <f t="shared" si="633"/>
        <v>-29.679957905593501</v>
      </c>
      <c r="BG687">
        <f t="shared" si="634"/>
        <v>166.52878684156096</v>
      </c>
      <c r="BH687">
        <f t="shared" si="635"/>
        <v>346.52878684156099</v>
      </c>
      <c r="BI687">
        <f t="shared" si="636"/>
        <v>-13.471213158439014</v>
      </c>
    </row>
    <row r="688" spans="1:69">
      <c r="A688">
        <f>'Bode Plots Calculations'!BK5*1000</f>
        <v>120000</v>
      </c>
      <c r="B688">
        <f t="shared" si="591"/>
        <v>120</v>
      </c>
      <c r="C688">
        <f t="shared" si="592"/>
        <v>1.0097858450114037</v>
      </c>
      <c r="D688">
        <f t="shared" si="593"/>
        <v>0.139332002620632</v>
      </c>
      <c r="F688">
        <f>(Ro/(Ro+Rdcr))/SQRT((A688/(Q*Fo))^2+(1-(A688^2/Fo^2))^2)</f>
        <v>3.1917428084525613E-2</v>
      </c>
      <c r="G688">
        <f>-ATAN(A688*Fo/(Q*(Fo^2-A688^2)))</f>
        <v>5.5705057405810464E-2</v>
      </c>
      <c r="H688">
        <f>IF(G688&gt;0,G688-Pi,G688)</f>
        <v>-3.0858875925941898</v>
      </c>
      <c r="J688">
        <f t="shared" si="597"/>
        <v>9</v>
      </c>
      <c r="M688">
        <f>1/(2*Pi*_Rfb1*(Cc1ea_u+Cc2ea_u)*A688)</f>
        <v>3.5172674073087141E-2</v>
      </c>
      <c r="N688">
        <f t="shared" si="599"/>
        <v>-1.5707963250000001</v>
      </c>
      <c r="O688">
        <f>SQRT(1+(A688/Fz1_u)^2)</f>
        <v>15.464873608118765</v>
      </c>
      <c r="P688">
        <f>ATAN(A688/Fz1_u)</f>
        <v>1.5060885110933078</v>
      </c>
      <c r="Q688">
        <f>SQRT(1+(A688/Fz2_u)^2)</f>
        <v>6.3800743577519894</v>
      </c>
      <c r="R688">
        <f>ATAN(A688/Fz2_u)</f>
        <v>1.4134093830962084</v>
      </c>
      <c r="S688">
        <f>1/SQRT(1+(A688/Fp1_u)^2)</f>
        <v>0.99674640662329927</v>
      </c>
      <c r="T688">
        <f>-ATAN(A688/Fp1_u)</f>
        <v>-8.0689023054037023E-2</v>
      </c>
      <c r="U688">
        <f>1/SQRT(1+(A688/Fp2_u)^2)</f>
        <v>0.99214874124488739</v>
      </c>
      <c r="V688">
        <f>-ATAN(A688/Fp2_u)</f>
        <v>-0.12539181815389577</v>
      </c>
      <c r="X688">
        <f t="shared" si="608"/>
        <v>-3.9227123749560167E-2</v>
      </c>
      <c r="Y688">
        <f t="shared" si="609"/>
        <v>-103.35785422675832</v>
      </c>
      <c r="Z688">
        <f>Y688+180</f>
        <v>76.64214577324168</v>
      </c>
      <c r="AC688">
        <v>1</v>
      </c>
      <c r="AD688">
        <f>Rcea1_u*Cc1ea_u*A688*2*Pi</f>
        <v>15.432508406448001</v>
      </c>
      <c r="AE688">
        <f>-Rcea1_u*Cc1ea_u*Cc2ea_u*(A688*2*Pi)^2</f>
        <v>-6.5160688294141781E-5</v>
      </c>
      <c r="AF688">
        <f>(Cc2ea_u+Cc1ea_u)*A688*2*Pi</f>
        <v>5.1693022100160002E-4</v>
      </c>
      <c r="AG688">
        <f>AC688*AE688/(AE688^2+AF688^2)+AD688*AF688/(AE688^2+AF688^2)</f>
        <v>29147.16198919516</v>
      </c>
      <c r="AH688">
        <f>AD688*AE688/(AE688^2+AF688^2)-AC688*AF688/(AE688^2+AF688^2)</f>
        <v>-5608.5889724521039</v>
      </c>
      <c r="AJ688">
        <f t="shared" si="616"/>
        <v>55000</v>
      </c>
      <c r="AK688">
        <f>_Rfb1*Rcea2_u*Cc3ea_u*A688*2*Pi</f>
        <v>4447.5527146050008</v>
      </c>
      <c r="AL688">
        <v>1</v>
      </c>
      <c r="AM688">
        <f>(_Rfb1+Rcea2_u)*Cc3ea_u*A688*2*Pi</f>
        <v>6.3012180418109995</v>
      </c>
      <c r="AN688">
        <f>AJ688*AL688/(AL688^2+AM688^2)+AK688*AM688/(AL688^2+AM688^2)</f>
        <v>2039.6582226528276</v>
      </c>
      <c r="AO688">
        <f>AK688*AL688/(AL688^2+AM688^2)-AJ688*AM688/(AL688^2+AM688^2)</f>
        <v>-8404.7784771031547</v>
      </c>
      <c r="AQ688">
        <f>Eadcg/(1+(Eadcg*A688/GBP)^2)</f>
        <v>0.79044119117537648</v>
      </c>
      <c r="AR688">
        <f>-(A688*Eadcg*Eadcg/GBP)/(1+(Eadcg*A688/GBP)^2)</f>
        <v>-49.98750092993081</v>
      </c>
      <c r="AT688">
        <f>-AR688*AH688+AG688*AQ688</f>
        <v>-257320.22903392813</v>
      </c>
      <c r="AU688">
        <f>AQ688*AH688+AG688*AR688</f>
        <v>-1461427.0467879351</v>
      </c>
      <c r="AV688">
        <f>IF(AT688&lt;0,ATAN(AU688/AT688)+Pi,ATAN(AU688/AT688))</f>
        <v>4.5381008018978708</v>
      </c>
      <c r="AW688">
        <f>AG688-AH688*AO688/_Rfb2+AG688*AN688/_Rfb2+AN688-AO688*AR688+AQ688*AN688</f>
        <v>-385040.44307963789</v>
      </c>
      <c r="AX688">
        <f>AH688+AH688*AN688/_Rfb2+AG688*AO688/_Rfb2+AO688+AO688*AQ688+AN688*AR688</f>
        <v>-170400.70794940341</v>
      </c>
      <c r="AY688">
        <f>IF(AW688&lt;0,ATAN(AX688/AW688)+Pi,ATAN(AX688/AW688))</f>
        <v>3.5582362108875687</v>
      </c>
      <c r="BA688">
        <f>SQRT(AT688^2+AU688^2)/SQRT(AW688^2+AX688^2)</f>
        <v>3.5242094922804283</v>
      </c>
      <c r="BB688">
        <f>20*LOG(BA688)</f>
        <v>10.94123433212825</v>
      </c>
      <c r="BC688">
        <f>AV688-AY688</f>
        <v>0.9798645910103021</v>
      </c>
      <c r="BD688">
        <f>BC688*180/Pi</f>
        <v>56.14210562335456</v>
      </c>
      <c r="BF688">
        <v>0</v>
      </c>
      <c r="BG688">
        <f t="shared" si="634"/>
        <v>-112.6830939757215</v>
      </c>
      <c r="BH688">
        <f>IF(BG688&gt;180,BG688-180,BG688+180)</f>
        <v>67.316906024278495</v>
      </c>
      <c r="BI688">
        <f>IF(BH688&gt;180,BH688-360,BH688)</f>
        <v>67.316906024278495</v>
      </c>
    </row>
    <row r="689" spans="1:61">
      <c r="A689">
        <v>1000000</v>
      </c>
      <c r="B689">
        <f t="shared" si="591"/>
        <v>1000</v>
      </c>
      <c r="BG689">
        <f>BG688</f>
        <v>-112.6830939757215</v>
      </c>
      <c r="BH689">
        <f>IF(BG689&gt;180,BG689-180,BG689+180)</f>
        <v>67.316906024278495</v>
      </c>
      <c r="BI689">
        <f>IF(BH689&gt;180,BH689-360,BH689)</f>
        <v>67.316906024278495</v>
      </c>
    </row>
    <row r="690" spans="1:61">
      <c r="A690">
        <f>'Bode Plots Calculations'!BK5*1000</f>
        <v>120000</v>
      </c>
      <c r="B690">
        <f t="shared" si="591"/>
        <v>120</v>
      </c>
      <c r="BG690">
        <f>BG688</f>
        <v>-112.6830939757215</v>
      </c>
      <c r="BH690">
        <f>IF(BG690&gt;180,BG690-180,BG690+180)</f>
        <v>67.316906024278495</v>
      </c>
      <c r="BI690">
        <f>IF(BH690&gt;180,BH690-360,BH690)</f>
        <v>67.316906024278495</v>
      </c>
    </row>
    <row r="691" spans="1:61">
      <c r="A691">
        <f>'Bode Plots Calculations'!BK5*1000</f>
        <v>120000</v>
      </c>
      <c r="B691">
        <f t="shared" si="591"/>
        <v>120</v>
      </c>
      <c r="BG691">
        <v>-90</v>
      </c>
    </row>
    <row r="692" spans="1:61">
      <c r="A692">
        <f>'Bode Plots Calculations'!BK5*1000</f>
        <v>120000</v>
      </c>
      <c r="B692">
        <f t="shared" si="591"/>
        <v>120</v>
      </c>
      <c r="BG692">
        <v>-80</v>
      </c>
    </row>
  </sheetData>
  <mergeCells count="8">
    <mergeCell ref="A1:G1"/>
    <mergeCell ref="C6:H6"/>
    <mergeCell ref="C679:H679"/>
    <mergeCell ref="O7:P7"/>
    <mergeCell ref="U7:V7"/>
    <mergeCell ref="S7:T7"/>
    <mergeCell ref="Q7:R7"/>
    <mergeCell ref="M7:N7"/>
  </mergeCells>
  <phoneticPr fontId="5" type="noConversion"/>
  <pageMargins left="0.75" right="0.75" top="1" bottom="1" header="0.5" footer="0.5"/>
  <pageSetup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BL109"/>
  <sheetViews>
    <sheetView workbookViewId="0">
      <selection activeCell="G10" sqref="G10"/>
    </sheetView>
  </sheetViews>
  <sheetFormatPr baseColWidth="10" defaultColWidth="8.83203125" defaultRowHeight="13"/>
  <cols>
    <col min="1" max="1" width="19.83203125" customWidth="1"/>
    <col min="2" max="2" width="13.1640625" bestFit="1" customWidth="1"/>
    <col min="4" max="4" width="61.5" customWidth="1"/>
    <col min="8" max="8" width="11" bestFit="1" customWidth="1"/>
    <col min="10" max="10" width="12.5" bestFit="1" customWidth="1"/>
    <col min="11" max="11" width="11.5" customWidth="1"/>
    <col min="12" max="12" width="10.33203125" bestFit="1" customWidth="1"/>
    <col min="13" max="13" width="8" customWidth="1"/>
    <col min="14" max="14" width="14.33203125" style="48" customWidth="1"/>
    <col min="15" max="15" width="10.33203125" style="9" customWidth="1"/>
    <col min="16" max="17" width="9.5" bestFit="1" customWidth="1"/>
    <col min="18" max="18" width="12.5" bestFit="1" customWidth="1"/>
    <col min="19" max="19" width="11.33203125" bestFit="1" customWidth="1"/>
    <col min="21" max="22" width="10.33203125" customWidth="1"/>
    <col min="23" max="23" width="12.5" customWidth="1"/>
    <col min="24" max="24" width="11" bestFit="1" customWidth="1"/>
    <col min="26" max="26" width="12.5" customWidth="1"/>
    <col min="28" max="28" width="9.6640625" customWidth="1"/>
    <col min="29" max="29" width="10.33203125" customWidth="1"/>
    <col min="31" max="31" width="13.5" customWidth="1"/>
    <col min="32" max="32" width="10" customWidth="1"/>
    <col min="34" max="34" width="10.6640625" customWidth="1"/>
    <col min="36" max="36" width="10" style="4" bestFit="1" customWidth="1"/>
    <col min="37" max="37" width="15" style="111" customWidth="1"/>
    <col min="38" max="38" width="14.83203125" style="10" customWidth="1"/>
    <col min="50" max="50" width="28.5" customWidth="1"/>
    <col min="53" max="53" width="12.5" bestFit="1" customWidth="1"/>
  </cols>
  <sheetData>
    <row r="1" spans="1:64" ht="12.75" customHeight="1">
      <c r="A1" s="539" t="s">
        <v>200</v>
      </c>
      <c r="B1" s="539"/>
      <c r="C1" s="539"/>
      <c r="D1" s="539"/>
    </row>
    <row r="2" spans="1:64" ht="12.75" customHeight="1">
      <c r="A2" s="539"/>
      <c r="B2" s="539"/>
      <c r="C2" s="539"/>
      <c r="D2" s="539"/>
    </row>
    <row r="3" spans="1:64" ht="12.75" customHeight="1">
      <c r="A3" s="539"/>
      <c r="B3" s="539"/>
      <c r="C3" s="539"/>
      <c r="D3" s="539"/>
      <c r="AC3">
        <f>VsdBot</f>
        <v>0.77</v>
      </c>
    </row>
    <row r="4" spans="1:64" ht="12.75" customHeight="1">
      <c r="A4" s="539"/>
      <c r="B4" s="539"/>
      <c r="C4" s="539"/>
      <c r="D4" s="539"/>
    </row>
    <row r="5" spans="1:64">
      <c r="A5" s="11"/>
      <c r="B5" s="12"/>
      <c r="C5" s="6"/>
      <c r="D5" s="6"/>
    </row>
    <row r="6" spans="1:64" ht="13.5" customHeight="1" thickBot="1">
      <c r="A6" s="540" t="s">
        <v>203</v>
      </c>
      <c r="B6" s="540"/>
      <c r="C6" s="540"/>
      <c r="D6" s="540"/>
      <c r="I6" s="13"/>
      <c r="J6" s="13"/>
      <c r="AE6" s="13"/>
      <c r="AF6" s="13"/>
      <c r="AH6" s="13"/>
      <c r="AI6" s="13"/>
      <c r="AJ6" s="14"/>
      <c r="BC6">
        <v>80</v>
      </c>
      <c r="BD6">
        <v>100</v>
      </c>
      <c r="BE6">
        <v>120</v>
      </c>
      <c r="BF6">
        <v>140</v>
      </c>
      <c r="BG6">
        <v>160</v>
      </c>
      <c r="BH6">
        <v>180</v>
      </c>
      <c r="BI6">
        <v>20</v>
      </c>
      <c r="BJ6">
        <v>30</v>
      </c>
      <c r="BK6">
        <v>40</v>
      </c>
      <c r="BL6">
        <v>50</v>
      </c>
    </row>
    <row r="7" spans="1:64" ht="14" thickBot="1">
      <c r="A7" s="540"/>
      <c r="B7" s="540"/>
      <c r="C7" s="540"/>
      <c r="D7" s="540"/>
      <c r="G7" s="15" t="s">
        <v>118</v>
      </c>
      <c r="H7" s="16"/>
      <c r="I7" s="17"/>
      <c r="J7" s="17"/>
      <c r="K7" s="15" t="s">
        <v>144</v>
      </c>
      <c r="L7" s="16"/>
      <c r="M7" s="16"/>
      <c r="N7" s="18"/>
      <c r="O7" s="91" t="s">
        <v>36</v>
      </c>
      <c r="P7" s="19"/>
      <c r="Q7" s="17"/>
      <c r="R7" s="20" t="s">
        <v>127</v>
      </c>
      <c r="S7" s="21"/>
      <c r="T7" s="17"/>
      <c r="U7" s="15" t="s">
        <v>262</v>
      </c>
      <c r="V7" s="16"/>
      <c r="W7" s="16"/>
      <c r="X7" s="16"/>
      <c r="Y7" s="17"/>
      <c r="Z7" s="20" t="s">
        <v>261</v>
      </c>
      <c r="AA7" s="21"/>
      <c r="AB7" s="92"/>
      <c r="AC7" s="17"/>
      <c r="AD7" s="93" t="s">
        <v>392</v>
      </c>
      <c r="AE7" s="16" t="s">
        <v>391</v>
      </c>
      <c r="AF7" s="94" t="s">
        <v>243</v>
      </c>
      <c r="AG7" s="95"/>
      <c r="AH7" s="96"/>
      <c r="AI7" s="97"/>
      <c r="AJ7" s="15" t="s">
        <v>260</v>
      </c>
      <c r="AK7" s="112"/>
      <c r="AL7" s="16"/>
      <c r="AM7" s="16"/>
      <c r="AN7" s="16"/>
    </row>
    <row r="8" spans="1:64" ht="53" thickBot="1">
      <c r="A8" s="22" t="s">
        <v>194</v>
      </c>
      <c r="B8" s="22"/>
      <c r="C8" s="22"/>
      <c r="D8" s="6"/>
      <c r="G8" s="23" t="s">
        <v>120</v>
      </c>
      <c r="H8" s="24" t="s">
        <v>6</v>
      </c>
      <c r="I8" s="24" t="s">
        <v>253</v>
      </c>
      <c r="J8" s="25" t="s">
        <v>254</v>
      </c>
      <c r="K8" s="23" t="s">
        <v>258</v>
      </c>
      <c r="L8" s="24" t="s">
        <v>169</v>
      </c>
      <c r="M8" s="24" t="s">
        <v>121</v>
      </c>
      <c r="N8" s="98" t="s">
        <v>394</v>
      </c>
      <c r="O8" s="99" t="s">
        <v>159</v>
      </c>
      <c r="P8" s="26" t="s">
        <v>168</v>
      </c>
      <c r="Q8" s="98" t="s">
        <v>395</v>
      </c>
      <c r="R8" s="23" t="s">
        <v>159</v>
      </c>
      <c r="S8" s="24" t="s">
        <v>167</v>
      </c>
      <c r="T8" s="98" t="s">
        <v>396</v>
      </c>
      <c r="U8" s="23" t="s">
        <v>159</v>
      </c>
      <c r="V8" s="24" t="s">
        <v>166</v>
      </c>
      <c r="W8" s="24" t="s">
        <v>393</v>
      </c>
      <c r="X8" s="100" t="s">
        <v>398</v>
      </c>
      <c r="Y8" s="98" t="s">
        <v>397</v>
      </c>
      <c r="Z8" s="23" t="s">
        <v>159</v>
      </c>
      <c r="AA8" s="24" t="s">
        <v>166</v>
      </c>
      <c r="AB8" s="24" t="s">
        <v>176</v>
      </c>
      <c r="AC8" s="101" t="s">
        <v>401</v>
      </c>
      <c r="AD8" s="98" t="s">
        <v>176</v>
      </c>
      <c r="AE8" s="102" t="s">
        <v>175</v>
      </c>
      <c r="AF8" s="103" t="s">
        <v>202</v>
      </c>
      <c r="AG8" s="104" t="s">
        <v>276</v>
      </c>
      <c r="AH8" s="105" t="s">
        <v>400</v>
      </c>
      <c r="AI8" s="106" t="s">
        <v>259</v>
      </c>
      <c r="AJ8" s="107" t="s">
        <v>122</v>
      </c>
      <c r="AK8" s="113" t="s">
        <v>123</v>
      </c>
      <c r="AL8" s="108" t="s">
        <v>124</v>
      </c>
      <c r="AM8" s="24" t="s">
        <v>263</v>
      </c>
      <c r="AN8" s="24" t="s">
        <v>264</v>
      </c>
      <c r="BA8" t="s">
        <v>226</v>
      </c>
      <c r="BC8" t="s">
        <v>218</v>
      </c>
      <c r="BD8" t="s">
        <v>219</v>
      </c>
      <c r="BE8" t="s">
        <v>220</v>
      </c>
      <c r="BF8" t="s">
        <v>221</v>
      </c>
      <c r="BG8" t="s">
        <v>222</v>
      </c>
      <c r="BH8" t="s">
        <v>223</v>
      </c>
      <c r="BI8" t="s">
        <v>227</v>
      </c>
      <c r="BJ8" t="s">
        <v>228</v>
      </c>
      <c r="BK8" t="s">
        <v>229</v>
      </c>
      <c r="BL8" t="s">
        <v>230</v>
      </c>
    </row>
    <row r="9" spans="1:64">
      <c r="A9" s="27" t="s">
        <v>125</v>
      </c>
      <c r="B9" s="28" t="s">
        <v>206</v>
      </c>
      <c r="C9" s="29" t="s">
        <v>149</v>
      </c>
      <c r="D9" s="30" t="s">
        <v>193</v>
      </c>
      <c r="G9">
        <v>0</v>
      </c>
      <c r="H9">
        <f t="shared" ref="H9:H73" si="0">Iout*(G9/100)</f>
        <v>0</v>
      </c>
      <c r="I9">
        <f t="shared" ref="I9:I73" si="1">(Vout+Rdcr*H9+RdsonBot*H9)/(Vin-RdsonTop*H9+RdsonBot*H9)</f>
        <v>0.5625</v>
      </c>
      <c r="J9">
        <f t="shared" ref="J9:J73" si="2">(Vin-Vout)*I9/(Fsw*Lout2)</f>
        <v>9.6665302782324076</v>
      </c>
      <c r="K9">
        <f>SQRT(H9^2+(J9^2)/12)</f>
        <v>2.7904869291335741</v>
      </c>
      <c r="L9">
        <f t="shared" ref="L9:L73" si="3">(K9^2*Rdcr*(1+Ltc*Ta-Ltc*25))/(1-K9^2*Rdcr*Ltc*ThetaCa)</f>
        <v>2.4922783535877339E-3</v>
      </c>
      <c r="N9" s="48">
        <f>L9</f>
        <v>2.4922783535877339E-3</v>
      </c>
      <c r="O9" s="9">
        <f>J9/(2*SQRT(3))</f>
        <v>2.7904869291335745</v>
      </c>
      <c r="P9" s="9">
        <f t="shared" ref="P9:P73" si="4">RCoutEsr*O9^2</f>
        <v>1.2069566817581256E-2</v>
      </c>
      <c r="Q9" s="9">
        <f>P9</f>
        <v>1.2069566817581256E-2</v>
      </c>
      <c r="R9">
        <f>SQRT(I9)*SQRT(H9^2+(J9^2)/12)</f>
        <v>2.0928651968501804</v>
      </c>
      <c r="S9" s="114">
        <f t="shared" ref="S9:S73" si="5">RCinEsr*R9^2</f>
        <v>8.7601694643734893E-3</v>
      </c>
      <c r="T9" s="110">
        <f>S9</f>
        <v>8.7601694643734893E-3</v>
      </c>
      <c r="U9">
        <f>SQRT(I9)*SQRT(H9^2+(J9^2)/12)</f>
        <v>2.0928651968501804</v>
      </c>
      <c r="V9">
        <f t="shared" ref="V9:V73" si="6">RdsonTop*U9^2</f>
        <v>1.7082330455528302E-2</v>
      </c>
      <c r="W9">
        <f>(Vin*H9/2)*(Fsw)*(Tr+Tf)</f>
        <v>0</v>
      </c>
      <c r="X9">
        <f>IF(H9&gt;J9/2,0,ABS(H9-J9/2)*VsdTop*Deadtime*Fsw)</f>
        <v>5.0265957446808528E-2</v>
      </c>
      <c r="Y9">
        <f>(X9+W9+V9*(1+RdsonTopTc*Ta-RdsonTopTc*25))/(1-V9*RdsonTopTc*ThetaJaTop)</f>
        <v>6.757916984457589E-2</v>
      </c>
      <c r="Z9">
        <f>SQRT(1-I9)*SQRT(H9^2+(J9^2)/12)</f>
        <v>1.8457336128159394</v>
      </c>
      <c r="AA9">
        <f t="shared" ref="AA9:AA73" si="7">RdsonBot*Z9^2</f>
        <v>3.0660593125307221E-3</v>
      </c>
      <c r="AB9">
        <f>2*Deadtime*Fsw*IF(VfdSky&gt;0,0,VsdBot)*(H9+J9/2)</f>
        <v>9.6761968085106412E-2</v>
      </c>
      <c r="AC9">
        <f t="shared" ref="AC9:AC41" si="8">(AB9+AA9*(1+RdsonBotTc*Ta-RdsonBotTc*25))/(1-AA9*RdsonBotTc*ThetaJaBot)</f>
        <v>9.988928068949314E-2</v>
      </c>
      <c r="AD9">
        <f>2*Deadtime*Fsw*IF(VfdSky&gt;0,VfdSky,0)*H9</f>
        <v>0</v>
      </c>
      <c r="AE9">
        <f>IF(QrrSky&gt;0,QrrSky,QrrBot)*Fsw*(Vin-H9*RdsonTop)</f>
        <v>0.63960000000000006</v>
      </c>
      <c r="AF9">
        <f t="shared" ref="AF9:AF73" si="9">Iq*Vin</f>
        <v>3.6000000000000004E-2</v>
      </c>
      <c r="AG9">
        <f t="shared" ref="AG9:AG73" si="10">Vin*(QgTop+QgBot)*Fsw</f>
        <v>0.26910000000000001</v>
      </c>
      <c r="AH9" s="9">
        <f t="shared" ref="AH9:AH73" si="11">(Vin-Vdd)*Fsw*(QgTop+QgBot)+(RdsonDRT+RdsonDRT2)*Fsw*QgTop*Vdd/(RdsonDRT+2*RGateTop+RdsonDRT2)+(RdsonDRB+RdsonDRB2)*Fsw*QgBot*Vdd/(RdsonDRB+2*RGateBot+RdsonDRB2)</f>
        <v>0.22723009828009827</v>
      </c>
      <c r="AI9">
        <f>SUM(AF9:AG9)</f>
        <v>0.30510000000000004</v>
      </c>
      <c r="AJ9" s="109">
        <f>SUM(N9,Q9,T9,Y9,AE9,AD9,AC9,AI9)</f>
        <v>1.1354904651696116</v>
      </c>
      <c r="AK9" s="111">
        <f>Vout*H9</f>
        <v>0</v>
      </c>
      <c r="AL9" s="10">
        <f>AK9/(AK9+AJ9)</f>
        <v>0</v>
      </c>
      <c r="AM9">
        <f>ThetaJaTop*Y9</f>
        <v>3.3789584922287945</v>
      </c>
      <c r="AN9">
        <f>AC9*ThetaJaBot</f>
        <v>4.9944640344746567</v>
      </c>
      <c r="AP9">
        <f>AL9*100</f>
        <v>0</v>
      </c>
      <c r="AX9" t="s">
        <v>231</v>
      </c>
      <c r="AY9" s="31">
        <v>70</v>
      </c>
      <c r="AZ9" s="31">
        <v>70</v>
      </c>
      <c r="BA9" s="31">
        <v>70</v>
      </c>
      <c r="BB9" s="32">
        <f>250000*(5-Vdd)*BA9/1000000000+((250000*BA9/1000000000*Vdd)*2.5/(2*4))</f>
        <v>3.3359375000000004E-2</v>
      </c>
      <c r="BC9">
        <f t="shared" ref="BC9:BL17" si="12">BC$6*$BB9</f>
        <v>2.6687500000000002</v>
      </c>
      <c r="BD9">
        <f t="shared" si="12"/>
        <v>3.3359375000000004</v>
      </c>
      <c r="BE9">
        <f t="shared" si="12"/>
        <v>4.0031250000000007</v>
      </c>
      <c r="BF9">
        <f t="shared" si="12"/>
        <v>4.6703125000000005</v>
      </c>
      <c r="BG9">
        <f t="shared" si="12"/>
        <v>5.3375000000000004</v>
      </c>
      <c r="BH9">
        <f t="shared" si="12"/>
        <v>6.0046875000000011</v>
      </c>
      <c r="BI9">
        <f t="shared" si="12"/>
        <v>0.66718750000000004</v>
      </c>
      <c r="BJ9">
        <f t="shared" si="12"/>
        <v>1.0007812500000002</v>
      </c>
      <c r="BK9">
        <f t="shared" si="12"/>
        <v>1.3343750000000001</v>
      </c>
      <c r="BL9">
        <f t="shared" si="12"/>
        <v>1.6679687500000002</v>
      </c>
    </row>
    <row r="10" spans="1:64">
      <c r="A10" s="448"/>
      <c r="B10" s="449"/>
      <c r="C10" s="29"/>
      <c r="D10" s="30"/>
      <c r="G10">
        <v>1</v>
      </c>
      <c r="H10">
        <f>Iout*(G10/100)</f>
        <v>0.3</v>
      </c>
      <c r="I10">
        <f>(Vout+Rdcr*H10+RdsonBot*H10)/(Vin-RdsonTop*H10+RdsonBot*H10)</f>
        <v>0.56257269295197143</v>
      </c>
      <c r="J10">
        <f>(Vin-Vout)*I10/(Fsw*Lout2)</f>
        <v>9.6677795024479565</v>
      </c>
      <c r="K10">
        <f>SQRT(H10^2+(J10^2)/12)</f>
        <v>2.806925371706452</v>
      </c>
      <c r="L10">
        <f>(K10^2*Rdcr*(1+Ltc*Ta-Ltc*25))/(1-K10^2*Rdcr*Ltc*ThetaCa)</f>
        <v>2.5217342424224136E-3</v>
      </c>
      <c r="N10" s="48">
        <f>L10</f>
        <v>2.5217342424224136E-3</v>
      </c>
      <c r="O10" s="9">
        <f>J10/(2*SQRT(3))</f>
        <v>2.7908475491021369</v>
      </c>
      <c r="P10" s="9">
        <f>RCoutEsr*O10^2</f>
        <v>1.2072686565610577E-2</v>
      </c>
      <c r="Q10" s="9">
        <f>P10</f>
        <v>1.2072686565610577E-2</v>
      </c>
      <c r="R10">
        <f>SQRT(I10)*SQRT(H10^2+(J10^2)/12)</f>
        <v>2.1053300535127857</v>
      </c>
      <c r="S10" s="114">
        <f>RCinEsr*R10^2</f>
        <v>8.8648292684482995E-3</v>
      </c>
      <c r="T10" s="110">
        <f>S10</f>
        <v>8.8648292684482995E-3</v>
      </c>
      <c r="U10">
        <f>SQRT(I10)*SQRT(H10^2+(J10^2)/12)</f>
        <v>2.1053300535127857</v>
      </c>
      <c r="V10">
        <f>RdsonTop*U10^2</f>
        <v>1.728641707347418E-2</v>
      </c>
      <c r="W10">
        <f>(Vin*H10/2)*(Fsw)*(Tr+Tf)</f>
        <v>8.5180673836698865E-3</v>
      </c>
      <c r="X10">
        <f>IF(H10&gt;J10/2,0,ABS(H10-J10/2)*VsdTop*Deadtime*Fsw)</f>
        <v>4.7152453412729375E-2</v>
      </c>
      <c r="Y10">
        <f>(X10+W10+V10*(1+RdsonTopTc*Ta-RdsonTopTc*25))/(1-V10*RdsonTopTc*ThetaJaTop)</f>
        <v>7.321004574682298E-2</v>
      </c>
      <c r="Z10">
        <f>SQRT(1-I10)*SQRT(H10^2+(J10^2)/12)</f>
        <v>1.8564523716231602</v>
      </c>
      <c r="AA10">
        <f>RdsonBot*Z10^2</f>
        <v>3.1017738672947303E-3</v>
      </c>
      <c r="AB10">
        <f>2*Deadtime*Fsw*IF(VfdSky&gt;0,0,VsdBot)*(H10+J10/2)</f>
        <v>0.10278047281950406</v>
      </c>
      <c r="AC10">
        <f>(AB10+AA10*(1+RdsonBotTc*Ta-RdsonBotTc*25))/(1-AA10*RdsonBotTc*ThetaJaBot)</f>
        <v>0.10594797201697781</v>
      </c>
      <c r="AD10">
        <f>2*Deadtime*Fsw*IF(VfdSky&gt;0,VfdSky,0)*H10</f>
        <v>0</v>
      </c>
      <c r="AE10">
        <f>IF(QrrSky&gt;0,QrrSky,QrrBot)*Fsw*(Vin-H10*RdsonTop)</f>
        <v>0.63953763900000005</v>
      </c>
      <c r="AF10">
        <f t="shared" si="9"/>
        <v>3.6000000000000004E-2</v>
      </c>
      <c r="AG10">
        <f t="shared" si="10"/>
        <v>0.26910000000000001</v>
      </c>
      <c r="AH10" s="9">
        <f t="shared" si="11"/>
        <v>0.22723009828009827</v>
      </c>
      <c r="AI10">
        <f>SUM(AF10:AG10)</f>
        <v>0.30510000000000004</v>
      </c>
      <c r="AJ10" s="109">
        <f>SUM(N10,Q10,T10,Y10,AE10,AD10,AC10,AI10)</f>
        <v>1.1472549068402822</v>
      </c>
      <c r="AK10" s="111">
        <f>Vout*H10</f>
        <v>2.0249999999999999</v>
      </c>
      <c r="AL10" s="10">
        <f>AK10/(AK10+AJ10)</f>
        <v>0.63834718818892044</v>
      </c>
      <c r="AM10">
        <f>ThetaJaTop*Y10</f>
        <v>3.6605022873411488</v>
      </c>
      <c r="AN10">
        <f>AC10*ThetaJaBot</f>
        <v>5.29739860084889</v>
      </c>
      <c r="AP10">
        <f>AL10*100</f>
        <v>63.834718818892043</v>
      </c>
      <c r="AY10" s="31"/>
      <c r="AZ10" s="31"/>
      <c r="BA10" s="31"/>
      <c r="BB10" s="32"/>
    </row>
    <row r="11" spans="1:64">
      <c r="A11" s="33" t="s">
        <v>4</v>
      </c>
      <c r="B11" s="5">
        <f>Vin</f>
        <v>12</v>
      </c>
      <c r="C11" s="34" t="s">
        <v>0</v>
      </c>
      <c r="D11" s="35" t="s">
        <v>4</v>
      </c>
      <c r="G11">
        <v>2</v>
      </c>
      <c r="H11">
        <f t="shared" si="0"/>
        <v>0.6</v>
      </c>
      <c r="I11">
        <f t="shared" si="1"/>
        <v>0.56264539680952141</v>
      </c>
      <c r="J11">
        <f t="shared" si="2"/>
        <v>9.6690289140752466</v>
      </c>
      <c r="K11">
        <f t="shared" ref="K11:K74" si="13">SQRT(H11^2+(J11^2)/12)</f>
        <v>2.8549681863554852</v>
      </c>
      <c r="L11">
        <f t="shared" si="3"/>
        <v>2.6088142297568603E-3</v>
      </c>
      <c r="N11" s="48">
        <f t="shared" ref="N11:N74" si="14">L11</f>
        <v>2.6088142297568603E-3</v>
      </c>
      <c r="O11" s="9">
        <f t="shared" ref="O11:O74" si="15">J11/(2*SQRT(3))</f>
        <v>2.7912082231718096</v>
      </c>
      <c r="P11" s="9">
        <f t="shared" si="4"/>
        <v>1.2075807184907993E-2</v>
      </c>
      <c r="Q11" s="9">
        <f t="shared" ref="Q11:Q74" si="16">P11</f>
        <v>1.2075807184907993E-2</v>
      </c>
      <c r="R11">
        <f t="shared" ref="R11:R74" si="17">SQRT(I11)*SQRT(H11^2+(J11^2)/12)</f>
        <v>2.141502857396441</v>
      </c>
      <c r="S11" s="114">
        <f t="shared" si="5"/>
        <v>9.1720689764742437E-3</v>
      </c>
      <c r="T11" s="110">
        <f t="shared" ref="T11:T74" si="18">S11</f>
        <v>9.1720689764742437E-3</v>
      </c>
      <c r="U11">
        <f t="shared" ref="U11:U74" si="19">SQRT(I11)*SQRT(H11^2+(J11^2)/12)</f>
        <v>2.141502857396441</v>
      </c>
      <c r="V11">
        <f t="shared" si="6"/>
        <v>1.7885534504124775E-2</v>
      </c>
      <c r="W11">
        <f t="shared" ref="W11:W74" si="20">(Vin*H11/2)*(Fsw)*(Tr+Tf)</f>
        <v>1.7036134767339773E-2</v>
      </c>
      <c r="X11">
        <f t="shared" ref="X11:X74" si="21">IF(H11&gt;J11/2,0,ABS(H11-J11/2)*VsdTop*Deadtime*Fsw)</f>
        <v>4.4038950353191289E-2</v>
      </c>
      <c r="Y11">
        <f t="shared" ref="Y11:Y74" si="22">(X11+W11+V11*(1+RdsonTopTc*Ta-RdsonTopTc*25))/(1-V11*RdsonTopTc*ThetaJaTop)</f>
        <v>7.9244084185043709E-2</v>
      </c>
      <c r="Z11">
        <f t="shared" ref="Z11:Z74" si="23">SQRT(1-I11)*SQRT(H11^2+(J11^2)/12)</f>
        <v>1.8880701408752818</v>
      </c>
      <c r="AA11">
        <f t="shared" si="7"/>
        <v>3.2083279711783257E-3</v>
      </c>
      <c r="AB11">
        <f t="shared" ref="AB11:AB74" si="24">2*Deadtime*Fsw*IF(VfdSky&gt;0,0,VsdBot)*(H11+J11/2)</f>
        <v>0.10879897942989322</v>
      </c>
      <c r="AC11">
        <f t="shared" si="8"/>
        <v>0.11207922478344369</v>
      </c>
      <c r="AD11">
        <f t="shared" ref="AD11:AD74" si="25">2*Deadtime*Fsw*IF(VfdSky&gt;0,VfdSky,0)*H11</f>
        <v>0</v>
      </c>
      <c r="AE11">
        <f t="shared" ref="AE11:AE74" si="26">IF(QrrSky&gt;0,QrrSky,QrrBot)*Fsw*(Vin-H11*RdsonTop)</f>
        <v>0.63947527800000004</v>
      </c>
      <c r="AF11">
        <f t="shared" si="9"/>
        <v>3.6000000000000004E-2</v>
      </c>
      <c r="AG11">
        <f t="shared" si="10"/>
        <v>0.26910000000000001</v>
      </c>
      <c r="AH11" s="9">
        <f t="shared" si="11"/>
        <v>0.22723009828009827</v>
      </c>
      <c r="AI11">
        <f t="shared" ref="AI11:AI74" si="27">SUM(AF11:AG11)</f>
        <v>0.30510000000000004</v>
      </c>
      <c r="AJ11" s="109">
        <f t="shared" ref="AJ11:AJ74" si="28">SUM(N11,Q11,T11,Y11,AE11,AD11,AC11,AI11)</f>
        <v>1.1597552773596265</v>
      </c>
      <c r="AK11" s="111">
        <f t="shared" ref="AK11:AK74" si="29">Vout*H11</f>
        <v>4.05</v>
      </c>
      <c r="AL11" s="10">
        <f t="shared" ref="AL11:AL74" si="30">AK11/(AK11+AJ11)</f>
        <v>0.77738776283798772</v>
      </c>
      <c r="AM11">
        <f t="shared" ref="AM11:AM74" si="31">ThetaJaTop*Y11</f>
        <v>3.9622042092521856</v>
      </c>
      <c r="AN11">
        <f t="shared" ref="AN11:AN74" si="32">AC11*ThetaJaBot</f>
        <v>5.6039612391721842</v>
      </c>
      <c r="AO11" s="10"/>
      <c r="AP11">
        <f t="shared" ref="AP11:AP74" si="33">AL11*100</f>
        <v>77.738776283798771</v>
      </c>
      <c r="AX11" t="s">
        <v>232</v>
      </c>
      <c r="AY11" s="31">
        <v>90</v>
      </c>
      <c r="AZ11" s="31">
        <v>90</v>
      </c>
      <c r="BA11" s="31">
        <v>90</v>
      </c>
      <c r="BB11" s="32">
        <f>250000*(12-Vdd)*BA11/1000000000+((250000*BA9/1000000000*Vdd)*2.5/(2*4))</f>
        <v>0.193359375</v>
      </c>
      <c r="BC11">
        <f t="shared" si="12"/>
        <v>15.46875</v>
      </c>
      <c r="BD11">
        <f t="shared" si="12"/>
        <v>19.3359375</v>
      </c>
      <c r="BE11">
        <f t="shared" si="12"/>
        <v>23.203125</v>
      </c>
      <c r="BF11">
        <f t="shared" si="12"/>
        <v>27.0703125</v>
      </c>
      <c r="BG11">
        <f t="shared" si="12"/>
        <v>30.9375</v>
      </c>
      <c r="BH11">
        <f t="shared" si="12"/>
        <v>34.8046875</v>
      </c>
      <c r="BI11">
        <f t="shared" si="12"/>
        <v>3.8671875</v>
      </c>
      <c r="BJ11">
        <f t="shared" si="12"/>
        <v>5.80078125</v>
      </c>
      <c r="BK11">
        <f t="shared" si="12"/>
        <v>7.734375</v>
      </c>
      <c r="BL11">
        <f t="shared" si="12"/>
        <v>9.66796875</v>
      </c>
    </row>
    <row r="12" spans="1:64">
      <c r="A12" s="36" t="s">
        <v>5</v>
      </c>
      <c r="B12" s="5">
        <f>Vout</f>
        <v>6.75</v>
      </c>
      <c r="C12" s="34" t="s">
        <v>0</v>
      </c>
      <c r="D12" s="35" t="s">
        <v>5</v>
      </c>
      <c r="G12">
        <v>3</v>
      </c>
      <c r="H12">
        <f t="shared" si="0"/>
        <v>0.89999999999999991</v>
      </c>
      <c r="I12">
        <f t="shared" si="1"/>
        <v>0.56271811157510454</v>
      </c>
      <c r="J12">
        <f t="shared" si="2"/>
        <v>9.6702785131564628</v>
      </c>
      <c r="K12">
        <f t="shared" si="13"/>
        <v>2.9330627695581222</v>
      </c>
      <c r="L12">
        <f t="shared" si="3"/>
        <v>2.7535207237814135E-3</v>
      </c>
      <c r="N12" s="48">
        <f t="shared" si="14"/>
        <v>2.7535207237814135E-3</v>
      </c>
      <c r="O12" s="9">
        <f t="shared" si="15"/>
        <v>2.791568951354769</v>
      </c>
      <c r="P12" s="9">
        <f t="shared" si="4"/>
        <v>1.2078928675760344E-2</v>
      </c>
      <c r="Q12" s="9">
        <f t="shared" si="16"/>
        <v>1.2078928675760344E-2</v>
      </c>
      <c r="R12">
        <f t="shared" si="17"/>
        <v>2.2002235257936835</v>
      </c>
      <c r="S12" s="114">
        <f t="shared" si="5"/>
        <v>9.6819671269119771E-3</v>
      </c>
      <c r="T12" s="110">
        <f t="shared" si="18"/>
        <v>9.6819671269119771E-3</v>
      </c>
      <c r="U12">
        <f t="shared" si="19"/>
        <v>2.2002235257936835</v>
      </c>
      <c r="V12">
        <f t="shared" si="6"/>
        <v>1.8879835897478353E-2</v>
      </c>
      <c r="W12">
        <f t="shared" si="20"/>
        <v>2.5554202151009654E-2</v>
      </c>
      <c r="X12">
        <f t="shared" si="21"/>
        <v>4.0925448268413607E-2</v>
      </c>
      <c r="Y12">
        <f t="shared" si="22"/>
        <v>8.5683022598071923E-2</v>
      </c>
      <c r="Z12">
        <f t="shared" si="23"/>
        <v>1.9395550125510681</v>
      </c>
      <c r="AA12">
        <f t="shared" si="7"/>
        <v>3.3856862820407763E-3</v>
      </c>
      <c r="AB12">
        <f t="shared" si="24"/>
        <v>0.1148174879166962</v>
      </c>
      <c r="AC12">
        <f t="shared" si="8"/>
        <v>0.11828326820644929</v>
      </c>
      <c r="AD12">
        <f t="shared" si="25"/>
        <v>0</v>
      </c>
      <c r="AE12">
        <f t="shared" si="26"/>
        <v>0.63941291700000003</v>
      </c>
      <c r="AF12">
        <f t="shared" si="9"/>
        <v>3.6000000000000004E-2</v>
      </c>
      <c r="AG12">
        <f t="shared" si="10"/>
        <v>0.26910000000000001</v>
      </c>
      <c r="AH12" s="9">
        <f t="shared" si="11"/>
        <v>0.22723009828009827</v>
      </c>
      <c r="AI12">
        <f t="shared" si="27"/>
        <v>0.30510000000000004</v>
      </c>
      <c r="AJ12" s="109">
        <f t="shared" si="28"/>
        <v>1.1729936243309749</v>
      </c>
      <c r="AK12" s="111">
        <f t="shared" si="29"/>
        <v>6.0749999999999993</v>
      </c>
      <c r="AL12" s="10">
        <f t="shared" si="30"/>
        <v>0.83816298894175034</v>
      </c>
      <c r="AM12">
        <f t="shared" si="31"/>
        <v>4.2841511299035959</v>
      </c>
      <c r="AN12">
        <f t="shared" si="32"/>
        <v>5.9141634103224643</v>
      </c>
      <c r="AO12" s="10"/>
      <c r="AP12">
        <f t="shared" si="33"/>
        <v>83.816298894175034</v>
      </c>
      <c r="AX12" t="s">
        <v>237</v>
      </c>
      <c r="AY12" s="31">
        <v>60</v>
      </c>
      <c r="AZ12" s="31">
        <v>60</v>
      </c>
      <c r="BA12" s="31">
        <v>60</v>
      </c>
      <c r="BB12" s="32">
        <f>250000*(18-Vdd)*BA12/1000000000+((250000*BA9/1000000000*Vdd)*2.5/(2*4))</f>
        <v>0.227109375</v>
      </c>
      <c r="BC12">
        <f t="shared" si="12"/>
        <v>18.168749999999999</v>
      </c>
      <c r="BD12">
        <f t="shared" si="12"/>
        <v>22.7109375</v>
      </c>
      <c r="BE12">
        <f t="shared" si="12"/>
        <v>27.253125000000001</v>
      </c>
      <c r="BF12">
        <f t="shared" si="12"/>
        <v>31.795312500000001</v>
      </c>
      <c r="BG12">
        <f t="shared" si="12"/>
        <v>36.337499999999999</v>
      </c>
      <c r="BH12">
        <f t="shared" si="12"/>
        <v>40.879687500000003</v>
      </c>
      <c r="BI12">
        <f t="shared" si="12"/>
        <v>4.5421874999999998</v>
      </c>
      <c r="BJ12">
        <f t="shared" si="12"/>
        <v>6.8132812500000002</v>
      </c>
      <c r="BK12">
        <f t="shared" si="12"/>
        <v>9.0843749999999996</v>
      </c>
      <c r="BL12">
        <f t="shared" si="12"/>
        <v>11.35546875</v>
      </c>
    </row>
    <row r="13" spans="1:64">
      <c r="A13" s="36" t="s">
        <v>7</v>
      </c>
      <c r="B13" s="5">
        <f>Fsw/1000</f>
        <v>650</v>
      </c>
      <c r="C13" s="34" t="s">
        <v>3</v>
      </c>
      <c r="D13" s="35" t="s">
        <v>177</v>
      </c>
      <c r="G13">
        <v>4</v>
      </c>
      <c r="H13">
        <f t="shared" si="0"/>
        <v>1.2</v>
      </c>
      <c r="I13">
        <f t="shared" si="1"/>
        <v>0.5627908372511754</v>
      </c>
      <c r="J13">
        <f t="shared" si="2"/>
        <v>9.6715282997337848</v>
      </c>
      <c r="K13">
        <f t="shared" si="13"/>
        <v>3.0388931599700282</v>
      </c>
      <c r="L13">
        <f t="shared" si="3"/>
        <v>2.9558577264151191E-3</v>
      </c>
      <c r="N13" s="48">
        <f t="shared" si="14"/>
        <v>2.9558577264151191E-3</v>
      </c>
      <c r="O13" s="9">
        <f t="shared" si="15"/>
        <v>2.7919297336631921</v>
      </c>
      <c r="P13" s="9">
        <f t="shared" si="4"/>
        <v>1.2082051038454564E-2</v>
      </c>
      <c r="Q13" s="9">
        <f t="shared" si="16"/>
        <v>1.2082051038454564E-2</v>
      </c>
      <c r="R13">
        <f t="shared" si="17"/>
        <v>2.2797590093901197</v>
      </c>
      <c r="S13" s="114">
        <f t="shared" si="5"/>
        <v>1.0394602281790838E-2</v>
      </c>
      <c r="T13" s="110">
        <f t="shared" si="18"/>
        <v>1.0394602281790838E-2</v>
      </c>
      <c r="U13">
        <f t="shared" si="19"/>
        <v>2.2797590093901197</v>
      </c>
      <c r="V13">
        <f t="shared" si="6"/>
        <v>2.0269474449492134E-2</v>
      </c>
      <c r="W13">
        <f t="shared" si="20"/>
        <v>3.4072269534679546E-2</v>
      </c>
      <c r="X13">
        <f t="shared" si="21"/>
        <v>3.7811947158615682E-2</v>
      </c>
      <c r="Y13">
        <f t="shared" si="22"/>
        <v>9.2528793144484256E-2</v>
      </c>
      <c r="Z13">
        <f t="shared" si="23"/>
        <v>2.0093706718316566</v>
      </c>
      <c r="AA13">
        <f t="shared" si="7"/>
        <v>3.6338134471354828E-3</v>
      </c>
      <c r="AB13">
        <f t="shared" si="24"/>
        <v>0.12083599828033521</v>
      </c>
      <c r="AC13">
        <f t="shared" si="8"/>
        <v>0.1245603375333724</v>
      </c>
      <c r="AD13">
        <f t="shared" si="25"/>
        <v>0</v>
      </c>
      <c r="AE13">
        <f t="shared" si="26"/>
        <v>0.63935055600000001</v>
      </c>
      <c r="AF13">
        <f t="shared" si="9"/>
        <v>3.6000000000000004E-2</v>
      </c>
      <c r="AG13">
        <f t="shared" si="10"/>
        <v>0.26910000000000001</v>
      </c>
      <c r="AH13" s="9">
        <f t="shared" si="11"/>
        <v>0.22723009828009827</v>
      </c>
      <c r="AI13">
        <f t="shared" si="27"/>
        <v>0.30510000000000004</v>
      </c>
      <c r="AJ13" s="109">
        <f t="shared" si="28"/>
        <v>1.1869721977245171</v>
      </c>
      <c r="AK13" s="111">
        <f t="shared" si="29"/>
        <v>8.1</v>
      </c>
      <c r="AL13" s="10">
        <f t="shared" si="30"/>
        <v>0.87218953901731855</v>
      </c>
      <c r="AM13">
        <f t="shared" si="31"/>
        <v>4.6264396572242124</v>
      </c>
      <c r="AN13">
        <f t="shared" si="32"/>
        <v>6.2280168766686197</v>
      </c>
      <c r="AO13" s="10"/>
      <c r="AP13">
        <f t="shared" si="33"/>
        <v>87.218953901731851</v>
      </c>
      <c r="AX13" t="s">
        <v>233</v>
      </c>
      <c r="AY13" s="31">
        <v>30</v>
      </c>
      <c r="AZ13" s="31">
        <v>30</v>
      </c>
      <c r="BA13" s="31">
        <v>30</v>
      </c>
      <c r="BB13" s="32">
        <f>500000*(5-Vdd)*BA13/1000000000+((500000*BA9/1000000000*Vdd)*2.5/(2*4))</f>
        <v>5.6718750000000005E-2</v>
      </c>
      <c r="BC13">
        <f t="shared" si="12"/>
        <v>4.5375000000000005</v>
      </c>
      <c r="BD13">
        <f t="shared" si="12"/>
        <v>5.6718750000000009</v>
      </c>
      <c r="BE13">
        <f t="shared" si="12"/>
        <v>6.8062500000000004</v>
      </c>
      <c r="BF13">
        <f t="shared" si="12"/>
        <v>7.9406250000000007</v>
      </c>
      <c r="BG13">
        <f t="shared" si="12"/>
        <v>9.0750000000000011</v>
      </c>
      <c r="BH13">
        <f t="shared" si="12"/>
        <v>10.209375000000001</v>
      </c>
      <c r="BI13">
        <f t="shared" si="12"/>
        <v>1.1343750000000001</v>
      </c>
      <c r="BJ13">
        <f t="shared" si="12"/>
        <v>1.7015625000000001</v>
      </c>
      <c r="BK13">
        <f t="shared" si="12"/>
        <v>2.2687500000000003</v>
      </c>
      <c r="BL13">
        <f t="shared" si="12"/>
        <v>2.8359375000000004</v>
      </c>
    </row>
    <row r="14" spans="1:64">
      <c r="A14" s="36" t="s">
        <v>6</v>
      </c>
      <c r="B14" s="5">
        <f>Iout</f>
        <v>30</v>
      </c>
      <c r="C14" s="34" t="s">
        <v>2</v>
      </c>
      <c r="D14" s="35" t="s">
        <v>178</v>
      </c>
      <c r="G14">
        <v>5</v>
      </c>
      <c r="H14">
        <f t="shared" si="0"/>
        <v>1.5</v>
      </c>
      <c r="I14">
        <f t="shared" si="1"/>
        <v>0.56286357384019003</v>
      </c>
      <c r="J14">
        <f t="shared" si="2"/>
        <v>9.6727782738494223</v>
      </c>
      <c r="K14">
        <f t="shared" si="13"/>
        <v>3.169682417517742</v>
      </c>
      <c r="L14">
        <f t="shared" si="3"/>
        <v>3.2158308335824273E-3</v>
      </c>
      <c r="N14" s="48">
        <f t="shared" si="14"/>
        <v>3.2158308335824273E-3</v>
      </c>
      <c r="O14" s="9">
        <f t="shared" si="15"/>
        <v>2.7922905701092642</v>
      </c>
      <c r="P14" s="9">
        <f t="shared" si="4"/>
        <v>1.2085174273277734E-2</v>
      </c>
      <c r="Q14" s="9">
        <f t="shared" si="16"/>
        <v>1.2085174273277734E-2</v>
      </c>
      <c r="R14">
        <f t="shared" si="17"/>
        <v>2.3780299647731304</v>
      </c>
      <c r="S14" s="114">
        <f t="shared" si="5"/>
        <v>1.1310053026717793E-2</v>
      </c>
      <c r="T14" s="110">
        <f t="shared" si="18"/>
        <v>1.1310053026717793E-2</v>
      </c>
      <c r="U14">
        <f t="shared" si="19"/>
        <v>2.3780299647731304</v>
      </c>
      <c r="V14">
        <f t="shared" si="6"/>
        <v>2.2054603402099693E-2</v>
      </c>
      <c r="W14">
        <f t="shared" si="20"/>
        <v>4.2590336918349431E-2</v>
      </c>
      <c r="X14">
        <f t="shared" si="21"/>
        <v>3.4698447024016997E-2</v>
      </c>
      <c r="Y14">
        <f t="shared" si="22"/>
        <v>9.9783524556497569E-2</v>
      </c>
      <c r="Z14">
        <f t="shared" si="23"/>
        <v>2.0956765290860662</v>
      </c>
      <c r="AA14">
        <f t="shared" si="7"/>
        <v>3.9526741031059992E-3</v>
      </c>
      <c r="AB14">
        <f t="shared" si="24"/>
        <v>0.12685451052123273</v>
      </c>
      <c r="AC14">
        <f t="shared" si="8"/>
        <v>0.13091067407058249</v>
      </c>
      <c r="AD14">
        <f t="shared" si="25"/>
        <v>0</v>
      </c>
      <c r="AE14">
        <f t="shared" si="26"/>
        <v>0.639288195</v>
      </c>
      <c r="AF14">
        <f t="shared" si="9"/>
        <v>3.6000000000000004E-2</v>
      </c>
      <c r="AG14">
        <f t="shared" si="10"/>
        <v>0.26910000000000001</v>
      </c>
      <c r="AH14" s="9">
        <f t="shared" si="11"/>
        <v>0.22723009828009827</v>
      </c>
      <c r="AI14">
        <f t="shared" si="27"/>
        <v>0.30510000000000004</v>
      </c>
      <c r="AJ14" s="109">
        <f t="shared" si="28"/>
        <v>1.2016934517606579</v>
      </c>
      <c r="AK14" s="111">
        <f t="shared" si="29"/>
        <v>10.125</v>
      </c>
      <c r="AL14" s="10">
        <f t="shared" si="30"/>
        <v>0.89390606739040313</v>
      </c>
      <c r="AM14">
        <f t="shared" si="31"/>
        <v>4.9891762278248786</v>
      </c>
      <c r="AN14">
        <f t="shared" si="32"/>
        <v>6.5455337035291246</v>
      </c>
      <c r="AO14" s="10"/>
      <c r="AP14">
        <f t="shared" si="33"/>
        <v>89.390606739040308</v>
      </c>
      <c r="AX14" t="s">
        <v>236</v>
      </c>
      <c r="AY14" s="31">
        <v>45</v>
      </c>
      <c r="AZ14" s="31">
        <v>45</v>
      </c>
      <c r="BA14" s="31">
        <v>45</v>
      </c>
      <c r="BB14" s="32">
        <f>500000*(12-Vdd)*BA14/1000000000+((500000*BA9/1000000000*Vdd)*2.5/(2*4))</f>
        <v>0.21796875000000002</v>
      </c>
      <c r="BC14">
        <f t="shared" si="12"/>
        <v>17.4375</v>
      </c>
      <c r="BD14">
        <f t="shared" si="12"/>
        <v>21.796875</v>
      </c>
      <c r="BE14">
        <f t="shared" si="12"/>
        <v>26.156250000000004</v>
      </c>
      <c r="BF14">
        <f t="shared" si="12"/>
        <v>30.515625000000004</v>
      </c>
      <c r="BG14">
        <f t="shared" si="12"/>
        <v>34.875</v>
      </c>
      <c r="BH14">
        <f t="shared" si="12"/>
        <v>39.234375</v>
      </c>
      <c r="BI14">
        <f t="shared" si="12"/>
        <v>4.359375</v>
      </c>
      <c r="BJ14">
        <f t="shared" si="12"/>
        <v>6.5390625000000009</v>
      </c>
      <c r="BK14">
        <f t="shared" si="12"/>
        <v>8.71875</v>
      </c>
      <c r="BL14">
        <f t="shared" si="12"/>
        <v>10.8984375</v>
      </c>
    </row>
    <row r="15" spans="1:64">
      <c r="A15" s="37" t="s">
        <v>158</v>
      </c>
      <c r="B15" s="5">
        <f>Ta</f>
        <v>25</v>
      </c>
      <c r="C15" s="34" t="s">
        <v>157</v>
      </c>
      <c r="D15" s="35" t="s">
        <v>179</v>
      </c>
      <c r="G15">
        <v>6</v>
      </c>
      <c r="H15">
        <f t="shared" si="0"/>
        <v>1.7999999999999998</v>
      </c>
      <c r="I15">
        <f t="shared" si="1"/>
        <v>0.56293632134460503</v>
      </c>
      <c r="J15">
        <f t="shared" si="2"/>
        <v>9.6740284355455888</v>
      </c>
      <c r="K15">
        <f t="shared" si="13"/>
        <v>3.3224843387108267</v>
      </c>
      <c r="L15">
        <f t="shared" si="3"/>
        <v>3.533447235600114E-3</v>
      </c>
      <c r="N15" s="48">
        <f t="shared" si="14"/>
        <v>3.533447235600114E-3</v>
      </c>
      <c r="O15" s="9">
        <f t="shared" si="15"/>
        <v>2.7926514607051702</v>
      </c>
      <c r="P15" s="9">
        <f t="shared" si="4"/>
        <v>1.2088298380517016E-2</v>
      </c>
      <c r="Q15" s="9">
        <f t="shared" si="16"/>
        <v>1.2088298380517016E-2</v>
      </c>
      <c r="R15">
        <f t="shared" si="17"/>
        <v>2.4928295139144789</v>
      </c>
      <c r="S15" s="114">
        <f t="shared" si="5"/>
        <v>1.2428397970886195E-2</v>
      </c>
      <c r="T15" s="110">
        <f t="shared" si="18"/>
        <v>1.2428397970886195E-2</v>
      </c>
      <c r="U15">
        <f t="shared" si="19"/>
        <v>2.4928295139144789</v>
      </c>
      <c r="V15">
        <f t="shared" si="6"/>
        <v>2.423537604322808E-2</v>
      </c>
      <c r="W15">
        <f t="shared" si="20"/>
        <v>5.1108404302019309E-2</v>
      </c>
      <c r="X15">
        <f t="shared" si="21"/>
        <v>3.1584947864837065E-2</v>
      </c>
      <c r="Y15">
        <f t="shared" si="22"/>
        <v>0.10744954423211218</v>
      </c>
      <c r="Z15">
        <f t="shared" si="23"/>
        <v>2.1965207022779505</v>
      </c>
      <c r="AA15">
        <f t="shared" si="7"/>
        <v>4.3422328759820591E-3</v>
      </c>
      <c r="AB15">
        <f t="shared" si="24"/>
        <v>0.13287302463981135</v>
      </c>
      <c r="AC15">
        <f t="shared" si="8"/>
        <v>0.13733452521387163</v>
      </c>
      <c r="AD15">
        <f t="shared" si="25"/>
        <v>0</v>
      </c>
      <c r="AE15">
        <f t="shared" si="26"/>
        <v>0.63922583399999999</v>
      </c>
      <c r="AF15">
        <f t="shared" si="9"/>
        <v>3.6000000000000004E-2</v>
      </c>
      <c r="AG15">
        <f t="shared" si="10"/>
        <v>0.26910000000000001</v>
      </c>
      <c r="AH15" s="9">
        <f t="shared" si="11"/>
        <v>0.22723009828009827</v>
      </c>
      <c r="AI15">
        <f t="shared" si="27"/>
        <v>0.30510000000000004</v>
      </c>
      <c r="AJ15" s="109">
        <f t="shared" si="28"/>
        <v>1.2171600470329871</v>
      </c>
      <c r="AK15" s="111">
        <f t="shared" si="29"/>
        <v>12.149999999999999</v>
      </c>
      <c r="AL15" s="10">
        <f t="shared" si="30"/>
        <v>0.90894400585087998</v>
      </c>
      <c r="AM15">
        <f t="shared" si="31"/>
        <v>5.3724772116056094</v>
      </c>
      <c r="AN15">
        <f t="shared" si="32"/>
        <v>6.8667262606935813</v>
      </c>
      <c r="AO15" s="10"/>
      <c r="AP15">
        <f t="shared" si="33"/>
        <v>90.894400585087993</v>
      </c>
      <c r="AX15" t="s">
        <v>234</v>
      </c>
      <c r="AY15" s="31">
        <v>20</v>
      </c>
      <c r="AZ15" s="31">
        <v>20</v>
      </c>
      <c r="BA15" s="31">
        <v>20</v>
      </c>
      <c r="BB15" s="32">
        <f>1000000*(5-Vdd)*BA15/1000000000+((1000000*BA9/1000000000*Vdd)*2.5/(2*4))</f>
        <v>0.10843750000000001</v>
      </c>
      <c r="BC15">
        <f t="shared" si="12"/>
        <v>8.6750000000000007</v>
      </c>
      <c r="BD15">
        <f t="shared" si="12"/>
        <v>10.84375</v>
      </c>
      <c r="BE15">
        <f t="shared" si="12"/>
        <v>13.012500000000001</v>
      </c>
      <c r="BF15">
        <f t="shared" si="12"/>
        <v>15.18125</v>
      </c>
      <c r="BG15">
        <f t="shared" si="12"/>
        <v>17.350000000000001</v>
      </c>
      <c r="BH15">
        <f t="shared" si="12"/>
        <v>19.518750000000001</v>
      </c>
      <c r="BI15">
        <f t="shared" si="12"/>
        <v>2.1687500000000002</v>
      </c>
      <c r="BJ15">
        <f t="shared" si="12"/>
        <v>3.2531250000000003</v>
      </c>
      <c r="BK15">
        <f t="shared" si="12"/>
        <v>4.3375000000000004</v>
      </c>
      <c r="BL15">
        <f t="shared" si="12"/>
        <v>5.421875</v>
      </c>
    </row>
    <row r="16" spans="1:64">
      <c r="A16" s="36" t="s">
        <v>165</v>
      </c>
      <c r="B16" s="5">
        <f>Vdd</f>
        <v>4.5</v>
      </c>
      <c r="C16" s="34" t="s">
        <v>0</v>
      </c>
      <c r="D16" s="35" t="s">
        <v>180</v>
      </c>
      <c r="G16">
        <v>7</v>
      </c>
      <c r="H16">
        <f t="shared" si="0"/>
        <v>2.1</v>
      </c>
      <c r="I16">
        <f t="shared" si="1"/>
        <v>0.56300907976687764</v>
      </c>
      <c r="J16">
        <f t="shared" si="2"/>
        <v>9.6752787848645116</v>
      </c>
      <c r="K16">
        <f t="shared" si="13"/>
        <v>3.494412439462574</v>
      </c>
      <c r="L16">
        <f t="shared" si="3"/>
        <v>3.9087157176744885E-3</v>
      </c>
      <c r="N16" s="48">
        <f t="shared" si="14"/>
        <v>3.9087157176744885E-3</v>
      </c>
      <c r="O16" s="9">
        <f t="shared" si="15"/>
        <v>2.7930124054631005</v>
      </c>
      <c r="P16" s="9">
        <f t="shared" si="4"/>
        <v>1.2091423360459701E-2</v>
      </c>
      <c r="Q16" s="9">
        <f t="shared" si="16"/>
        <v>1.2091423360459701E-2</v>
      </c>
      <c r="R16">
        <f t="shared" si="17"/>
        <v>2.621995017833243</v>
      </c>
      <c r="S16" s="114">
        <f t="shared" si="5"/>
        <v>1.3749715747084697E-2</v>
      </c>
      <c r="T16" s="110">
        <f t="shared" si="18"/>
        <v>1.3749715747084697E-2</v>
      </c>
      <c r="U16">
        <f t="shared" si="19"/>
        <v>2.621995017833243</v>
      </c>
      <c r="V16">
        <f t="shared" si="6"/>
        <v>2.6811945706815155E-2</v>
      </c>
      <c r="W16">
        <f t="shared" si="20"/>
        <v>5.9626471685689214E-2</v>
      </c>
      <c r="X16">
        <f t="shared" si="21"/>
        <v>2.8471449681295457E-2</v>
      </c>
      <c r="Y16">
        <f t="shared" si="22"/>
        <v>0.11552938056967504</v>
      </c>
      <c r="Z16">
        <f t="shared" si="23"/>
        <v>2.3099914336482787</v>
      </c>
      <c r="AA16">
        <f t="shared" si="7"/>
        <v>4.802454381175587E-3</v>
      </c>
      <c r="AB16">
        <f t="shared" si="24"/>
        <v>0.13889154063649378</v>
      </c>
      <c r="AC16">
        <f t="shared" si="8"/>
        <v>0.14383214448015186</v>
      </c>
      <c r="AD16">
        <f t="shared" si="25"/>
        <v>0</v>
      </c>
      <c r="AE16">
        <f t="shared" si="26"/>
        <v>0.63916347300000009</v>
      </c>
      <c r="AF16">
        <f t="shared" si="9"/>
        <v>3.6000000000000004E-2</v>
      </c>
      <c r="AG16">
        <f t="shared" si="10"/>
        <v>0.26910000000000001</v>
      </c>
      <c r="AH16" s="9">
        <f t="shared" si="11"/>
        <v>0.22723009828009827</v>
      </c>
      <c r="AI16">
        <f t="shared" si="27"/>
        <v>0.30510000000000004</v>
      </c>
      <c r="AJ16" s="109">
        <f t="shared" si="28"/>
        <v>1.2333748528750461</v>
      </c>
      <c r="AK16" s="111">
        <f t="shared" si="29"/>
        <v>14.175000000000001</v>
      </c>
      <c r="AL16" s="10">
        <f t="shared" si="30"/>
        <v>0.91995425444592482</v>
      </c>
      <c r="AM16">
        <f t="shared" si="31"/>
        <v>5.7764690284837519</v>
      </c>
      <c r="AN16">
        <f t="shared" si="32"/>
        <v>7.1916072240075932</v>
      </c>
      <c r="AO16" s="10"/>
      <c r="AP16">
        <f t="shared" si="33"/>
        <v>91.995425444592485</v>
      </c>
      <c r="AX16" t="s">
        <v>235</v>
      </c>
      <c r="AY16" s="31">
        <v>25</v>
      </c>
      <c r="AZ16" s="31">
        <v>25</v>
      </c>
      <c r="BA16" s="31">
        <v>25</v>
      </c>
      <c r="BB16" s="32">
        <f>1000000*(12-Vdd)*BA16/1000000000+((1000000*BA9/1000000000*Vdd)*2.5/(2*4))</f>
        <v>0.28593750000000001</v>
      </c>
      <c r="BC16">
        <f t="shared" si="12"/>
        <v>22.875</v>
      </c>
      <c r="BD16">
        <f t="shared" si="12"/>
        <v>28.59375</v>
      </c>
      <c r="BE16">
        <f t="shared" si="12"/>
        <v>34.3125</v>
      </c>
      <c r="BF16">
        <f t="shared" si="12"/>
        <v>40.03125</v>
      </c>
      <c r="BG16">
        <f t="shared" si="12"/>
        <v>45.75</v>
      </c>
      <c r="BH16">
        <f t="shared" si="12"/>
        <v>51.46875</v>
      </c>
      <c r="BI16">
        <f t="shared" si="12"/>
        <v>5.71875</v>
      </c>
      <c r="BJ16">
        <f t="shared" si="12"/>
        <v>8.578125</v>
      </c>
      <c r="BK16">
        <f t="shared" si="12"/>
        <v>11.4375</v>
      </c>
      <c r="BL16">
        <f t="shared" si="12"/>
        <v>14.296875</v>
      </c>
    </row>
    <row r="17" spans="1:64">
      <c r="A17" s="38" t="s">
        <v>128</v>
      </c>
      <c r="B17" s="29" t="s">
        <v>206</v>
      </c>
      <c r="C17" s="38" t="s">
        <v>149</v>
      </c>
      <c r="D17" s="30" t="s">
        <v>193</v>
      </c>
      <c r="G17">
        <v>8</v>
      </c>
      <c r="H17">
        <f t="shared" si="0"/>
        <v>2.4</v>
      </c>
      <c r="I17">
        <f t="shared" si="1"/>
        <v>0.56308184910946568</v>
      </c>
      <c r="J17">
        <f t="shared" si="2"/>
        <v>9.676529321848431</v>
      </c>
      <c r="K17">
        <f t="shared" si="13"/>
        <v>3.6827890214323578</v>
      </c>
      <c r="L17">
        <f t="shared" si="3"/>
        <v>4.3416466605089464E-3</v>
      </c>
      <c r="N17" s="48">
        <f t="shared" si="14"/>
        <v>4.3416466605089464E-3</v>
      </c>
      <c r="O17" s="9">
        <f t="shared" si="15"/>
        <v>2.7933734043952492</v>
      </c>
      <c r="P17" s="9">
        <f t="shared" si="4"/>
        <v>1.2094549213393192E-2</v>
      </c>
      <c r="Q17" s="9">
        <f t="shared" si="16"/>
        <v>1.2094549213393192E-2</v>
      </c>
      <c r="R17">
        <f t="shared" si="17"/>
        <v>2.7635199485172928</v>
      </c>
      <c r="S17" s="114">
        <f t="shared" si="5"/>
        <v>1.5274085011706042E-2</v>
      </c>
      <c r="T17" s="110">
        <f t="shared" si="18"/>
        <v>1.5274085011706042E-2</v>
      </c>
      <c r="U17">
        <f t="shared" si="19"/>
        <v>2.7635199485172928</v>
      </c>
      <c r="V17">
        <f t="shared" si="6"/>
        <v>2.9784465772826781E-2</v>
      </c>
      <c r="W17">
        <f t="shared" si="20"/>
        <v>6.8144539069359092E-2</v>
      </c>
      <c r="X17">
        <f t="shared" si="21"/>
        <v>2.5357952473611844E-2</v>
      </c>
      <c r="Y17">
        <f t="shared" si="22"/>
        <v>0.1240257655495898</v>
      </c>
      <c r="Z17">
        <f t="shared" si="23"/>
        <v>2.4343156061878424</v>
      </c>
      <c r="AA17">
        <f t="shared" si="7"/>
        <v>5.3333032234767139E-3</v>
      </c>
      <c r="AB17">
        <f t="shared" si="24"/>
        <v>0.14491005851170283</v>
      </c>
      <c r="AC17">
        <f t="shared" si="8"/>
        <v>0.15040379154042868</v>
      </c>
      <c r="AD17">
        <f t="shared" si="25"/>
        <v>0</v>
      </c>
      <c r="AE17">
        <f t="shared" si="26"/>
        <v>0.63910111200000008</v>
      </c>
      <c r="AF17">
        <f t="shared" si="9"/>
        <v>3.6000000000000004E-2</v>
      </c>
      <c r="AG17">
        <f t="shared" si="10"/>
        <v>0.26910000000000001</v>
      </c>
      <c r="AH17" s="9">
        <f t="shared" si="11"/>
        <v>0.22723009828009827</v>
      </c>
      <c r="AI17">
        <f t="shared" si="27"/>
        <v>0.30510000000000004</v>
      </c>
      <c r="AJ17" s="109">
        <f t="shared" si="28"/>
        <v>1.2503409499756268</v>
      </c>
      <c r="AK17" s="111">
        <f t="shared" si="29"/>
        <v>16.2</v>
      </c>
      <c r="AL17" s="10">
        <f t="shared" si="30"/>
        <v>0.92834862347045588</v>
      </c>
      <c r="AM17">
        <f t="shared" si="31"/>
        <v>6.20128827747949</v>
      </c>
      <c r="AN17">
        <f t="shared" si="32"/>
        <v>7.5201895770214344</v>
      </c>
      <c r="AO17" s="10"/>
      <c r="AP17">
        <f t="shared" si="33"/>
        <v>92.834862347045586</v>
      </c>
      <c r="AX17" t="s">
        <v>238</v>
      </c>
      <c r="AY17" s="31">
        <v>50</v>
      </c>
      <c r="AZ17" s="31">
        <v>50</v>
      </c>
      <c r="BA17" s="31">
        <v>50</v>
      </c>
      <c r="BB17" s="32">
        <f>500000*(18-Vdd)*BA17/1000000000+((500000*BA15/1000000000*Vdd)*2.5/(2*4))</f>
        <v>0.3515625</v>
      </c>
      <c r="BC17">
        <f t="shared" si="12"/>
        <v>28.125</v>
      </c>
      <c r="BD17">
        <f t="shared" si="12"/>
        <v>35.15625</v>
      </c>
      <c r="BE17">
        <f t="shared" si="12"/>
        <v>42.1875</v>
      </c>
      <c r="BF17">
        <f t="shared" si="12"/>
        <v>49.21875</v>
      </c>
      <c r="BG17">
        <f t="shared" si="12"/>
        <v>56.25</v>
      </c>
      <c r="BH17">
        <f t="shared" si="12"/>
        <v>63.28125</v>
      </c>
      <c r="BI17">
        <f t="shared" si="12"/>
        <v>7.03125</v>
      </c>
      <c r="BJ17">
        <f t="shared" si="12"/>
        <v>10.546875</v>
      </c>
      <c r="BK17">
        <f t="shared" si="12"/>
        <v>14.0625</v>
      </c>
      <c r="BL17">
        <f t="shared" si="12"/>
        <v>17.578125</v>
      </c>
    </row>
    <row r="18" spans="1:64">
      <c r="A18" s="58" t="s">
        <v>126</v>
      </c>
      <c r="B18" s="65">
        <f>Lout2*1000000</f>
        <v>0.47</v>
      </c>
      <c r="C18" s="60" t="s">
        <v>11</v>
      </c>
      <c r="D18" s="35" t="s">
        <v>195</v>
      </c>
      <c r="G18">
        <v>9</v>
      </c>
      <c r="H18">
        <f t="shared" si="0"/>
        <v>2.6999999999999997</v>
      </c>
      <c r="I18">
        <f t="shared" si="1"/>
        <v>0.56315462937482796</v>
      </c>
      <c r="J18">
        <f t="shared" si="2"/>
        <v>9.6777800465395991</v>
      </c>
      <c r="K18">
        <f t="shared" si="13"/>
        <v>3.8852222869611976</v>
      </c>
      <c r="L18">
        <f t="shared" si="3"/>
        <v>4.8322520410219493E-3</v>
      </c>
      <c r="N18" s="48">
        <f t="shared" si="14"/>
        <v>4.8322520410219493E-3</v>
      </c>
      <c r="O18" s="9">
        <f t="shared" si="15"/>
        <v>2.7937344575138132</v>
      </c>
      <c r="P18" s="9">
        <f t="shared" si="4"/>
        <v>1.2097675939605E-2</v>
      </c>
      <c r="Q18" s="9">
        <f t="shared" si="16"/>
        <v>1.2097675939605E-2</v>
      </c>
      <c r="R18">
        <f t="shared" si="17"/>
        <v>2.9156118092739982</v>
      </c>
      <c r="S18" s="114">
        <f t="shared" si="5"/>
        <v>1.7001584444755996E-2</v>
      </c>
      <c r="T18" s="110">
        <f t="shared" si="18"/>
        <v>1.7001584444755996E-2</v>
      </c>
      <c r="U18">
        <f t="shared" si="19"/>
        <v>2.9156118092739982</v>
      </c>
      <c r="V18">
        <f t="shared" si="6"/>
        <v>3.3153089667274191E-2</v>
      </c>
      <c r="W18">
        <f t="shared" si="20"/>
        <v>7.6662606453028984E-2</v>
      </c>
      <c r="X18">
        <f t="shared" si="21"/>
        <v>2.2244456242005918E-2</v>
      </c>
      <c r="Y18">
        <f t="shared" si="22"/>
        <v>0.13294163756847349</v>
      </c>
      <c r="Z18">
        <f t="shared" si="23"/>
        <v>2.5679096550934188</v>
      </c>
      <c r="AA18">
        <f t="shared" si="7"/>
        <v>5.9347439970498014E-3</v>
      </c>
      <c r="AB18">
        <f t="shared" si="24"/>
        <v>0.1509285782658614</v>
      </c>
      <c r="AC18">
        <f t="shared" si="8"/>
        <v>0.1570497322540578</v>
      </c>
      <c r="AD18">
        <f t="shared" si="25"/>
        <v>0</v>
      </c>
      <c r="AE18">
        <f t="shared" si="26"/>
        <v>0.63903875100000007</v>
      </c>
      <c r="AF18">
        <f t="shared" si="9"/>
        <v>3.6000000000000004E-2</v>
      </c>
      <c r="AG18">
        <f t="shared" si="10"/>
        <v>0.26910000000000001</v>
      </c>
      <c r="AH18" s="9">
        <f t="shared" si="11"/>
        <v>0.22723009828009827</v>
      </c>
      <c r="AI18">
        <f t="shared" si="27"/>
        <v>0.30510000000000004</v>
      </c>
      <c r="AJ18" s="109">
        <f t="shared" si="28"/>
        <v>1.2680616332479144</v>
      </c>
      <c r="AK18" s="111">
        <f t="shared" si="29"/>
        <v>18.224999999999998</v>
      </c>
      <c r="AL18" s="10">
        <f t="shared" si="30"/>
        <v>0.93494805192196839</v>
      </c>
      <c r="AM18">
        <f t="shared" si="31"/>
        <v>6.6470818784236743</v>
      </c>
      <c r="AN18">
        <f t="shared" si="32"/>
        <v>7.8524866127028901</v>
      </c>
      <c r="AO18" s="10"/>
      <c r="AP18">
        <f t="shared" si="33"/>
        <v>93.494805192196836</v>
      </c>
      <c r="AX18" t="s">
        <v>239</v>
      </c>
      <c r="AZ18" s="31"/>
      <c r="BA18" s="32"/>
    </row>
    <row r="19" spans="1:64">
      <c r="A19" s="58" t="s">
        <v>12</v>
      </c>
      <c r="B19" s="66">
        <f>Rdcr*1000</f>
        <v>0.32</v>
      </c>
      <c r="C19" s="61" t="s">
        <v>134</v>
      </c>
      <c r="D19" s="35" t="s">
        <v>196</v>
      </c>
      <c r="G19">
        <v>10</v>
      </c>
      <c r="H19">
        <f t="shared" si="0"/>
        <v>3</v>
      </c>
      <c r="I19">
        <f t="shared" si="1"/>
        <v>0.56322742056542396</v>
      </c>
      <c r="J19">
        <f t="shared" si="2"/>
        <v>9.6790309589802828</v>
      </c>
      <c r="K19">
        <f t="shared" si="13"/>
        <v>4.0996304742510912</v>
      </c>
      <c r="L19">
        <f t="shared" si="3"/>
        <v>5.3805454331755159E-3</v>
      </c>
      <c r="N19" s="48">
        <f t="shared" si="14"/>
        <v>5.3805454331755159E-3</v>
      </c>
      <c r="O19" s="9">
        <f t="shared" si="15"/>
        <v>2.794095564830994</v>
      </c>
      <c r="P19" s="9">
        <f t="shared" si="4"/>
        <v>1.2100803539382757E-2</v>
      </c>
      <c r="Q19" s="9">
        <f t="shared" si="16"/>
        <v>1.2100803539382757E-2</v>
      </c>
      <c r="R19">
        <f t="shared" si="17"/>
        <v>3.0767103170319876</v>
      </c>
      <c r="S19" s="114">
        <f t="shared" si="5"/>
        <v>1.8932292749862148E-2</v>
      </c>
      <c r="T19" s="110">
        <f t="shared" si="18"/>
        <v>1.8932292749862148E-2</v>
      </c>
      <c r="U19">
        <f t="shared" si="19"/>
        <v>3.0767103170319876</v>
      </c>
      <c r="V19">
        <f t="shared" si="6"/>
        <v>3.6917970862231184E-2</v>
      </c>
      <c r="W19">
        <f t="shared" si="20"/>
        <v>8.5180673836698861E-2</v>
      </c>
      <c r="X19">
        <f t="shared" si="21"/>
        <v>1.9130960986697469E-2</v>
      </c>
      <c r="Y19">
        <f t="shared" si="22"/>
        <v>0.14228014453164622</v>
      </c>
      <c r="Z19">
        <f t="shared" si="23"/>
        <v>2.7093954400340223</v>
      </c>
      <c r="AA19">
        <f t="shared" si="7"/>
        <v>6.6067412854294381E-3</v>
      </c>
      <c r="AB19">
        <f t="shared" si="24"/>
        <v>0.15694709989939265</v>
      </c>
      <c r="AC19">
        <f t="shared" si="8"/>
        <v>0.16377023870429652</v>
      </c>
      <c r="AD19">
        <f t="shared" si="25"/>
        <v>0</v>
      </c>
      <c r="AE19">
        <f t="shared" si="26"/>
        <v>0.63897639000000017</v>
      </c>
      <c r="AF19">
        <f t="shared" si="9"/>
        <v>3.6000000000000004E-2</v>
      </c>
      <c r="AG19">
        <f t="shared" si="10"/>
        <v>0.26910000000000001</v>
      </c>
      <c r="AH19" s="9">
        <f t="shared" si="11"/>
        <v>0.22723009828009827</v>
      </c>
      <c r="AI19">
        <f t="shared" si="27"/>
        <v>0.30510000000000004</v>
      </c>
      <c r="AJ19" s="109">
        <f t="shared" si="28"/>
        <v>1.2865404149583632</v>
      </c>
      <c r="AK19" s="111">
        <f t="shared" si="29"/>
        <v>20.25</v>
      </c>
      <c r="AL19" s="10">
        <f t="shared" si="30"/>
        <v>0.94026243815535071</v>
      </c>
      <c r="AM19">
        <f t="shared" si="31"/>
        <v>7.1140072265823111</v>
      </c>
      <c r="AN19">
        <f t="shared" si="32"/>
        <v>8.1885119352148266</v>
      </c>
      <c r="AO19" s="10"/>
      <c r="AP19">
        <f t="shared" si="33"/>
        <v>94.026243815535068</v>
      </c>
      <c r="AX19" t="s">
        <v>240</v>
      </c>
      <c r="AZ19" s="31"/>
      <c r="BA19" s="32"/>
    </row>
    <row r="20" spans="1:64">
      <c r="A20" s="58" t="s">
        <v>156</v>
      </c>
      <c r="B20" s="66">
        <f>Ltc*1000000</f>
        <v>4000</v>
      </c>
      <c r="C20" s="60" t="s">
        <v>155</v>
      </c>
      <c r="D20" s="35" t="s">
        <v>181</v>
      </c>
      <c r="G20">
        <v>11</v>
      </c>
      <c r="H20">
        <f t="shared" si="0"/>
        <v>3.3</v>
      </c>
      <c r="I20">
        <f t="shared" si="1"/>
        <v>0.56330022268371416</v>
      </c>
      <c r="J20">
        <f t="shared" si="2"/>
        <v>9.6802820592127663</v>
      </c>
      <c r="K20">
        <f t="shared" si="13"/>
        <v>4.3242326944202532</v>
      </c>
      <c r="L20">
        <f t="shared" si="3"/>
        <v>5.9865420089143528E-3</v>
      </c>
      <c r="N20" s="48">
        <f t="shared" si="14"/>
        <v>5.9865420089143528E-3</v>
      </c>
      <c r="O20" s="9">
        <f t="shared" si="15"/>
        <v>2.7944567263589977</v>
      </c>
      <c r="P20" s="9">
        <f t="shared" si="4"/>
        <v>1.2103932013014221E-2</v>
      </c>
      <c r="Q20" s="9">
        <f t="shared" si="16"/>
        <v>1.2103932013014221E-2</v>
      </c>
      <c r="R20">
        <f t="shared" si="17"/>
        <v>3.2454806003335497</v>
      </c>
      <c r="S20" s="114">
        <f t="shared" si="5"/>
        <v>2.1066288654282835E-2</v>
      </c>
      <c r="T20" s="110">
        <f t="shared" si="18"/>
        <v>2.1066288654282835E-2</v>
      </c>
      <c r="U20">
        <f t="shared" si="19"/>
        <v>3.2454806003335497</v>
      </c>
      <c r="V20">
        <f t="shared" si="6"/>
        <v>4.1079262875851529E-2</v>
      </c>
      <c r="W20">
        <f t="shared" si="20"/>
        <v>9.3698741220368739E-2</v>
      </c>
      <c r="X20">
        <f t="shared" si="21"/>
        <v>1.6017466707906387E-2</v>
      </c>
      <c r="Y20">
        <f t="shared" si="22"/>
        <v>0.15204464721045152</v>
      </c>
      <c r="Z20">
        <f t="shared" si="23"/>
        <v>2.8575941048986691</v>
      </c>
      <c r="AA20">
        <f t="shared" si="7"/>
        <v>7.3492596615164635E-3</v>
      </c>
      <c r="AB20">
        <f t="shared" si="24"/>
        <v>0.16296562341271981</v>
      </c>
      <c r="AC20">
        <f t="shared" si="8"/>
        <v>0.17056558923515799</v>
      </c>
      <c r="AD20">
        <f t="shared" si="25"/>
        <v>0</v>
      </c>
      <c r="AE20">
        <f t="shared" si="26"/>
        <v>0.63891402900000016</v>
      </c>
      <c r="AF20">
        <f t="shared" si="9"/>
        <v>3.6000000000000004E-2</v>
      </c>
      <c r="AG20">
        <f t="shared" si="10"/>
        <v>0.26910000000000001</v>
      </c>
      <c r="AH20" s="9">
        <f t="shared" si="11"/>
        <v>0.22723009828009827</v>
      </c>
      <c r="AI20">
        <f t="shared" si="27"/>
        <v>0.30510000000000004</v>
      </c>
      <c r="AJ20" s="109">
        <f t="shared" si="28"/>
        <v>1.305781028121821</v>
      </c>
      <c r="AK20" s="111">
        <f t="shared" si="29"/>
        <v>22.274999999999999</v>
      </c>
      <c r="AL20" s="10">
        <f t="shared" si="30"/>
        <v>0.9446252002185771</v>
      </c>
      <c r="AM20">
        <f t="shared" si="31"/>
        <v>7.6022323605225761</v>
      </c>
      <c r="AN20">
        <f t="shared" si="32"/>
        <v>8.528279461757899</v>
      </c>
      <c r="AO20" s="10"/>
      <c r="AP20">
        <f t="shared" si="33"/>
        <v>94.462520021857713</v>
      </c>
      <c r="AZ20" s="31"/>
      <c r="BA20" s="32"/>
    </row>
    <row r="21" spans="1:64">
      <c r="A21" s="39" t="s">
        <v>256</v>
      </c>
      <c r="B21" s="66">
        <f>ThetaCa</f>
        <v>20</v>
      </c>
      <c r="C21" s="62" t="s">
        <v>164</v>
      </c>
      <c r="D21" s="41" t="s">
        <v>257</v>
      </c>
      <c r="G21">
        <v>12</v>
      </c>
      <c r="H21">
        <f t="shared" si="0"/>
        <v>3.5999999999999996</v>
      </c>
      <c r="I21">
        <f t="shared" si="1"/>
        <v>0.56337303573215891</v>
      </c>
      <c r="J21">
        <f t="shared" si="2"/>
        <v>9.6815333472793288</v>
      </c>
      <c r="K21">
        <f t="shared" si="13"/>
        <v>4.5575220602362574</v>
      </c>
      <c r="L21">
        <f t="shared" si="3"/>
        <v>6.6502585392156964E-3</v>
      </c>
      <c r="N21" s="48">
        <f t="shared" si="14"/>
        <v>6.6502585392156964E-3</v>
      </c>
      <c r="O21" s="9">
        <f t="shared" si="15"/>
        <v>2.7948179421100297</v>
      </c>
      <c r="P21" s="9">
        <f t="shared" si="4"/>
        <v>1.2107061360787218E-2</v>
      </c>
      <c r="Q21" s="9">
        <f t="shared" si="16"/>
        <v>1.2107061360787218E-2</v>
      </c>
      <c r="R21">
        <f t="shared" si="17"/>
        <v>3.4207931031352881</v>
      </c>
      <c r="S21" s="114">
        <f t="shared" si="5"/>
        <v>2.3403650908915906E-2</v>
      </c>
      <c r="T21" s="110">
        <f t="shared" si="18"/>
        <v>2.3403650908915906E-2</v>
      </c>
      <c r="U21">
        <f t="shared" si="19"/>
        <v>3.4207931031352881</v>
      </c>
      <c r="V21">
        <f t="shared" si="6"/>
        <v>4.5637119272386013E-2</v>
      </c>
      <c r="W21">
        <f t="shared" si="20"/>
        <v>0.10221680860403862</v>
      </c>
      <c r="X21">
        <f t="shared" si="21"/>
        <v>1.2903973405852516E-2</v>
      </c>
      <c r="Y21">
        <f t="shared" si="22"/>
        <v>0.16223872287153471</v>
      </c>
      <c r="Z21">
        <f t="shared" si="23"/>
        <v>3.0115082392519184</v>
      </c>
      <c r="AA21">
        <f t="shared" si="7"/>
        <v>8.1622636875739712E-3</v>
      </c>
      <c r="AB21">
        <f t="shared" si="24"/>
        <v>0.16898414880626611</v>
      </c>
      <c r="AC21">
        <f t="shared" si="8"/>
        <v>0.17743606848957977</v>
      </c>
      <c r="AD21">
        <f t="shared" si="25"/>
        <v>0</v>
      </c>
      <c r="AE21">
        <f t="shared" si="26"/>
        <v>0.63885166800000015</v>
      </c>
      <c r="AF21">
        <f t="shared" si="9"/>
        <v>3.6000000000000004E-2</v>
      </c>
      <c r="AG21">
        <f t="shared" si="10"/>
        <v>0.26910000000000001</v>
      </c>
      <c r="AH21" s="9">
        <f t="shared" si="11"/>
        <v>0.22723009828009827</v>
      </c>
      <c r="AI21">
        <f t="shared" si="27"/>
        <v>0.30510000000000004</v>
      </c>
      <c r="AJ21" s="109">
        <f t="shared" si="28"/>
        <v>1.3257874301700334</v>
      </c>
      <c r="AK21" s="111">
        <f t="shared" si="29"/>
        <v>24.299999999999997</v>
      </c>
      <c r="AL21" s="10">
        <f t="shared" si="30"/>
        <v>0.94826354375322941</v>
      </c>
      <c r="AM21">
        <f t="shared" si="31"/>
        <v>8.1119361435767345</v>
      </c>
      <c r="AN21">
        <f t="shared" si="32"/>
        <v>8.8718034244789887</v>
      </c>
      <c r="AO21" s="10"/>
      <c r="AP21">
        <f t="shared" si="33"/>
        <v>94.826354375322936</v>
      </c>
      <c r="AZ21" s="31"/>
      <c r="BA21" s="32"/>
    </row>
    <row r="22" spans="1:64">
      <c r="A22" s="59" t="s">
        <v>127</v>
      </c>
      <c r="B22" s="66">
        <f>Cin*1000000</f>
        <v>100</v>
      </c>
      <c r="C22" s="63" t="s">
        <v>30</v>
      </c>
      <c r="D22" s="35" t="s">
        <v>182</v>
      </c>
      <c r="G22">
        <v>13</v>
      </c>
      <c r="H22">
        <f t="shared" si="0"/>
        <v>3.9000000000000004</v>
      </c>
      <c r="I22">
        <f t="shared" si="1"/>
        <v>0.56344585971322036</v>
      </c>
      <c r="J22">
        <f t="shared" si="2"/>
        <v>9.6827848232222831</v>
      </c>
      <c r="K22">
        <f t="shared" si="13"/>
        <v>4.7982316354814838</v>
      </c>
      <c r="L22">
        <f t="shared" si="3"/>
        <v>7.3717133952500907E-3</v>
      </c>
      <c r="N22" s="48">
        <f t="shared" si="14"/>
        <v>7.3717133952500907E-3</v>
      </c>
      <c r="O22" s="9">
        <f t="shared" si="15"/>
        <v>2.7951792120963042</v>
      </c>
      <c r="P22" s="9">
        <f t="shared" si="4"/>
        <v>1.2110191582989739E-2</v>
      </c>
      <c r="Q22" s="9">
        <f t="shared" si="16"/>
        <v>1.2110191582989739E-2</v>
      </c>
      <c r="R22">
        <f t="shared" si="17"/>
        <v>3.6016980917553125</v>
      </c>
      <c r="S22" s="114">
        <f t="shared" si="5"/>
        <v>2.5944458288307718E-2</v>
      </c>
      <c r="T22" s="110">
        <f t="shared" si="18"/>
        <v>2.5944458288307718E-2</v>
      </c>
      <c r="U22">
        <f t="shared" si="19"/>
        <v>3.6016980917553125</v>
      </c>
      <c r="V22">
        <f t="shared" si="6"/>
        <v>5.0591693662200045E-2</v>
      </c>
      <c r="W22">
        <f t="shared" si="20"/>
        <v>0.11073487598770854</v>
      </c>
      <c r="X22">
        <f t="shared" si="21"/>
        <v>9.7904810807558692E-3</v>
      </c>
      <c r="Y22">
        <f t="shared" si="22"/>
        <v>0.17286616918586634</v>
      </c>
      <c r="Z22">
        <f t="shared" si="23"/>
        <v>3.1702993050469939</v>
      </c>
      <c r="AA22">
        <f t="shared" si="7"/>
        <v>9.0457179152233069E-3</v>
      </c>
      <c r="AB22">
        <f t="shared" si="24"/>
        <v>0.17500267608045508</v>
      </c>
      <c r="AC22">
        <f t="shared" si="8"/>
        <v>0.18438196744891774</v>
      </c>
      <c r="AD22">
        <f t="shared" si="25"/>
        <v>0</v>
      </c>
      <c r="AE22">
        <f t="shared" si="26"/>
        <v>0.63878930700000014</v>
      </c>
      <c r="AF22">
        <f t="shared" si="9"/>
        <v>3.6000000000000004E-2</v>
      </c>
      <c r="AG22">
        <f t="shared" si="10"/>
        <v>0.26910000000000001</v>
      </c>
      <c r="AH22" s="9">
        <f t="shared" si="11"/>
        <v>0.22723009828009827</v>
      </c>
      <c r="AI22">
        <f t="shared" si="27"/>
        <v>0.30510000000000004</v>
      </c>
      <c r="AJ22" s="109">
        <f t="shared" si="28"/>
        <v>1.3465638069013317</v>
      </c>
      <c r="AK22" s="111">
        <f t="shared" si="29"/>
        <v>26.325000000000003</v>
      </c>
      <c r="AL22" s="10">
        <f t="shared" si="30"/>
        <v>0.9513376325133639</v>
      </c>
      <c r="AM22">
        <f t="shared" si="31"/>
        <v>8.6433084592933174</v>
      </c>
      <c r="AN22">
        <f t="shared" si="32"/>
        <v>9.2190983724458864</v>
      </c>
      <c r="AO22" s="10"/>
      <c r="AP22">
        <f t="shared" si="33"/>
        <v>95.13376325133639</v>
      </c>
      <c r="AZ22" s="31"/>
      <c r="BA22" s="32"/>
    </row>
    <row r="23" spans="1:64">
      <c r="A23" s="59" t="s">
        <v>161</v>
      </c>
      <c r="B23" s="66">
        <f>RCinEsr*1000</f>
        <v>2</v>
      </c>
      <c r="C23" s="60" t="s">
        <v>134</v>
      </c>
      <c r="D23" s="35" t="s">
        <v>183</v>
      </c>
      <c r="G23">
        <v>14</v>
      </c>
      <c r="H23">
        <f t="shared" si="0"/>
        <v>4.2</v>
      </c>
      <c r="I23">
        <f t="shared" si="1"/>
        <v>0.56351869462936077</v>
      </c>
      <c r="J23">
        <f t="shared" si="2"/>
        <v>9.6840364870839437</v>
      </c>
      <c r="K23">
        <f t="shared" si="13"/>
        <v>5.0452994846950787</v>
      </c>
      <c r="L23">
        <f t="shared" si="3"/>
        <v>8.1509265496531418E-3</v>
      </c>
      <c r="N23" s="48">
        <f t="shared" si="14"/>
        <v>8.1509265496531418E-3</v>
      </c>
      <c r="O23" s="9">
        <f t="shared" si="15"/>
        <v>2.7955405363300367</v>
      </c>
      <c r="P23" s="9">
        <f t="shared" si="4"/>
        <v>1.2113322679909866E-2</v>
      </c>
      <c r="Q23" s="9">
        <f t="shared" si="16"/>
        <v>1.2113322679909866E-2</v>
      </c>
      <c r="R23">
        <f t="shared" si="17"/>
        <v>3.787399476597495</v>
      </c>
      <c r="S23" s="114">
        <f t="shared" si="5"/>
        <v>2.868878959066196E-2</v>
      </c>
      <c r="T23" s="110">
        <f t="shared" si="18"/>
        <v>2.868878959066196E-2</v>
      </c>
      <c r="U23">
        <f t="shared" si="19"/>
        <v>3.787399476597495</v>
      </c>
      <c r="V23">
        <f t="shared" si="6"/>
        <v>5.5943139701790816E-2</v>
      </c>
      <c r="W23">
        <f t="shared" si="20"/>
        <v>0.11925294337137843</v>
      </c>
      <c r="X23">
        <f t="shared" si="21"/>
        <v>6.6769897328365071E-3</v>
      </c>
      <c r="Y23">
        <f t="shared" si="22"/>
        <v>0.18393100842597893</v>
      </c>
      <c r="Z23">
        <f t="shared" si="23"/>
        <v>3.3332644801955706</v>
      </c>
      <c r="AA23">
        <f t="shared" si="7"/>
        <v>9.9995868854401027E-3</v>
      </c>
      <c r="AB23">
        <f t="shared" si="24"/>
        <v>0.1810212052357103</v>
      </c>
      <c r="AC23">
        <f t="shared" si="8"/>
        <v>0.19140358347377653</v>
      </c>
      <c r="AD23">
        <f t="shared" si="25"/>
        <v>0</v>
      </c>
      <c r="AE23">
        <f t="shared" si="26"/>
        <v>0.63872694600000013</v>
      </c>
      <c r="AF23">
        <f t="shared" si="9"/>
        <v>3.6000000000000004E-2</v>
      </c>
      <c r="AG23">
        <f t="shared" si="10"/>
        <v>0.26910000000000001</v>
      </c>
      <c r="AH23" s="9">
        <f t="shared" si="11"/>
        <v>0.22723009828009827</v>
      </c>
      <c r="AI23">
        <f t="shared" si="27"/>
        <v>0.30510000000000004</v>
      </c>
      <c r="AJ23" s="109">
        <f t="shared" si="28"/>
        <v>1.3681145767199805</v>
      </c>
      <c r="AK23" s="111">
        <f t="shared" si="29"/>
        <v>28.35</v>
      </c>
      <c r="AL23" s="10">
        <f t="shared" si="30"/>
        <v>0.95396361457628576</v>
      </c>
      <c r="AM23">
        <f t="shared" si="31"/>
        <v>9.1965504212989462</v>
      </c>
      <c r="AN23">
        <f t="shared" si="32"/>
        <v>9.5701791736888264</v>
      </c>
      <c r="AO23" s="10"/>
      <c r="AP23">
        <f t="shared" si="33"/>
        <v>95.396361457628572</v>
      </c>
      <c r="AZ23" s="31"/>
      <c r="BA23" s="32"/>
    </row>
    <row r="24" spans="1:64">
      <c r="A24" s="58" t="s">
        <v>36</v>
      </c>
      <c r="B24" s="66">
        <f>Cout*1000000</f>
        <v>120</v>
      </c>
      <c r="C24" s="60" t="s">
        <v>30</v>
      </c>
      <c r="D24" s="35" t="s">
        <v>204</v>
      </c>
      <c r="G24">
        <v>15</v>
      </c>
      <c r="H24">
        <f t="shared" si="0"/>
        <v>4.5</v>
      </c>
      <c r="I24">
        <f t="shared" si="1"/>
        <v>0.5635915404830435</v>
      </c>
      <c r="J24">
        <f t="shared" si="2"/>
        <v>9.6852883389066413</v>
      </c>
      <c r="K24">
        <f t="shared" si="13"/>
        <v>5.2978361165020402</v>
      </c>
      <c r="L24">
        <f t="shared" si="3"/>
        <v>8.987919577908508E-3</v>
      </c>
      <c r="N24" s="48">
        <f t="shared" si="14"/>
        <v>8.987919577908508E-3</v>
      </c>
      <c r="O24" s="9">
        <f t="shared" si="15"/>
        <v>2.7959019148234465</v>
      </c>
      <c r="P24" s="9">
        <f t="shared" si="4"/>
        <v>1.2116454651835792E-2</v>
      </c>
      <c r="Q24" s="9">
        <f t="shared" si="16"/>
        <v>1.2116454651835792E-2</v>
      </c>
      <c r="R24">
        <f t="shared" si="17"/>
        <v>3.9772304206475471</v>
      </c>
      <c r="S24" s="114">
        <f t="shared" si="5"/>
        <v>3.1636723637848529E-2</v>
      </c>
      <c r="T24" s="110">
        <f t="shared" si="18"/>
        <v>3.1636723637848529E-2</v>
      </c>
      <c r="U24">
        <f t="shared" si="19"/>
        <v>3.9772304206475471</v>
      </c>
      <c r="V24">
        <f t="shared" si="6"/>
        <v>6.1691611093804631E-2</v>
      </c>
      <c r="W24">
        <f t="shared" si="20"/>
        <v>0.12777101075504829</v>
      </c>
      <c r="X24">
        <f t="shared" si="21"/>
        <v>3.5634993623145355E-3</v>
      </c>
      <c r="Y24">
        <f t="shared" si="22"/>
        <v>0.19543749196060389</v>
      </c>
      <c r="Z24">
        <f t="shared" si="23"/>
        <v>3.4998150948856082</v>
      </c>
      <c r="AA24">
        <f t="shared" si="7"/>
        <v>1.1023835128550243E-2</v>
      </c>
      <c r="AB24">
        <f t="shared" si="24"/>
        <v>0.18703973627245551</v>
      </c>
      <c r="AC24">
        <f t="shared" si="8"/>
        <v>0.19850122034618822</v>
      </c>
      <c r="AD24">
        <f t="shared" si="25"/>
        <v>0</v>
      </c>
      <c r="AE24">
        <f t="shared" si="26"/>
        <v>0.63866458500000012</v>
      </c>
      <c r="AF24">
        <f t="shared" si="9"/>
        <v>3.6000000000000004E-2</v>
      </c>
      <c r="AG24">
        <f t="shared" si="10"/>
        <v>0.26910000000000001</v>
      </c>
      <c r="AH24" s="9">
        <f t="shared" si="11"/>
        <v>0.22723009828009827</v>
      </c>
      <c r="AI24">
        <f t="shared" si="27"/>
        <v>0.30510000000000004</v>
      </c>
      <c r="AJ24" s="109">
        <f t="shared" si="28"/>
        <v>1.3904443951743852</v>
      </c>
      <c r="AK24" s="111">
        <f t="shared" si="29"/>
        <v>30.375</v>
      </c>
      <c r="AL24" s="10">
        <f t="shared" si="30"/>
        <v>0.9562277682038155</v>
      </c>
      <c r="AM24">
        <f t="shared" si="31"/>
        <v>9.7718745980301946</v>
      </c>
      <c r="AN24">
        <f t="shared" si="32"/>
        <v>9.9250610173094103</v>
      </c>
      <c r="AO24" s="10"/>
      <c r="AP24">
        <f t="shared" si="33"/>
        <v>95.622776820381546</v>
      </c>
      <c r="AZ24" s="31"/>
      <c r="BA24" s="32"/>
    </row>
    <row r="25" spans="1:64">
      <c r="A25" s="58" t="s">
        <v>160</v>
      </c>
      <c r="B25" s="67">
        <f>CoutEsr*1000</f>
        <v>1.55</v>
      </c>
      <c r="C25" s="60" t="s">
        <v>134</v>
      </c>
      <c r="D25" s="35" t="s">
        <v>205</v>
      </c>
      <c r="G25">
        <v>16</v>
      </c>
      <c r="H25">
        <f t="shared" si="0"/>
        <v>4.8</v>
      </c>
      <c r="I25">
        <f t="shared" si="1"/>
        <v>0.56366439727673201</v>
      </c>
      <c r="J25">
        <f t="shared" si="2"/>
        <v>9.6865403787327118</v>
      </c>
      <c r="K25">
        <f t="shared" si="13"/>
        <v>5.5550957425654035</v>
      </c>
      <c r="L25">
        <f t="shared" si="3"/>
        <v>9.8827156598422262E-3</v>
      </c>
      <c r="N25" s="48">
        <f t="shared" si="14"/>
        <v>9.8827156598422262E-3</v>
      </c>
      <c r="O25" s="9">
        <f t="shared" si="15"/>
        <v>2.7962633475887553</v>
      </c>
      <c r="P25" s="9">
        <f t="shared" si="4"/>
        <v>1.2119587499055822E-2</v>
      </c>
      <c r="Q25" s="9">
        <f t="shared" si="16"/>
        <v>1.2119587499055822E-2</v>
      </c>
      <c r="R25">
        <f t="shared" si="17"/>
        <v>4.1706318031811644</v>
      </c>
      <c r="S25" s="114">
        <f t="shared" si="5"/>
        <v>3.478833927541234E-2</v>
      </c>
      <c r="T25" s="110">
        <f t="shared" si="18"/>
        <v>3.478833927541234E-2</v>
      </c>
      <c r="U25">
        <f t="shared" si="19"/>
        <v>4.1706318031811644</v>
      </c>
      <c r="V25">
        <f t="shared" si="6"/>
        <v>6.7837261587054068E-2</v>
      </c>
      <c r="W25">
        <f t="shared" si="20"/>
        <v>0.13628907813871818</v>
      </c>
      <c r="X25">
        <f t="shared" si="21"/>
        <v>4.5000996941010316E-4</v>
      </c>
      <c r="Y25">
        <f t="shared" si="22"/>
        <v>0.20739010505664116</v>
      </c>
      <c r="Z25">
        <f t="shared" si="23"/>
        <v>3.6694575990685734</v>
      </c>
      <c r="AA25">
        <f t="shared" si="7"/>
        <v>1.2118427164225889E-2</v>
      </c>
      <c r="AB25">
        <f t="shared" si="24"/>
        <v>0.19305826919111446</v>
      </c>
      <c r="AC25">
        <f t="shared" si="8"/>
        <v>0.20567518831315265</v>
      </c>
      <c r="AD25">
        <f t="shared" si="25"/>
        <v>0</v>
      </c>
      <c r="AE25">
        <f t="shared" si="26"/>
        <v>0.63860222400000011</v>
      </c>
      <c r="AF25">
        <f t="shared" si="9"/>
        <v>3.6000000000000004E-2</v>
      </c>
      <c r="AG25">
        <f t="shared" si="10"/>
        <v>0.26910000000000001</v>
      </c>
      <c r="AH25" s="9">
        <f t="shared" si="11"/>
        <v>0.22723009828009827</v>
      </c>
      <c r="AI25">
        <f t="shared" si="27"/>
        <v>0.30510000000000004</v>
      </c>
      <c r="AJ25" s="109">
        <f t="shared" si="28"/>
        <v>1.4135581598041043</v>
      </c>
      <c r="AK25" s="111">
        <f t="shared" si="29"/>
        <v>32.4</v>
      </c>
      <c r="AL25" s="10">
        <f t="shared" si="30"/>
        <v>0.95819552165662136</v>
      </c>
      <c r="AM25">
        <f t="shared" si="31"/>
        <v>10.369505252832058</v>
      </c>
      <c r="AN25">
        <f t="shared" si="32"/>
        <v>10.283759415657633</v>
      </c>
      <c r="AO25" s="10"/>
      <c r="AP25">
        <f t="shared" si="33"/>
        <v>95.819552165662131</v>
      </c>
      <c r="AX25" t="s">
        <v>246</v>
      </c>
      <c r="AY25" t="s">
        <v>4</v>
      </c>
      <c r="AZ25" t="s">
        <v>6</v>
      </c>
      <c r="BA25" t="s">
        <v>5</v>
      </c>
      <c r="BB25" t="s">
        <v>247</v>
      </c>
      <c r="BC25" t="s">
        <v>248</v>
      </c>
    </row>
    <row r="26" spans="1:64">
      <c r="A26" s="38" t="s">
        <v>207</v>
      </c>
      <c r="B26" s="64" t="s">
        <v>206</v>
      </c>
      <c r="C26" s="38" t="s">
        <v>149</v>
      </c>
      <c r="D26" s="30" t="s">
        <v>193</v>
      </c>
      <c r="G26">
        <v>17</v>
      </c>
      <c r="H26">
        <f t="shared" si="0"/>
        <v>5.1000000000000005</v>
      </c>
      <c r="I26">
        <f t="shared" si="1"/>
        <v>0.56373726501289145</v>
      </c>
      <c r="J26">
        <f t="shared" si="2"/>
        <v>9.6877926066045195</v>
      </c>
      <c r="K26">
        <f t="shared" si="13"/>
        <v>5.8164517075030462</v>
      </c>
      <c r="L26">
        <f t="shared" si="3"/>
        <v>1.0835339581228669E-2</v>
      </c>
      <c r="N26" s="48">
        <f t="shared" si="14"/>
        <v>1.0835339581228669E-2</v>
      </c>
      <c r="O26" s="9">
        <f t="shared" si="15"/>
        <v>2.7966248346381928</v>
      </c>
      <c r="P26" s="9">
        <f t="shared" si="4"/>
        <v>1.2122721221858404E-2</v>
      </c>
      <c r="Q26" s="9">
        <f t="shared" si="16"/>
        <v>1.2122721221858404E-2</v>
      </c>
      <c r="R26">
        <f t="shared" si="17"/>
        <v>4.3671338067766188</v>
      </c>
      <c r="S26" s="114">
        <f t="shared" si="5"/>
        <v>3.8143715372582487E-2</v>
      </c>
      <c r="T26" s="110">
        <f t="shared" si="18"/>
        <v>3.8143715372582487E-2</v>
      </c>
      <c r="U26">
        <f t="shared" si="19"/>
        <v>4.3671338067766188</v>
      </c>
      <c r="V26">
        <f t="shared" si="6"/>
        <v>7.4380244976535836E-2</v>
      </c>
      <c r="W26">
        <f t="shared" si="20"/>
        <v>0.14480714552238808</v>
      </c>
      <c r="X26">
        <f t="shared" si="21"/>
        <v>0</v>
      </c>
      <c r="Y26">
        <f t="shared" si="22"/>
        <v>0.22249727080067691</v>
      </c>
      <c r="Z26">
        <f t="shared" si="23"/>
        <v>3.8417772943552913</v>
      </c>
      <c r="AA26">
        <f t="shared" si="7"/>
        <v>1.3283327501481475E-2</v>
      </c>
      <c r="AB26">
        <f t="shared" si="24"/>
        <v>0.19907680399211128</v>
      </c>
      <c r="AC26">
        <f t="shared" si="8"/>
        <v>0.2129258041315519</v>
      </c>
      <c r="AD26">
        <f t="shared" si="25"/>
        <v>0</v>
      </c>
      <c r="AE26">
        <f t="shared" si="26"/>
        <v>0.6385398630000001</v>
      </c>
      <c r="AF26">
        <f t="shared" si="9"/>
        <v>3.6000000000000004E-2</v>
      </c>
      <c r="AG26">
        <f t="shared" si="10"/>
        <v>0.26910000000000001</v>
      </c>
      <c r="AH26" s="9">
        <f t="shared" si="11"/>
        <v>0.22723009828009827</v>
      </c>
      <c r="AI26">
        <f t="shared" si="27"/>
        <v>0.30510000000000004</v>
      </c>
      <c r="AJ26" s="109">
        <f t="shared" si="28"/>
        <v>1.4401647141078984</v>
      </c>
      <c r="AK26" s="111">
        <f t="shared" si="29"/>
        <v>34.425000000000004</v>
      </c>
      <c r="AL26" s="10">
        <f t="shared" si="30"/>
        <v>0.9598450271847937</v>
      </c>
      <c r="AM26">
        <f t="shared" si="31"/>
        <v>11.124863540033845</v>
      </c>
      <c r="AN26">
        <f t="shared" si="32"/>
        <v>10.646290206577595</v>
      </c>
      <c r="AO26" s="10"/>
      <c r="AP26">
        <f t="shared" si="33"/>
        <v>95.984502718479376</v>
      </c>
      <c r="AX26" t="s">
        <v>249</v>
      </c>
      <c r="AY26">
        <v>9.9989640000000009</v>
      </c>
      <c r="AZ26">
        <v>0.1027</v>
      </c>
      <c r="BA26">
        <v>5.1211359999999999</v>
      </c>
      <c r="BB26">
        <v>61.870683235325004</v>
      </c>
      <c r="BC26">
        <v>324.12365701136014</v>
      </c>
    </row>
    <row r="27" spans="1:64">
      <c r="A27" s="36" t="s">
        <v>132</v>
      </c>
      <c r="B27" s="5">
        <f>RdsonDRT</f>
        <v>1.5</v>
      </c>
      <c r="C27" s="34" t="s">
        <v>25</v>
      </c>
      <c r="D27" s="35" t="s">
        <v>209</v>
      </c>
      <c r="G27">
        <v>18</v>
      </c>
      <c r="H27">
        <f t="shared" si="0"/>
        <v>5.3999999999999995</v>
      </c>
      <c r="I27">
        <f t="shared" si="1"/>
        <v>0.56381014369398685</v>
      </c>
      <c r="J27">
        <f t="shared" si="2"/>
        <v>9.6890450225644251</v>
      </c>
      <c r="K27">
        <f t="shared" si="13"/>
        <v>6.0813758959169784</v>
      </c>
      <c r="L27">
        <f t="shared" si="3"/>
        <v>1.1845817735508187E-2</v>
      </c>
      <c r="N27" s="48">
        <f t="shared" si="14"/>
        <v>1.1845817735508187E-2</v>
      </c>
      <c r="O27" s="9">
        <f t="shared" si="15"/>
        <v>2.7969863759839875</v>
      </c>
      <c r="P27" s="9">
        <f t="shared" si="4"/>
        <v>1.212585582053206E-2</v>
      </c>
      <c r="Q27" s="9">
        <f t="shared" si="16"/>
        <v>1.212585582053206E-2</v>
      </c>
      <c r="R27">
        <f t="shared" si="17"/>
        <v>4.5663404834878838</v>
      </c>
      <c r="S27" s="114">
        <f t="shared" si="5"/>
        <v>4.1702930822280722E-2</v>
      </c>
      <c r="T27" s="110">
        <f t="shared" si="18"/>
        <v>4.1702930822280722E-2</v>
      </c>
      <c r="U27">
        <f t="shared" si="19"/>
        <v>4.5663404834878838</v>
      </c>
      <c r="V27">
        <f t="shared" si="6"/>
        <v>8.1320715103447405E-2</v>
      </c>
      <c r="W27">
        <f t="shared" si="20"/>
        <v>0.15332521290605797</v>
      </c>
      <c r="X27">
        <f t="shared" si="21"/>
        <v>0</v>
      </c>
      <c r="Y27">
        <f t="shared" si="22"/>
        <v>0.23852533822444608</v>
      </c>
      <c r="Z27">
        <f t="shared" si="23"/>
        <v>4.0164247006883711</v>
      </c>
      <c r="AA27">
        <f t="shared" si="7"/>
        <v>1.4518500638669704E-2</v>
      </c>
      <c r="AB27">
        <f t="shared" si="24"/>
        <v>0.20509534067586993</v>
      </c>
      <c r="AC27">
        <f t="shared" si="8"/>
        <v>0.2202533911144525</v>
      </c>
      <c r="AD27">
        <f t="shared" si="25"/>
        <v>0</v>
      </c>
      <c r="AE27">
        <f t="shared" si="26"/>
        <v>0.63847750200000009</v>
      </c>
      <c r="AF27">
        <f t="shared" si="9"/>
        <v>3.6000000000000004E-2</v>
      </c>
      <c r="AG27">
        <f t="shared" si="10"/>
        <v>0.26910000000000001</v>
      </c>
      <c r="AH27" s="9">
        <f t="shared" si="11"/>
        <v>0.22723009828009827</v>
      </c>
      <c r="AI27">
        <f t="shared" si="27"/>
        <v>0.30510000000000004</v>
      </c>
      <c r="AJ27" s="109">
        <f t="shared" si="28"/>
        <v>1.4680308357172196</v>
      </c>
      <c r="AK27" s="111">
        <f t="shared" si="29"/>
        <v>36.449999999999996</v>
      </c>
      <c r="AL27" s="10">
        <f t="shared" si="30"/>
        <v>0.961284096157905</v>
      </c>
      <c r="AM27">
        <f t="shared" si="31"/>
        <v>11.926266911222303</v>
      </c>
      <c r="AN27">
        <f t="shared" si="32"/>
        <v>11.012669555722624</v>
      </c>
      <c r="AO27" s="10"/>
      <c r="AP27">
        <f t="shared" si="33"/>
        <v>96.128409615790503</v>
      </c>
      <c r="AX27" t="s">
        <v>250</v>
      </c>
      <c r="AY27">
        <v>9.9986669999999993</v>
      </c>
      <c r="AZ27">
        <v>0.1166</v>
      </c>
      <c r="BA27">
        <v>5.1212980000000003</v>
      </c>
      <c r="BB27">
        <v>64.729420570558148</v>
      </c>
      <c r="BC27">
        <v>325.37886459483997</v>
      </c>
    </row>
    <row r="28" spans="1:64">
      <c r="A28" s="36" t="s">
        <v>245</v>
      </c>
      <c r="B28" s="5">
        <f>RdsonDRT2</f>
        <v>1</v>
      </c>
      <c r="C28" s="34" t="s">
        <v>25</v>
      </c>
      <c r="D28" s="35" t="s">
        <v>210</v>
      </c>
      <c r="G28">
        <v>19</v>
      </c>
      <c r="H28">
        <f t="shared" si="0"/>
        <v>5.7</v>
      </c>
      <c r="I28">
        <f t="shared" si="1"/>
        <v>0.56388303332248457</v>
      </c>
      <c r="J28">
        <f t="shared" si="2"/>
        <v>9.6902976266548109</v>
      </c>
      <c r="K28">
        <f t="shared" si="13"/>
        <v>6.3494216803130437</v>
      </c>
      <c r="L28">
        <f t="shared" si="3"/>
        <v>1.2914178125616845E-2</v>
      </c>
      <c r="N28" s="48">
        <f t="shared" si="14"/>
        <v>1.2914178125616845E-2</v>
      </c>
      <c r="O28" s="9">
        <f t="shared" si="15"/>
        <v>2.7973479716383736</v>
      </c>
      <c r="P28" s="9">
        <f t="shared" si="4"/>
        <v>1.212899129536545E-2</v>
      </c>
      <c r="Q28" s="9">
        <f t="shared" si="16"/>
        <v>1.212899129536545E-2</v>
      </c>
      <c r="R28">
        <f t="shared" si="17"/>
        <v>4.767916973958898</v>
      </c>
      <c r="S28" s="114">
        <f t="shared" si="5"/>
        <v>4.5466064541130752E-2</v>
      </c>
      <c r="T28" s="110">
        <f t="shared" si="18"/>
        <v>4.5466064541130752E-2</v>
      </c>
      <c r="U28">
        <f t="shared" si="19"/>
        <v>4.767916973958898</v>
      </c>
      <c r="V28">
        <f t="shared" si="6"/>
        <v>8.8658825855204959E-2</v>
      </c>
      <c r="W28">
        <f t="shared" si="20"/>
        <v>0.16184328028972783</v>
      </c>
      <c r="X28">
        <f t="shared" si="21"/>
        <v>0</v>
      </c>
      <c r="Y28">
        <f t="shared" si="22"/>
        <v>0.25502413420561482</v>
      </c>
      <c r="Z28">
        <f t="shared" si="23"/>
        <v>4.1931042681841264</v>
      </c>
      <c r="AA28">
        <f t="shared" si="7"/>
        <v>1.5823911063477546E-2</v>
      </c>
      <c r="AB28">
        <f t="shared" si="24"/>
        <v>0.21111387924281466</v>
      </c>
      <c r="AC28">
        <f t="shared" si="8"/>
        <v>0.22765827917881018</v>
      </c>
      <c r="AD28">
        <f t="shared" si="25"/>
        <v>0</v>
      </c>
      <c r="AE28">
        <f t="shared" si="26"/>
        <v>0.63841514100000007</v>
      </c>
      <c r="AF28">
        <f t="shared" si="9"/>
        <v>3.6000000000000004E-2</v>
      </c>
      <c r="AG28">
        <f t="shared" si="10"/>
        <v>0.26910000000000001</v>
      </c>
      <c r="AH28" s="9">
        <f t="shared" si="11"/>
        <v>0.22723009828009827</v>
      </c>
      <c r="AI28">
        <f t="shared" si="27"/>
        <v>0.30510000000000004</v>
      </c>
      <c r="AJ28" s="109">
        <f t="shared" si="28"/>
        <v>1.4967067883465384</v>
      </c>
      <c r="AK28" s="111">
        <f t="shared" si="29"/>
        <v>38.475000000000001</v>
      </c>
      <c r="AL28" s="10">
        <f t="shared" si="30"/>
        <v>0.96255584490620527</v>
      </c>
      <c r="AM28">
        <f t="shared" si="31"/>
        <v>12.751206710280741</v>
      </c>
      <c r="AN28">
        <f t="shared" si="32"/>
        <v>11.38291395894051</v>
      </c>
      <c r="AO28" s="10"/>
      <c r="AP28">
        <f t="shared" si="33"/>
        <v>96.255584490620521</v>
      </c>
      <c r="AX28" t="s">
        <v>251</v>
      </c>
      <c r="AY28">
        <v>9.9987659999999998</v>
      </c>
      <c r="AZ28">
        <v>0.14660000000000001</v>
      </c>
      <c r="BA28">
        <v>5.1213230000000003</v>
      </c>
      <c r="BB28">
        <v>69.885376918691776</v>
      </c>
      <c r="BC28">
        <v>323.52446193379996</v>
      </c>
    </row>
    <row r="29" spans="1:64">
      <c r="A29" s="38" t="s">
        <v>208</v>
      </c>
      <c r="B29" s="28" t="s">
        <v>206</v>
      </c>
      <c r="C29" s="38" t="s">
        <v>149</v>
      </c>
      <c r="D29" s="30" t="s">
        <v>193</v>
      </c>
      <c r="G29">
        <v>20</v>
      </c>
      <c r="H29">
        <f t="shared" si="0"/>
        <v>6</v>
      </c>
      <c r="I29">
        <f t="shared" si="1"/>
        <v>0.5639559339008513</v>
      </c>
      <c r="J29">
        <f t="shared" si="2"/>
        <v>9.6915504189180695</v>
      </c>
      <c r="K29">
        <f t="shared" si="13"/>
        <v>6.6202099005144284</v>
      </c>
      <c r="L29">
        <f t="shared" si="3"/>
        <v>1.4040450365928327E-2</v>
      </c>
      <c r="N29" s="48">
        <f t="shared" si="14"/>
        <v>1.4040450365928327E-2</v>
      </c>
      <c r="O29" s="9">
        <f t="shared" si="15"/>
        <v>2.7977096216135888</v>
      </c>
      <c r="P29" s="9">
        <f t="shared" si="4"/>
        <v>1.2132127646647338E-2</v>
      </c>
      <c r="Q29" s="9">
        <f t="shared" si="16"/>
        <v>1.2132127646647338E-2</v>
      </c>
      <c r="R29">
        <f t="shared" si="17"/>
        <v>4.9715789981386651</v>
      </c>
      <c r="S29" s="114">
        <f t="shared" si="5"/>
        <v>4.9433195469466909E-2</v>
      </c>
      <c r="T29" s="110">
        <f t="shared" si="18"/>
        <v>4.9433195469466909E-2</v>
      </c>
      <c r="U29">
        <f t="shared" si="19"/>
        <v>4.9715789981386651</v>
      </c>
      <c r="V29">
        <f t="shared" si="6"/>
        <v>9.6394731165460462E-2</v>
      </c>
      <c r="W29">
        <f t="shared" si="20"/>
        <v>0.17036134767339772</v>
      </c>
      <c r="X29">
        <f t="shared" si="21"/>
        <v>0</v>
      </c>
      <c r="Y29">
        <f t="shared" si="22"/>
        <v>0.27199995127489052</v>
      </c>
      <c r="Z29">
        <f t="shared" si="23"/>
        <v>4.3715650964083572</v>
      </c>
      <c r="AA29">
        <f t="shared" si="7"/>
        <v>1.719952325292223E-2</v>
      </c>
      <c r="AB29">
        <f t="shared" si="24"/>
        <v>0.21713241969336991</v>
      </c>
      <c r="AC29">
        <f t="shared" si="8"/>
        <v>0.23514080489459122</v>
      </c>
      <c r="AD29">
        <f t="shared" si="25"/>
        <v>0</v>
      </c>
      <c r="AE29">
        <f t="shared" si="26"/>
        <v>0.63835278000000006</v>
      </c>
      <c r="AF29">
        <f t="shared" si="9"/>
        <v>3.6000000000000004E-2</v>
      </c>
      <c r="AG29">
        <f t="shared" si="10"/>
        <v>0.26910000000000001</v>
      </c>
      <c r="AH29" s="9">
        <f t="shared" si="11"/>
        <v>0.22723009828009827</v>
      </c>
      <c r="AI29">
        <f t="shared" si="27"/>
        <v>0.30510000000000004</v>
      </c>
      <c r="AJ29" s="109">
        <f t="shared" si="28"/>
        <v>1.5261993096515245</v>
      </c>
      <c r="AK29" s="111">
        <f t="shared" si="29"/>
        <v>40.5</v>
      </c>
      <c r="AL29" s="10">
        <f t="shared" si="30"/>
        <v>0.96368457451014311</v>
      </c>
      <c r="AM29">
        <f t="shared" si="31"/>
        <v>13.599997563744527</v>
      </c>
      <c r="AN29">
        <f t="shared" si="32"/>
        <v>11.757040244729561</v>
      </c>
      <c r="AO29" s="10"/>
      <c r="AP29">
        <f t="shared" si="33"/>
        <v>96.368457451014308</v>
      </c>
      <c r="AX29" t="s">
        <v>252</v>
      </c>
      <c r="AY29">
        <v>9.9987899999999996</v>
      </c>
      <c r="AZ29">
        <v>0.1958</v>
      </c>
      <c r="BA29">
        <v>5.1217600000000001</v>
      </c>
      <c r="BB29">
        <v>75.662516566515876</v>
      </c>
      <c r="BC29">
        <v>322.57199766699983</v>
      </c>
    </row>
    <row r="30" spans="1:64">
      <c r="A30" s="36" t="s">
        <v>131</v>
      </c>
      <c r="B30" s="42">
        <f>RdsonDRB</f>
        <v>1.5</v>
      </c>
      <c r="C30" s="34" t="s">
        <v>25</v>
      </c>
      <c r="D30" s="35" t="s">
        <v>209</v>
      </c>
      <c r="G30">
        <v>21</v>
      </c>
      <c r="H30">
        <f t="shared" si="0"/>
        <v>6.3</v>
      </c>
      <c r="I30">
        <f t="shared" si="1"/>
        <v>0.56402884543155474</v>
      </c>
      <c r="J30">
        <f t="shared" si="2"/>
        <v>9.6928033993966061</v>
      </c>
      <c r="K30">
        <f t="shared" si="13"/>
        <v>6.8934173778283725</v>
      </c>
      <c r="L30">
        <f t="shared" si="3"/>
        <v>1.5224665684308327E-2</v>
      </c>
      <c r="N30" s="48">
        <f t="shared" si="14"/>
        <v>1.5224665684308327E-2</v>
      </c>
      <c r="O30" s="9">
        <f t="shared" si="15"/>
        <v>2.7980713259218755</v>
      </c>
      <c r="P30" s="9">
        <f t="shared" si="4"/>
        <v>1.2135264874666613E-2</v>
      </c>
      <c r="Q30" s="9">
        <f t="shared" si="16"/>
        <v>1.2135264874666613E-2</v>
      </c>
      <c r="R30">
        <f t="shared" si="17"/>
        <v>5.1770842455644379</v>
      </c>
      <c r="S30" s="114">
        <f t="shared" si="5"/>
        <v>5.360440257134301E-2</v>
      </c>
      <c r="T30" s="110">
        <f t="shared" si="18"/>
        <v>5.360440257134301E-2</v>
      </c>
      <c r="U30">
        <f t="shared" si="19"/>
        <v>5.1770842455644379</v>
      </c>
      <c r="V30">
        <f t="shared" si="6"/>
        <v>0.10452858501411887</v>
      </c>
      <c r="W30">
        <f t="shared" si="20"/>
        <v>0.17887941505706761</v>
      </c>
      <c r="X30">
        <f t="shared" si="21"/>
        <v>0</v>
      </c>
      <c r="Y30">
        <f t="shared" si="22"/>
        <v>0.28945935543983137</v>
      </c>
      <c r="Z30">
        <f t="shared" si="23"/>
        <v>4.5515933319305546</v>
      </c>
      <c r="AA30">
        <f t="shared" si="7"/>
        <v>1.8645301673347218E-2</v>
      </c>
      <c r="AB30">
        <f t="shared" si="24"/>
        <v>0.22315096202796003</v>
      </c>
      <c r="AC30">
        <f t="shared" si="8"/>
        <v>0.2427013115353259</v>
      </c>
      <c r="AD30">
        <f t="shared" si="25"/>
        <v>0</v>
      </c>
      <c r="AE30">
        <f t="shared" si="26"/>
        <v>0.63829041900000005</v>
      </c>
      <c r="AF30">
        <f t="shared" si="9"/>
        <v>3.6000000000000004E-2</v>
      </c>
      <c r="AG30">
        <f t="shared" si="10"/>
        <v>0.26910000000000001</v>
      </c>
      <c r="AH30" s="9">
        <f t="shared" si="11"/>
        <v>0.22723009828009827</v>
      </c>
      <c r="AI30">
        <f t="shared" si="27"/>
        <v>0.30510000000000004</v>
      </c>
      <c r="AJ30" s="109">
        <f t="shared" si="28"/>
        <v>1.5565154191054753</v>
      </c>
      <c r="AK30" s="111">
        <f t="shared" si="29"/>
        <v>42.524999999999999</v>
      </c>
      <c r="AL30" s="10">
        <f t="shared" si="30"/>
        <v>0.96469006556814374</v>
      </c>
      <c r="AM30">
        <f t="shared" si="31"/>
        <v>14.472967771991568</v>
      </c>
      <c r="AN30">
        <f t="shared" si="32"/>
        <v>12.135065576766294</v>
      </c>
      <c r="AO30" s="10"/>
      <c r="AP30">
        <f t="shared" si="33"/>
        <v>96.469006556814378</v>
      </c>
      <c r="AY30">
        <v>9.9987659999999998</v>
      </c>
      <c r="AZ30">
        <v>0.2681</v>
      </c>
      <c r="BA30">
        <v>5.1224080000000001</v>
      </c>
      <c r="BB30">
        <v>80.957553445887683</v>
      </c>
      <c r="BC30">
        <v>323.02506068319997</v>
      </c>
    </row>
    <row r="31" spans="1:64">
      <c r="A31" s="36" t="s">
        <v>244</v>
      </c>
      <c r="B31" s="42">
        <f>RdsonDRB2</f>
        <v>0.9</v>
      </c>
      <c r="C31" s="34" t="s">
        <v>25</v>
      </c>
      <c r="D31" s="35" t="s">
        <v>210</v>
      </c>
      <c r="G31">
        <v>22</v>
      </c>
      <c r="H31">
        <f t="shared" si="0"/>
        <v>6.6</v>
      </c>
      <c r="I31">
        <f t="shared" si="1"/>
        <v>0.56410176791706312</v>
      </c>
      <c r="J31">
        <f t="shared" si="2"/>
        <v>9.6940565681328383</v>
      </c>
      <c r="K31">
        <f t="shared" si="13"/>
        <v>7.1687675181195978</v>
      </c>
      <c r="L31">
        <f t="shared" si="3"/>
        <v>1.6466856924281775E-2</v>
      </c>
      <c r="N31" s="48">
        <f t="shared" si="14"/>
        <v>1.6466856924281775E-2</v>
      </c>
      <c r="O31" s="9">
        <f t="shared" si="15"/>
        <v>2.798433084575477</v>
      </c>
      <c r="P31" s="9">
        <f t="shared" si="4"/>
        <v>1.2138402979712259E-2</v>
      </c>
      <c r="Q31" s="9">
        <f t="shared" si="16"/>
        <v>1.2138402979712259E-2</v>
      </c>
      <c r="R31">
        <f t="shared" si="17"/>
        <v>5.384225331212539</v>
      </c>
      <c r="S31" s="114">
        <f t="shared" si="5"/>
        <v>5.797976483454155E-2</v>
      </c>
      <c r="T31" s="110">
        <f t="shared" si="18"/>
        <v>5.797976483454155E-2</v>
      </c>
      <c r="U31">
        <f t="shared" si="19"/>
        <v>5.384225331212539</v>
      </c>
      <c r="V31">
        <f t="shared" si="6"/>
        <v>0.11306054142735601</v>
      </c>
      <c r="W31">
        <f t="shared" si="20"/>
        <v>0.18739748244073748</v>
      </c>
      <c r="X31">
        <f t="shared" si="21"/>
        <v>0</v>
      </c>
      <c r="Y31">
        <f t="shared" si="22"/>
        <v>0.30740919384731846</v>
      </c>
      <c r="Z31">
        <f t="shared" si="23"/>
        <v>4.7330059488210914</v>
      </c>
      <c r="AA31">
        <f t="shared" si="7"/>
        <v>2.0161210780418253E-2</v>
      </c>
      <c r="AB31">
        <f t="shared" si="24"/>
        <v>0.22916950624700977</v>
      </c>
      <c r="AC31">
        <f t="shared" si="8"/>
        <v>0.25034014913011071</v>
      </c>
      <c r="AD31">
        <f t="shared" si="25"/>
        <v>0</v>
      </c>
      <c r="AE31">
        <f t="shared" si="26"/>
        <v>0.63822805800000004</v>
      </c>
      <c r="AF31">
        <f t="shared" si="9"/>
        <v>3.6000000000000004E-2</v>
      </c>
      <c r="AG31">
        <f t="shared" si="10"/>
        <v>0.26910000000000001</v>
      </c>
      <c r="AH31" s="9">
        <f t="shared" si="11"/>
        <v>0.22723009828009827</v>
      </c>
      <c r="AI31">
        <f t="shared" si="27"/>
        <v>0.30510000000000004</v>
      </c>
      <c r="AJ31" s="109">
        <f t="shared" si="28"/>
        <v>1.5876624257159651</v>
      </c>
      <c r="AK31" s="111">
        <f t="shared" si="29"/>
        <v>44.55</v>
      </c>
      <c r="AL31" s="10">
        <f t="shared" si="30"/>
        <v>0.96558858116680313</v>
      </c>
      <c r="AM31">
        <f t="shared" si="31"/>
        <v>15.370459692365923</v>
      </c>
      <c r="AN31">
        <f t="shared" si="32"/>
        <v>12.517007456505535</v>
      </c>
      <c r="AO31" s="10"/>
      <c r="AP31">
        <f t="shared" si="33"/>
        <v>96.558858116680312</v>
      </c>
      <c r="AY31">
        <v>9.998704</v>
      </c>
      <c r="AZ31">
        <v>0.36549999999999999</v>
      </c>
      <c r="BA31">
        <v>5.123094</v>
      </c>
      <c r="BB31">
        <v>85.419022273213088</v>
      </c>
      <c r="BC31">
        <v>319.63300692320018</v>
      </c>
    </row>
    <row r="32" spans="1:64">
      <c r="A32" s="38" t="s">
        <v>133</v>
      </c>
      <c r="B32" s="28" t="s">
        <v>206</v>
      </c>
      <c r="C32" s="38" t="s">
        <v>149</v>
      </c>
      <c r="D32" s="30" t="s">
        <v>193</v>
      </c>
      <c r="E32" s="57"/>
      <c r="G32">
        <v>23</v>
      </c>
      <c r="H32">
        <f t="shared" si="0"/>
        <v>6.9</v>
      </c>
      <c r="I32">
        <f t="shared" si="1"/>
        <v>0.56417470135984582</v>
      </c>
      <c r="J32">
        <f t="shared" si="2"/>
        <v>9.6953099251692016</v>
      </c>
      <c r="K32">
        <f t="shared" si="13"/>
        <v>7.44602262142394</v>
      </c>
      <c r="L32">
        <f t="shared" si="3"/>
        <v>1.7767058547312985E-2</v>
      </c>
      <c r="N32" s="48">
        <f t="shared" si="14"/>
        <v>1.7767058547312985E-2</v>
      </c>
      <c r="O32" s="9">
        <f t="shared" si="15"/>
        <v>2.7987948975866446</v>
      </c>
      <c r="P32" s="9">
        <f t="shared" si="4"/>
        <v>1.2141541962073406E-2</v>
      </c>
      <c r="Q32" s="9">
        <f t="shared" si="16"/>
        <v>1.2141541962073406E-2</v>
      </c>
      <c r="R32">
        <f t="shared" si="17"/>
        <v>5.5928240304242696</v>
      </c>
      <c r="S32" s="114">
        <f t="shared" si="5"/>
        <v>6.2559361270582342E-2</v>
      </c>
      <c r="T32" s="110">
        <f t="shared" si="18"/>
        <v>6.2559361270582342E-2</v>
      </c>
      <c r="U32">
        <f t="shared" si="19"/>
        <v>5.5928240304242696</v>
      </c>
      <c r="V32">
        <f t="shared" si="6"/>
        <v>0.12199075447763556</v>
      </c>
      <c r="W32">
        <f t="shared" si="20"/>
        <v>0.19591554982440743</v>
      </c>
      <c r="X32">
        <f t="shared" si="21"/>
        <v>0</v>
      </c>
      <c r="Y32">
        <f t="shared" si="22"/>
        <v>0.3258566028691483</v>
      </c>
      <c r="Z32">
        <f t="shared" si="23"/>
        <v>4.915645658859666</v>
      </c>
      <c r="AA32">
        <f t="shared" si="7"/>
        <v>2.174721501911929E-2</v>
      </c>
      <c r="AB32">
        <f t="shared" si="24"/>
        <v>0.23518805235094375</v>
      </c>
      <c r="AC32">
        <f t="shared" si="8"/>
        <v>0.2580576745170744</v>
      </c>
      <c r="AD32">
        <f t="shared" si="25"/>
        <v>0</v>
      </c>
      <c r="AE32">
        <f t="shared" si="26"/>
        <v>0.63816569700000003</v>
      </c>
      <c r="AF32">
        <f t="shared" si="9"/>
        <v>3.6000000000000004E-2</v>
      </c>
      <c r="AG32">
        <f t="shared" si="10"/>
        <v>0.26910000000000001</v>
      </c>
      <c r="AH32" s="9">
        <f t="shared" si="11"/>
        <v>0.22723009828009827</v>
      </c>
      <c r="AI32">
        <f t="shared" si="27"/>
        <v>0.30510000000000004</v>
      </c>
      <c r="AJ32" s="109">
        <f t="shared" si="28"/>
        <v>1.6196479361661917</v>
      </c>
      <c r="AK32" s="111">
        <f t="shared" si="29"/>
        <v>46.575000000000003</v>
      </c>
      <c r="AL32" s="10">
        <f t="shared" si="30"/>
        <v>0.96639361411434288</v>
      </c>
      <c r="AM32">
        <f t="shared" si="31"/>
        <v>16.292830143457415</v>
      </c>
      <c r="AN32">
        <f t="shared" si="32"/>
        <v>12.902883725853719</v>
      </c>
      <c r="AO32" s="10"/>
      <c r="AP32">
        <f t="shared" si="33"/>
        <v>96.639361411434294</v>
      </c>
      <c r="AY32">
        <v>9.9987290000000009</v>
      </c>
      <c r="AZ32">
        <v>0.49059999999999998</v>
      </c>
      <c r="BA32">
        <v>5.1238169999999998</v>
      </c>
      <c r="BB32">
        <v>88.551850267052174</v>
      </c>
      <c r="BC32">
        <v>324.98153184230057</v>
      </c>
    </row>
    <row r="33" spans="1:55">
      <c r="A33" s="36" t="s">
        <v>133</v>
      </c>
      <c r="B33" s="5">
        <f>Deadtime*1000000000</f>
        <v>20</v>
      </c>
      <c r="C33" s="34" t="s">
        <v>135</v>
      </c>
      <c r="D33" s="35" t="s">
        <v>184</v>
      </c>
      <c r="E33" s="57"/>
      <c r="G33">
        <v>24</v>
      </c>
      <c r="H33">
        <f t="shared" si="0"/>
        <v>7.1999999999999993</v>
      </c>
      <c r="I33">
        <f t="shared" si="1"/>
        <v>0.56424764576237219</v>
      </c>
      <c r="J33">
        <f t="shared" si="2"/>
        <v>9.6965634705481332</v>
      </c>
      <c r="K33">
        <f t="shared" si="13"/>
        <v>7.7249775789230632</v>
      </c>
      <c r="L33">
        <f t="shared" si="3"/>
        <v>1.9125306635199187E-2</v>
      </c>
      <c r="N33" s="48">
        <f t="shared" si="14"/>
        <v>1.9125306635199187E-2</v>
      </c>
      <c r="O33" s="9">
        <f t="shared" si="15"/>
        <v>2.7991567649676283</v>
      </c>
      <c r="P33" s="9">
        <f t="shared" si="4"/>
        <v>1.2144681822039259E-2</v>
      </c>
      <c r="Q33" s="9">
        <f t="shared" si="16"/>
        <v>1.2144681822039259E-2</v>
      </c>
      <c r="R33">
        <f t="shared" si="17"/>
        <v>5.8027265537302126</v>
      </c>
      <c r="S33" s="114">
        <f t="shared" si="5"/>
        <v>6.7343270914731426E-2</v>
      </c>
      <c r="T33" s="110">
        <f t="shared" si="18"/>
        <v>6.7343270914731426E-2</v>
      </c>
      <c r="U33">
        <f t="shared" si="19"/>
        <v>5.8027265537302126</v>
      </c>
      <c r="V33">
        <f t="shared" si="6"/>
        <v>0.13131937828372625</v>
      </c>
      <c r="W33">
        <f t="shared" si="20"/>
        <v>0.20443361720807723</v>
      </c>
      <c r="X33">
        <f t="shared" si="21"/>
        <v>0</v>
      </c>
      <c r="Y33">
        <f t="shared" si="22"/>
        <v>0.34480901662989566</v>
      </c>
      <c r="Z33">
        <f t="shared" si="23"/>
        <v>5.0993767401024916</v>
      </c>
      <c r="AA33">
        <f t="shared" si="7"/>
        <v>2.3403278823748482E-2</v>
      </c>
      <c r="AB33">
        <f t="shared" si="24"/>
        <v>0.24120660034018684</v>
      </c>
      <c r="AC33">
        <f t="shared" si="8"/>
        <v>0.26585425139832608</v>
      </c>
      <c r="AD33">
        <f t="shared" si="25"/>
        <v>0</v>
      </c>
      <c r="AE33">
        <f t="shared" si="26"/>
        <v>0.63810333600000013</v>
      </c>
      <c r="AF33">
        <f t="shared" si="9"/>
        <v>3.6000000000000004E-2</v>
      </c>
      <c r="AG33">
        <f t="shared" si="10"/>
        <v>0.26910000000000001</v>
      </c>
      <c r="AH33" s="9">
        <f t="shared" si="11"/>
        <v>0.22723009828009827</v>
      </c>
      <c r="AI33">
        <f t="shared" si="27"/>
        <v>0.30510000000000004</v>
      </c>
      <c r="AJ33" s="109">
        <f t="shared" si="28"/>
        <v>1.6524798634001918</v>
      </c>
      <c r="AK33" s="111">
        <f t="shared" si="29"/>
        <v>48.599999999999994</v>
      </c>
      <c r="AL33" s="10">
        <f t="shared" si="30"/>
        <v>0.96711645140912295</v>
      </c>
      <c r="AM33">
        <f t="shared" si="31"/>
        <v>17.240450831494783</v>
      </c>
      <c r="AN33">
        <f t="shared" si="32"/>
        <v>13.292712569916304</v>
      </c>
      <c r="AO33" s="10"/>
      <c r="AP33">
        <f t="shared" si="33"/>
        <v>96.711645140912296</v>
      </c>
      <c r="AY33">
        <v>9.9986420000000003</v>
      </c>
      <c r="AZ33">
        <v>0.64549999999999996</v>
      </c>
      <c r="BA33">
        <v>5.1237300000000001</v>
      </c>
      <c r="BB33">
        <v>90.41893857119905</v>
      </c>
      <c r="BC33">
        <v>350.45848473660021</v>
      </c>
    </row>
    <row r="34" spans="1:55">
      <c r="A34" s="38" t="s">
        <v>119</v>
      </c>
      <c r="B34" s="28" t="s">
        <v>206</v>
      </c>
      <c r="C34" s="38" t="s">
        <v>149</v>
      </c>
      <c r="D34" s="30" t="s">
        <v>193</v>
      </c>
      <c r="E34" s="57"/>
      <c r="G34">
        <v>25</v>
      </c>
      <c r="H34">
        <f t="shared" si="0"/>
        <v>7.5</v>
      </c>
      <c r="I34">
        <f t="shared" si="1"/>
        <v>0.56432060112711324</v>
      </c>
      <c r="J34">
        <f t="shared" si="2"/>
        <v>9.6978172043120949</v>
      </c>
      <c r="K34">
        <f t="shared" si="13"/>
        <v>8.0054546952283907</v>
      </c>
      <c r="L34">
        <f t="shared" si="3"/>
        <v>2.0541638892577731E-2</v>
      </c>
      <c r="N34" s="48">
        <f t="shared" si="14"/>
        <v>2.0541638892577731E-2</v>
      </c>
      <c r="O34" s="9">
        <f t="shared" si="15"/>
        <v>2.799518686730686</v>
      </c>
      <c r="P34" s="9">
        <f t="shared" si="4"/>
        <v>1.2147822559899173E-2</v>
      </c>
      <c r="Q34" s="9">
        <f t="shared" si="16"/>
        <v>1.2147822559899173E-2</v>
      </c>
      <c r="R34">
        <f t="shared" si="17"/>
        <v>6.0137996651871557</v>
      </c>
      <c r="S34" s="114">
        <f t="shared" si="5"/>
        <v>7.2331572826010285E-2</v>
      </c>
      <c r="T34" s="110">
        <f t="shared" si="18"/>
        <v>7.2331572826010285E-2</v>
      </c>
      <c r="U34">
        <f t="shared" si="19"/>
        <v>6.0137996651871557</v>
      </c>
      <c r="V34">
        <f t="shared" si="6"/>
        <v>0.14104656701072005</v>
      </c>
      <c r="W34">
        <f t="shared" si="20"/>
        <v>0.21295168459174715</v>
      </c>
      <c r="X34">
        <f t="shared" si="21"/>
        <v>0</v>
      </c>
      <c r="Y34">
        <f t="shared" si="22"/>
        <v>0.36427417599748813</v>
      </c>
      <c r="Z34">
        <f t="shared" si="23"/>
        <v>5.2840816103036428</v>
      </c>
      <c r="AA34">
        <f t="shared" si="7"/>
        <v>2.5129366617914223E-2</v>
      </c>
      <c r="AB34">
        <f t="shared" si="24"/>
        <v>0.24722515021516411</v>
      </c>
      <c r="AC34">
        <f t="shared" si="8"/>
        <v>0.27373025039640325</v>
      </c>
      <c r="AD34">
        <f t="shared" si="25"/>
        <v>0</v>
      </c>
      <c r="AE34">
        <f t="shared" si="26"/>
        <v>0.63804097500000012</v>
      </c>
      <c r="AF34">
        <f t="shared" si="9"/>
        <v>3.6000000000000004E-2</v>
      </c>
      <c r="AG34">
        <f t="shared" si="10"/>
        <v>0.26910000000000001</v>
      </c>
      <c r="AH34" s="9">
        <f t="shared" si="11"/>
        <v>0.22723009828009827</v>
      </c>
      <c r="AI34">
        <f t="shared" si="27"/>
        <v>0.30510000000000004</v>
      </c>
      <c r="AJ34" s="109">
        <f t="shared" si="28"/>
        <v>1.6861664356723787</v>
      </c>
      <c r="AK34" s="111">
        <f t="shared" si="29"/>
        <v>50.625</v>
      </c>
      <c r="AL34" s="10">
        <f t="shared" si="30"/>
        <v>0.96776660605062448</v>
      </c>
      <c r="AM34">
        <f t="shared" si="31"/>
        <v>18.213708799874407</v>
      </c>
      <c r="AN34">
        <f t="shared" si="32"/>
        <v>13.686512519820162</v>
      </c>
      <c r="AO34" s="10"/>
      <c r="AP34">
        <f t="shared" si="33"/>
        <v>96.776660605062446</v>
      </c>
      <c r="AY34">
        <v>9.9986049999999995</v>
      </c>
      <c r="AZ34">
        <v>0.83240000000000003</v>
      </c>
      <c r="BA34">
        <v>5.1231559999999998</v>
      </c>
      <c r="BB34">
        <v>91.678946361105133</v>
      </c>
      <c r="BC34">
        <v>387.05996035199956</v>
      </c>
    </row>
    <row r="35" spans="1:55">
      <c r="A35" s="36" t="s">
        <v>255</v>
      </c>
      <c r="B35" s="5">
        <f>Iq*1000</f>
        <v>3</v>
      </c>
      <c r="C35" s="34" t="s">
        <v>136</v>
      </c>
      <c r="D35" s="35" t="s">
        <v>265</v>
      </c>
      <c r="G35">
        <v>26</v>
      </c>
      <c r="H35">
        <f t="shared" si="0"/>
        <v>7.8000000000000007</v>
      </c>
      <c r="I35">
        <f t="shared" si="1"/>
        <v>0.56439356745654012</v>
      </c>
      <c r="J35">
        <f t="shared" si="2"/>
        <v>9.6990711265035561</v>
      </c>
      <c r="K35">
        <f t="shared" si="13"/>
        <v>8.2872994229974939</v>
      </c>
      <c r="L35">
        <f t="shared" si="3"/>
        <v>2.2016094649547232E-2</v>
      </c>
      <c r="N35" s="48">
        <f t="shared" si="14"/>
        <v>2.2016094649547232E-2</v>
      </c>
      <c r="O35" s="9">
        <f t="shared" si="15"/>
        <v>2.7998806628880777</v>
      </c>
      <c r="P35" s="9">
        <f t="shared" si="4"/>
        <v>1.2150964175942601E-2</v>
      </c>
      <c r="Q35" s="9">
        <f t="shared" si="16"/>
        <v>1.2150964175942601E-2</v>
      </c>
      <c r="R35">
        <f t="shared" si="17"/>
        <v>6.2259274846084001</v>
      </c>
      <c r="S35" s="114">
        <f t="shared" si="5"/>
        <v>7.7524346087204571E-2</v>
      </c>
      <c r="T35" s="110">
        <f t="shared" si="18"/>
        <v>7.7524346087204571E-2</v>
      </c>
      <c r="U35">
        <f t="shared" si="19"/>
        <v>6.2259274846084001</v>
      </c>
      <c r="V35">
        <f t="shared" si="6"/>
        <v>0.1511724748700489</v>
      </c>
      <c r="W35">
        <f t="shared" si="20"/>
        <v>0.22146975197541707</v>
      </c>
      <c r="X35">
        <f t="shared" si="21"/>
        <v>0</v>
      </c>
      <c r="Y35">
        <f t="shared" si="22"/>
        <v>0.384260138058302</v>
      </c>
      <c r="Z35">
        <f t="shared" si="23"/>
        <v>5.4696580041911504</v>
      </c>
      <c r="AA35">
        <f t="shared" si="7"/>
        <v>2.6925442814531086E-2</v>
      </c>
      <c r="AB35">
        <f t="shared" si="24"/>
        <v>0.25324370197630064</v>
      </c>
      <c r="AC35">
        <f t="shared" si="8"/>
        <v>0.28168604911223627</v>
      </c>
      <c r="AD35">
        <f t="shared" si="25"/>
        <v>0</v>
      </c>
      <c r="AE35">
        <f t="shared" si="26"/>
        <v>0.63797861400000011</v>
      </c>
      <c r="AF35">
        <f t="shared" si="9"/>
        <v>3.6000000000000004E-2</v>
      </c>
      <c r="AG35">
        <f t="shared" si="10"/>
        <v>0.26910000000000001</v>
      </c>
      <c r="AH35" s="9">
        <f t="shared" si="11"/>
        <v>0.22723009828009827</v>
      </c>
      <c r="AI35">
        <f t="shared" si="27"/>
        <v>0.30510000000000004</v>
      </c>
      <c r="AJ35" s="109">
        <f t="shared" si="28"/>
        <v>1.7207162060832326</v>
      </c>
      <c r="AK35" s="111">
        <f t="shared" si="29"/>
        <v>52.650000000000006</v>
      </c>
      <c r="AL35" s="10">
        <f t="shared" si="30"/>
        <v>0.96835215119180806</v>
      </c>
      <c r="AM35">
        <f t="shared" si="31"/>
        <v>19.213006902915101</v>
      </c>
      <c r="AN35">
        <f t="shared" si="32"/>
        <v>14.084302455611814</v>
      </c>
      <c r="AO35" s="10"/>
      <c r="AP35">
        <f t="shared" si="33"/>
        <v>96.835215119180802</v>
      </c>
      <c r="AY35">
        <v>9.9986049999999995</v>
      </c>
      <c r="AZ35">
        <v>1.0528999999999999</v>
      </c>
      <c r="BA35">
        <v>5.1218219999999999</v>
      </c>
      <c r="BB35">
        <v>92.889938966292178</v>
      </c>
      <c r="BC35">
        <v>412.77762981700039</v>
      </c>
    </row>
    <row r="36" spans="1:55">
      <c r="A36" s="38" t="s">
        <v>129</v>
      </c>
      <c r="B36" s="28" t="s">
        <v>206</v>
      </c>
      <c r="C36" s="38" t="s">
        <v>149</v>
      </c>
      <c r="D36" s="30" t="s">
        <v>193</v>
      </c>
      <c r="G36">
        <v>27</v>
      </c>
      <c r="H36">
        <f t="shared" si="0"/>
        <v>8.1000000000000014</v>
      </c>
      <c r="I36">
        <f t="shared" si="1"/>
        <v>0.56446654475312508</v>
      </c>
      <c r="J36">
        <f t="shared" si="2"/>
        <v>9.7003252371649982</v>
      </c>
      <c r="K36">
        <f t="shared" si="13"/>
        <v>8.5703768378194258</v>
      </c>
      <c r="L36">
        <f t="shared" si="3"/>
        <v>2.3548714864402933E-2</v>
      </c>
      <c r="N36" s="48">
        <f t="shared" si="14"/>
        <v>2.3548714864402933E-2</v>
      </c>
      <c r="O36" s="9">
        <f t="shared" si="15"/>
        <v>2.8002426934520663</v>
      </c>
      <c r="P36" s="9">
        <f t="shared" si="4"/>
        <v>1.2154106670459108E-2</v>
      </c>
      <c r="Q36" s="9">
        <f t="shared" si="16"/>
        <v>1.2154106670459108E-2</v>
      </c>
      <c r="R36">
        <f t="shared" si="17"/>
        <v>6.4390088447241931</v>
      </c>
      <c r="S36" s="114">
        <f t="shared" si="5"/>
        <v>8.2921669804872783E-2</v>
      </c>
      <c r="T36" s="110">
        <f t="shared" si="18"/>
        <v>8.2921669804872783E-2</v>
      </c>
      <c r="U36">
        <f t="shared" si="19"/>
        <v>6.4390088447241931</v>
      </c>
      <c r="V36">
        <f t="shared" si="6"/>
        <v>0.16169725611950192</v>
      </c>
      <c r="W36">
        <f t="shared" si="20"/>
        <v>0.22998781935908696</v>
      </c>
      <c r="X36">
        <f t="shared" si="21"/>
        <v>0</v>
      </c>
      <c r="Y36">
        <f t="shared" si="22"/>
        <v>0.40477528610006214</v>
      </c>
      <c r="Z36">
        <f t="shared" si="23"/>
        <v>5.6560166406929282</v>
      </c>
      <c r="AA36">
        <f t="shared" si="7"/>
        <v>2.8791471815815785E-2</v>
      </c>
      <c r="AB36">
        <f t="shared" si="24"/>
        <v>0.25926225562402166</v>
      </c>
      <c r="AC36">
        <f t="shared" si="8"/>
        <v>0.28972203218465048</v>
      </c>
      <c r="AD36">
        <f t="shared" si="25"/>
        <v>0</v>
      </c>
      <c r="AE36">
        <f t="shared" si="26"/>
        <v>0.6379162530000001</v>
      </c>
      <c r="AF36">
        <f t="shared" si="9"/>
        <v>3.6000000000000004E-2</v>
      </c>
      <c r="AG36">
        <f t="shared" si="10"/>
        <v>0.26910000000000001</v>
      </c>
      <c r="AH36" s="9">
        <f t="shared" si="11"/>
        <v>0.22723009828009827</v>
      </c>
      <c r="AI36">
        <f t="shared" si="27"/>
        <v>0.30510000000000004</v>
      </c>
      <c r="AJ36" s="109">
        <f t="shared" si="28"/>
        <v>1.7561380626244478</v>
      </c>
      <c r="AK36" s="111">
        <f t="shared" si="29"/>
        <v>54.675000000000011</v>
      </c>
      <c r="AL36" s="10">
        <f t="shared" si="30"/>
        <v>0.9688799814620862</v>
      </c>
      <c r="AM36">
        <f t="shared" si="31"/>
        <v>20.238764305003105</v>
      </c>
      <c r="AN36">
        <f t="shared" si="32"/>
        <v>14.486101609232524</v>
      </c>
      <c r="AO36" s="10"/>
      <c r="AP36">
        <f t="shared" si="33"/>
        <v>96.887998146208616</v>
      </c>
      <c r="AY36">
        <v>9.9986669999999993</v>
      </c>
      <c r="AZ36">
        <v>1.3092999999999999</v>
      </c>
      <c r="BA36">
        <v>5.1195649999999997</v>
      </c>
      <c r="BB36">
        <v>93.690364214923264</v>
      </c>
      <c r="BC36">
        <v>451.42072788069993</v>
      </c>
    </row>
    <row r="37" spans="1:55">
      <c r="A37" s="37" t="s">
        <v>143</v>
      </c>
      <c r="B37" s="5">
        <f>RdsonTop*1000</f>
        <v>3.9</v>
      </c>
      <c r="C37" s="34" t="s">
        <v>134</v>
      </c>
      <c r="D37" s="35" t="s">
        <v>199</v>
      </c>
      <c r="G37">
        <v>28</v>
      </c>
      <c r="H37">
        <f t="shared" si="0"/>
        <v>8.4</v>
      </c>
      <c r="I37">
        <f t="shared" si="1"/>
        <v>0.56453953301934057</v>
      </c>
      <c r="J37">
        <f t="shared" si="2"/>
        <v>9.7015795363389152</v>
      </c>
      <c r="K37">
        <f t="shared" si="13"/>
        <v>8.8545687147930874</v>
      </c>
      <c r="L37">
        <f t="shared" si="3"/>
        <v>2.5139542126486898E-2</v>
      </c>
      <c r="N37" s="48">
        <f t="shared" si="14"/>
        <v>2.5139542126486898E-2</v>
      </c>
      <c r="O37" s="9">
        <f t="shared" si="15"/>
        <v>2.8006047784349191</v>
      </c>
      <c r="P37" s="9">
        <f t="shared" si="4"/>
        <v>1.2157250043738379E-2</v>
      </c>
      <c r="Q37" s="9">
        <f t="shared" si="16"/>
        <v>1.2157250043738379E-2</v>
      </c>
      <c r="R37">
        <f t="shared" si="17"/>
        <v>6.6529550994034112</v>
      </c>
      <c r="S37" s="114">
        <f t="shared" si="5"/>
        <v>8.8523623109355715E-2</v>
      </c>
      <c r="T37" s="110">
        <f t="shared" si="18"/>
        <v>8.8523623109355715E-2</v>
      </c>
      <c r="U37">
        <f t="shared" si="19"/>
        <v>6.6529550994034112</v>
      </c>
      <c r="V37">
        <f t="shared" si="6"/>
        <v>0.17262106506324362</v>
      </c>
      <c r="W37">
        <f t="shared" si="20"/>
        <v>0.23850588674275686</v>
      </c>
      <c r="X37">
        <f t="shared" si="21"/>
        <v>0</v>
      </c>
      <c r="Y37">
        <f t="shared" si="22"/>
        <v>0.4258283401273808</v>
      </c>
      <c r="Z37">
        <f t="shared" si="23"/>
        <v>5.8430792883816549</v>
      </c>
      <c r="AA37">
        <f t="shared" si="7"/>
        <v>3.0727418013283197E-2</v>
      </c>
      <c r="AB37">
        <f t="shared" si="24"/>
        <v>0.26528081115875257</v>
      </c>
      <c r="AC37">
        <f t="shared" si="8"/>
        <v>0.29783859135142432</v>
      </c>
      <c r="AD37">
        <f t="shared" si="25"/>
        <v>0</v>
      </c>
      <c r="AE37">
        <f t="shared" si="26"/>
        <v>0.63785389200000009</v>
      </c>
      <c r="AF37">
        <f t="shared" si="9"/>
        <v>3.6000000000000004E-2</v>
      </c>
      <c r="AG37">
        <f t="shared" si="10"/>
        <v>0.26910000000000001</v>
      </c>
      <c r="AH37" s="9">
        <f t="shared" si="11"/>
        <v>0.22723009828009827</v>
      </c>
      <c r="AI37">
        <f t="shared" si="27"/>
        <v>0.30510000000000004</v>
      </c>
      <c r="AJ37" s="109">
        <f t="shared" si="28"/>
        <v>1.7924412387583861</v>
      </c>
      <c r="AK37" s="111">
        <f t="shared" si="29"/>
        <v>56.7</v>
      </c>
      <c r="AL37" s="10">
        <f t="shared" si="30"/>
        <v>0.9693560193283457</v>
      </c>
      <c r="AM37">
        <f t="shared" si="31"/>
        <v>21.291417006369041</v>
      </c>
      <c r="AN37">
        <f t="shared" si="32"/>
        <v>14.891929567571216</v>
      </c>
      <c r="AO37" s="10"/>
      <c r="AP37">
        <f t="shared" si="33"/>
        <v>96.935601932834572</v>
      </c>
      <c r="AY37">
        <v>9.9985429999999997</v>
      </c>
      <c r="AZ37">
        <v>1.6020000000000001</v>
      </c>
      <c r="BA37">
        <v>5.1182809999999996</v>
      </c>
      <c r="BB37">
        <v>93.864473327748414</v>
      </c>
      <c r="BC37">
        <v>535.96589716749952</v>
      </c>
    </row>
    <row r="38" spans="1:55">
      <c r="A38" s="36" t="s">
        <v>153</v>
      </c>
      <c r="B38" s="5">
        <f>RdsonTopTc*1000000</f>
        <v>4000</v>
      </c>
      <c r="C38" s="34" t="s">
        <v>155</v>
      </c>
      <c r="D38" s="35" t="s">
        <v>198</v>
      </c>
      <c r="G38">
        <v>29</v>
      </c>
      <c r="H38">
        <f t="shared" si="0"/>
        <v>8.6999999999999993</v>
      </c>
      <c r="I38">
        <f t="shared" si="1"/>
        <v>0.56461253225766039</v>
      </c>
      <c r="J38">
        <f t="shared" si="2"/>
        <v>9.7028340240678155</v>
      </c>
      <c r="K38">
        <f t="shared" si="13"/>
        <v>9.1397710953220255</v>
      </c>
      <c r="L38">
        <f t="shared" si="3"/>
        <v>2.6788620659153127E-2</v>
      </c>
      <c r="N38" s="48">
        <f t="shared" si="14"/>
        <v>2.6788620659153127E-2</v>
      </c>
      <c r="O38" s="9">
        <f t="shared" si="15"/>
        <v>2.8009669178489065</v>
      </c>
      <c r="P38" s="9">
        <f t="shared" si="4"/>
        <v>1.2160394296070205E-2</v>
      </c>
      <c r="Q38" s="9">
        <f t="shared" si="16"/>
        <v>1.2160394296070205E-2</v>
      </c>
      <c r="R38">
        <f t="shared" si="17"/>
        <v>6.8676882993764723</v>
      </c>
      <c r="S38" s="114">
        <f t="shared" si="5"/>
        <v>9.4330285154785004E-2</v>
      </c>
      <c r="T38" s="110">
        <f t="shared" si="18"/>
        <v>9.4330285154785004E-2</v>
      </c>
      <c r="U38">
        <f t="shared" si="19"/>
        <v>6.8676882993764723</v>
      </c>
      <c r="V38">
        <f t="shared" si="6"/>
        <v>0.18394405605183076</v>
      </c>
      <c r="W38">
        <f t="shared" si="20"/>
        <v>0.24702395412642669</v>
      </c>
      <c r="X38">
        <f t="shared" si="21"/>
        <v>0</v>
      </c>
      <c r="Y38">
        <f t="shared" si="22"/>
        <v>0.44742836793643315</v>
      </c>
      <c r="Z38">
        <f t="shared" si="23"/>
        <v>6.0307771553500036</v>
      </c>
      <c r="AA38">
        <f t="shared" si="7"/>
        <v>3.2733245787742338E-2</v>
      </c>
      <c r="AB38">
        <f t="shared" si="24"/>
        <v>0.27129936858091885</v>
      </c>
      <c r="AC38">
        <f t="shared" si="8"/>
        <v>0.30603612551192322</v>
      </c>
      <c r="AD38">
        <f t="shared" si="25"/>
        <v>0</v>
      </c>
      <c r="AE38">
        <f t="shared" si="26"/>
        <v>0.63779153100000008</v>
      </c>
      <c r="AF38">
        <f t="shared" si="9"/>
        <v>3.6000000000000004E-2</v>
      </c>
      <c r="AG38">
        <f t="shared" si="10"/>
        <v>0.26910000000000001</v>
      </c>
      <c r="AH38" s="9">
        <f t="shared" si="11"/>
        <v>0.22723009828009827</v>
      </c>
      <c r="AI38">
        <f t="shared" si="27"/>
        <v>0.30510000000000004</v>
      </c>
      <c r="AJ38" s="109">
        <f t="shared" si="28"/>
        <v>1.8296353245583648</v>
      </c>
      <c r="AK38" s="111">
        <f t="shared" si="29"/>
        <v>58.724999999999994</v>
      </c>
      <c r="AL38" s="10">
        <f t="shared" si="30"/>
        <v>0.96978537952128752</v>
      </c>
      <c r="AM38">
        <f t="shared" si="31"/>
        <v>22.371418396821657</v>
      </c>
      <c r="AN38">
        <f t="shared" si="32"/>
        <v>15.30180627559616</v>
      </c>
      <c r="AO38" s="10"/>
      <c r="AP38">
        <f t="shared" si="33"/>
        <v>96.978537952128747</v>
      </c>
      <c r="AY38">
        <v>9.9985429999999997</v>
      </c>
      <c r="AZ38">
        <v>1.9350000000000001</v>
      </c>
      <c r="BA38">
        <v>5.117146</v>
      </c>
      <c r="BB38">
        <v>94.224527198076927</v>
      </c>
      <c r="BC38">
        <v>606.92116405899924</v>
      </c>
    </row>
    <row r="39" spans="1:55">
      <c r="A39" s="37" t="s">
        <v>142</v>
      </c>
      <c r="B39" s="5">
        <f>QgTop*1000000000</f>
        <v>10.5</v>
      </c>
      <c r="C39" s="34" t="s">
        <v>137</v>
      </c>
      <c r="D39" s="35" t="s">
        <v>185</v>
      </c>
      <c r="G39">
        <v>30</v>
      </c>
      <c r="H39">
        <f t="shared" si="0"/>
        <v>9</v>
      </c>
      <c r="I39">
        <f t="shared" si="1"/>
        <v>0.56468554247055869</v>
      </c>
      <c r="J39">
        <f t="shared" si="2"/>
        <v>9.7040887003942196</v>
      </c>
      <c r="K39">
        <f t="shared" si="13"/>
        <v>9.4258922544283958</v>
      </c>
      <c r="L39">
        <f t="shared" si="3"/>
        <v>2.8495996322848136E-2</v>
      </c>
      <c r="N39" s="48">
        <f t="shared" si="14"/>
        <v>2.8495996322848136E-2</v>
      </c>
      <c r="O39" s="9">
        <f t="shared" si="15"/>
        <v>2.8013291117063042</v>
      </c>
      <c r="P39" s="9">
        <f t="shared" si="4"/>
        <v>1.2163539427744507E-2</v>
      </c>
      <c r="Q39" s="9">
        <f t="shared" si="16"/>
        <v>1.2163539427744507E-2</v>
      </c>
      <c r="R39">
        <f t="shared" si="17"/>
        <v>7.0831396682224321</v>
      </c>
      <c r="S39" s="114">
        <f t="shared" si="5"/>
        <v>0.10034173511909238</v>
      </c>
      <c r="T39" s="110">
        <f t="shared" si="18"/>
        <v>0.10034173511909238</v>
      </c>
      <c r="U39">
        <f t="shared" si="19"/>
        <v>7.0831396682224321</v>
      </c>
      <c r="V39">
        <f t="shared" si="6"/>
        <v>0.19566638348223012</v>
      </c>
      <c r="W39">
        <f t="shared" si="20"/>
        <v>0.25554202151009658</v>
      </c>
      <c r="X39">
        <f t="shared" si="21"/>
        <v>0</v>
      </c>
      <c r="Y39">
        <f t="shared" si="22"/>
        <v>0.46958479677704729</v>
      </c>
      <c r="Z39">
        <f t="shared" si="23"/>
        <v>6.21904954414636</v>
      </c>
      <c r="AA39">
        <f t="shared" si="7"/>
        <v>3.4808919509292338E-2</v>
      </c>
      <c r="AB39">
        <f t="shared" si="24"/>
        <v>0.27731792789094617</v>
      </c>
      <c r="AC39">
        <f t="shared" si="8"/>
        <v>0.31431504079133155</v>
      </c>
      <c r="AD39">
        <f t="shared" si="25"/>
        <v>0</v>
      </c>
      <c r="AE39">
        <f t="shared" si="26"/>
        <v>0.63772917000000007</v>
      </c>
      <c r="AF39">
        <f t="shared" si="9"/>
        <v>3.6000000000000004E-2</v>
      </c>
      <c r="AG39">
        <f t="shared" si="10"/>
        <v>0.26910000000000001</v>
      </c>
      <c r="AH39" s="9">
        <f t="shared" si="11"/>
        <v>0.22723009828009827</v>
      </c>
      <c r="AI39">
        <f t="shared" si="27"/>
        <v>0.30510000000000004</v>
      </c>
      <c r="AJ39" s="109">
        <f t="shared" si="28"/>
        <v>1.8677302784380641</v>
      </c>
      <c r="AK39" s="111">
        <f t="shared" si="29"/>
        <v>60.75</v>
      </c>
      <c r="AL39" s="10">
        <f t="shared" si="30"/>
        <v>0.97017250114092357</v>
      </c>
      <c r="AM39">
        <f t="shared" si="31"/>
        <v>23.479239838852365</v>
      </c>
      <c r="AN39">
        <f t="shared" si="32"/>
        <v>15.715752039566578</v>
      </c>
      <c r="AO39" s="10"/>
      <c r="AP39">
        <f t="shared" si="33"/>
        <v>97.017250114092363</v>
      </c>
      <c r="AY39">
        <v>9.9985060000000008</v>
      </c>
      <c r="AZ39">
        <v>2.31</v>
      </c>
      <c r="BA39">
        <v>5.1166349999999996</v>
      </c>
      <c r="BB39">
        <v>94.492663502717292</v>
      </c>
      <c r="BC39">
        <v>688.87413060200208</v>
      </c>
    </row>
    <row r="40" spans="1:55">
      <c r="A40" s="37" t="s">
        <v>224</v>
      </c>
      <c r="B40" s="5">
        <f>QgdTop*1000000000</f>
        <v>2.2999999999999998</v>
      </c>
      <c r="C40" s="43" t="s">
        <v>137</v>
      </c>
      <c r="D40" s="43" t="s">
        <v>225</v>
      </c>
      <c r="G40">
        <v>31</v>
      </c>
      <c r="H40">
        <f t="shared" si="0"/>
        <v>9.3000000000000007</v>
      </c>
      <c r="I40">
        <f t="shared" si="1"/>
        <v>0.5647585636605108</v>
      </c>
      <c r="J40">
        <f t="shared" si="2"/>
        <v>9.7053435653606623</v>
      </c>
      <c r="K40">
        <f t="shared" si="13"/>
        <v>9.7128509963247822</v>
      </c>
      <c r="L40">
        <f t="shared" si="3"/>
        <v>3.0261716618307295E-2</v>
      </c>
      <c r="N40" s="48">
        <f t="shared" si="14"/>
        <v>3.0261716618307295E-2</v>
      </c>
      <c r="O40" s="9">
        <f t="shared" si="15"/>
        <v>2.8016913600193907</v>
      </c>
      <c r="P40" s="9">
        <f t="shared" si="4"/>
        <v>1.216668543905132E-2</v>
      </c>
      <c r="Q40" s="9">
        <f t="shared" si="16"/>
        <v>1.216668543905132E-2</v>
      </c>
      <c r="R40">
        <f t="shared" si="17"/>
        <v>7.2992483244515745</v>
      </c>
      <c r="S40" s="114">
        <f t="shared" si="5"/>
        <v>0.10655805220401825</v>
      </c>
      <c r="T40" s="110">
        <f t="shared" si="18"/>
        <v>0.10655805220401825</v>
      </c>
      <c r="U40">
        <f t="shared" si="19"/>
        <v>7.2992483244515745</v>
      </c>
      <c r="V40">
        <f t="shared" si="6"/>
        <v>0.20778820179783555</v>
      </c>
      <c r="W40">
        <f t="shared" si="20"/>
        <v>0.26406008889376648</v>
      </c>
      <c r="X40">
        <f t="shared" si="21"/>
        <v>0</v>
      </c>
      <c r="Y40">
        <f t="shared" si="22"/>
        <v>0.49230742563237667</v>
      </c>
      <c r="Z40">
        <f t="shared" si="23"/>
        <v>6.4078427239436984</v>
      </c>
      <c r="AA40">
        <f t="shared" si="7"/>
        <v>3.6954403537318381E-2</v>
      </c>
      <c r="AB40">
        <f t="shared" si="24"/>
        <v>0.28333648908926029</v>
      </c>
      <c r="AC40">
        <f t="shared" si="8"/>
        <v>0.32267575060650261</v>
      </c>
      <c r="AD40">
        <f t="shared" si="25"/>
        <v>0</v>
      </c>
      <c r="AE40">
        <f t="shared" si="26"/>
        <v>0.63766680900000006</v>
      </c>
      <c r="AF40">
        <f t="shared" si="9"/>
        <v>3.6000000000000004E-2</v>
      </c>
      <c r="AG40">
        <f t="shared" si="10"/>
        <v>0.26910000000000001</v>
      </c>
      <c r="AH40" s="9">
        <f t="shared" si="11"/>
        <v>0.22723009828009827</v>
      </c>
      <c r="AI40">
        <f t="shared" si="27"/>
        <v>0.30510000000000004</v>
      </c>
      <c r="AJ40" s="109">
        <f t="shared" si="28"/>
        <v>1.9067364395002562</v>
      </c>
      <c r="AK40" s="111">
        <f t="shared" si="29"/>
        <v>62.775000000000006</v>
      </c>
      <c r="AL40" s="10">
        <f t="shared" si="30"/>
        <v>0.9705212546159192</v>
      </c>
      <c r="AM40">
        <f t="shared" si="31"/>
        <v>24.615371281618835</v>
      </c>
      <c r="AN40">
        <f t="shared" si="32"/>
        <v>16.133787530325129</v>
      </c>
      <c r="AO40" s="10"/>
      <c r="AP40">
        <f t="shared" si="33"/>
        <v>97.052125461591913</v>
      </c>
      <c r="AY40">
        <v>9.9984319999999993</v>
      </c>
      <c r="AZ40">
        <v>2.7269999999999999</v>
      </c>
      <c r="BA40">
        <v>5.115812</v>
      </c>
      <c r="BB40">
        <v>94.558770424517263</v>
      </c>
      <c r="BC40">
        <v>802.77694931200062</v>
      </c>
    </row>
    <row r="41" spans="1:55">
      <c r="A41" s="37" t="s">
        <v>242</v>
      </c>
      <c r="B41" s="40">
        <f>QgsTop*1000000000</f>
        <v>3.2</v>
      </c>
      <c r="C41" s="44" t="s">
        <v>137</v>
      </c>
      <c r="D41" s="43"/>
      <c r="G41">
        <v>32</v>
      </c>
      <c r="H41">
        <f t="shared" si="0"/>
        <v>9.6</v>
      </c>
      <c r="I41">
        <f t="shared" si="1"/>
        <v>0.56483159582999198</v>
      </c>
      <c r="J41">
        <f t="shared" si="2"/>
        <v>9.706598619009684</v>
      </c>
      <c r="K41">
        <f t="shared" si="13"/>
        <v>10.000575219916772</v>
      </c>
      <c r="L41">
        <f t="shared" si="3"/>
        <v>3.2085830689867471E-2</v>
      </c>
      <c r="N41" s="48">
        <f t="shared" si="14"/>
        <v>3.2085830689867471E-2</v>
      </c>
      <c r="O41" s="9">
        <f t="shared" si="15"/>
        <v>2.8020536628004455</v>
      </c>
      <c r="P41" s="9">
        <f t="shared" si="4"/>
        <v>1.216983233028076E-2</v>
      </c>
      <c r="Q41" s="9">
        <f t="shared" si="16"/>
        <v>1.216983233028076E-2</v>
      </c>
      <c r="R41">
        <f t="shared" si="17"/>
        <v>7.5159602059590753</v>
      </c>
      <c r="S41" s="114">
        <f t="shared" si="5"/>
        <v>0.11297931563512077</v>
      </c>
      <c r="T41" s="110">
        <f t="shared" si="18"/>
        <v>0.11297931563512077</v>
      </c>
      <c r="U41">
        <f t="shared" si="19"/>
        <v>7.5159602059590753</v>
      </c>
      <c r="V41">
        <f t="shared" si="6"/>
        <v>0.22030966548848549</v>
      </c>
      <c r="W41">
        <f t="shared" si="20"/>
        <v>0.27257815627743637</v>
      </c>
      <c r="X41">
        <f t="shared" si="21"/>
        <v>0</v>
      </c>
      <c r="Y41">
        <f t="shared" si="22"/>
        <v>0.51560643814835661</v>
      </c>
      <c r="Z41">
        <f t="shared" si="23"/>
        <v>6.5971089813381898</v>
      </c>
      <c r="AA41">
        <f t="shared" si="7"/>
        <v>3.9169662220487705E-2</v>
      </c>
      <c r="AB41">
        <f t="shared" si="24"/>
        <v>0.28935505217628699</v>
      </c>
      <c r="AC41">
        <f t="shared" si="8"/>
        <v>0.33111867573344955</v>
      </c>
      <c r="AD41">
        <f t="shared" si="25"/>
        <v>0</v>
      </c>
      <c r="AE41">
        <f t="shared" si="26"/>
        <v>0.63760444800000005</v>
      </c>
      <c r="AF41">
        <f t="shared" si="9"/>
        <v>3.6000000000000004E-2</v>
      </c>
      <c r="AG41">
        <f t="shared" si="10"/>
        <v>0.26910000000000001</v>
      </c>
      <c r="AH41" s="9">
        <f t="shared" si="11"/>
        <v>0.22723009828009827</v>
      </c>
      <c r="AI41">
        <f t="shared" si="27"/>
        <v>0.30510000000000004</v>
      </c>
      <c r="AJ41" s="109">
        <f t="shared" si="28"/>
        <v>1.9466645405370753</v>
      </c>
      <c r="AK41" s="111">
        <f t="shared" si="29"/>
        <v>64.8</v>
      </c>
      <c r="AL41" s="10">
        <f t="shared" si="30"/>
        <v>0.97083502892710383</v>
      </c>
      <c r="AM41">
        <f t="shared" si="31"/>
        <v>25.780321907417829</v>
      </c>
      <c r="AN41">
        <f t="shared" si="32"/>
        <v>16.555933786672476</v>
      </c>
      <c r="AO41" s="10"/>
      <c r="AP41">
        <f t="shared" si="33"/>
        <v>97.083502892710385</v>
      </c>
      <c r="AY41">
        <v>9.9985180000000007</v>
      </c>
      <c r="AZ41">
        <v>3.1859999999999999</v>
      </c>
      <c r="BA41">
        <v>5.1148889999999998</v>
      </c>
      <c r="BB41">
        <v>94.58411932633652</v>
      </c>
      <c r="BC41">
        <v>933.10990806000302</v>
      </c>
    </row>
    <row r="42" spans="1:55">
      <c r="A42" s="37" t="s">
        <v>172</v>
      </c>
      <c r="B42" s="5">
        <f>RGateTop</f>
        <v>0.6</v>
      </c>
      <c r="C42" s="34" t="s">
        <v>25</v>
      </c>
      <c r="D42" s="35" t="s">
        <v>186</v>
      </c>
      <c r="G42">
        <v>33</v>
      </c>
      <c r="H42">
        <f t="shared" si="0"/>
        <v>9.9</v>
      </c>
      <c r="I42">
        <f t="shared" si="1"/>
        <v>0.56490463898147913</v>
      </c>
      <c r="J42">
        <f t="shared" si="2"/>
        <v>9.7078538613838496</v>
      </c>
      <c r="K42">
        <f t="shared" si="13"/>
        <v>10.289000707041417</v>
      </c>
      <c r="L42">
        <f t="shared" si="3"/>
        <v>3.3968389328896349E-2</v>
      </c>
      <c r="N42" s="48">
        <f t="shared" si="14"/>
        <v>3.3968389328896349E-2</v>
      </c>
      <c r="O42" s="9">
        <f t="shared" si="15"/>
        <v>2.8024160200617567</v>
      </c>
      <c r="P42" s="9">
        <f t="shared" si="4"/>
        <v>1.2172980101723102E-2</v>
      </c>
      <c r="Q42" s="9">
        <f t="shared" si="16"/>
        <v>1.2172980101723102E-2</v>
      </c>
      <c r="R42">
        <f t="shared" si="17"/>
        <v>7.7332271614696921</v>
      </c>
      <c r="S42" s="114">
        <f t="shared" si="5"/>
        <v>0.11960560466178519</v>
      </c>
      <c r="T42" s="110">
        <f t="shared" si="18"/>
        <v>0.11960560466178519</v>
      </c>
      <c r="U42">
        <f t="shared" si="19"/>
        <v>7.7332271614696921</v>
      </c>
      <c r="V42">
        <f t="shared" si="6"/>
        <v>0.2332309290904811</v>
      </c>
      <c r="W42">
        <f t="shared" si="20"/>
        <v>0.28109622366110626</v>
      </c>
      <c r="X42">
        <f t="shared" si="21"/>
        <v>0</v>
      </c>
      <c r="Y42">
        <f t="shared" si="22"/>
        <v>0.53949241624731326</v>
      </c>
      <c r="Z42">
        <f t="shared" si="23"/>
        <v>6.786805818542784</v>
      </c>
      <c r="AA42">
        <f t="shared" si="7"/>
        <v>4.1454659896745572E-2</v>
      </c>
      <c r="AB42">
        <f t="shared" si="24"/>
        <v>0.29537361715245236</v>
      </c>
      <c r="AC42">
        <f t="shared" ref="AC42:AC73" si="34">(AB42+AA42*(1+RdsonBotTc*Ta-RdsonBotTc*25))/(1-AA42*RdsonBotTc*ThetaJaBot)</f>
        <v>0.33964424437650093</v>
      </c>
      <c r="AD42">
        <f t="shared" si="25"/>
        <v>0</v>
      </c>
      <c r="AE42">
        <f t="shared" si="26"/>
        <v>0.63754208700000004</v>
      </c>
      <c r="AF42">
        <f t="shared" si="9"/>
        <v>3.6000000000000004E-2</v>
      </c>
      <c r="AG42">
        <f t="shared" si="10"/>
        <v>0.26910000000000001</v>
      </c>
      <c r="AH42" s="9">
        <f t="shared" si="11"/>
        <v>0.22723009828009827</v>
      </c>
      <c r="AI42">
        <f t="shared" si="27"/>
        <v>0.30510000000000004</v>
      </c>
      <c r="AJ42" s="109">
        <f t="shared" si="28"/>
        <v>1.987525721716219</v>
      </c>
      <c r="AK42" s="111">
        <f t="shared" si="29"/>
        <v>66.825000000000003</v>
      </c>
      <c r="AL42" s="10">
        <f t="shared" si="30"/>
        <v>0.97111680321466542</v>
      </c>
      <c r="AM42">
        <f t="shared" si="31"/>
        <v>26.974620812365664</v>
      </c>
      <c r="AN42">
        <f t="shared" si="32"/>
        <v>16.982212218825048</v>
      </c>
      <c r="AO42" s="10"/>
      <c r="AP42">
        <f t="shared" si="33"/>
        <v>97.111680321466537</v>
      </c>
      <c r="AY42">
        <v>9.9984190000000002</v>
      </c>
      <c r="AZ42">
        <v>3.6920000000000002</v>
      </c>
      <c r="BA42">
        <v>5.1137540000000001</v>
      </c>
      <c r="BB42">
        <v>94.441363374789603</v>
      </c>
      <c r="BC42">
        <v>1111.2391205219994</v>
      </c>
    </row>
    <row r="43" spans="1:55">
      <c r="A43" s="37" t="s">
        <v>141</v>
      </c>
      <c r="B43" s="5">
        <f>GmTop</f>
        <v>90</v>
      </c>
      <c r="C43" s="34" t="s">
        <v>138</v>
      </c>
      <c r="D43" s="35" t="s">
        <v>187</v>
      </c>
      <c r="G43">
        <v>34</v>
      </c>
      <c r="H43">
        <f t="shared" si="0"/>
        <v>10.200000000000001</v>
      </c>
      <c r="I43">
        <f t="shared" si="1"/>
        <v>0.56497769311744939</v>
      </c>
      <c r="J43">
        <f t="shared" si="2"/>
        <v>9.7091092925257279</v>
      </c>
      <c r="K43">
        <f t="shared" si="13"/>
        <v>10.578070095147357</v>
      </c>
      <c r="L43">
        <f t="shared" si="3"/>
        <v>3.5909444977338834E-2</v>
      </c>
      <c r="N43" s="48">
        <f t="shared" si="14"/>
        <v>3.5909444977338834E-2</v>
      </c>
      <c r="O43" s="9">
        <f t="shared" si="15"/>
        <v>2.802778431815613</v>
      </c>
      <c r="P43" s="9">
        <f t="shared" si="4"/>
        <v>1.2176128753668719E-2</v>
      </c>
      <c r="Q43" s="9">
        <f t="shared" si="16"/>
        <v>1.2176128753668719E-2</v>
      </c>
      <c r="R43">
        <f t="shared" si="17"/>
        <v>7.9510061802652432</v>
      </c>
      <c r="S43" s="114">
        <f t="shared" si="5"/>
        <v>0.1264369985572322</v>
      </c>
      <c r="T43" s="110">
        <f t="shared" si="18"/>
        <v>0.1264369985572322</v>
      </c>
      <c r="U43">
        <f t="shared" si="19"/>
        <v>7.9510061802652432</v>
      </c>
      <c r="V43">
        <f t="shared" si="6"/>
        <v>0.24655214718660276</v>
      </c>
      <c r="W43">
        <f t="shared" si="20"/>
        <v>0.28961429104477615</v>
      </c>
      <c r="X43">
        <f t="shared" si="21"/>
        <v>0</v>
      </c>
      <c r="Y43">
        <f t="shared" si="22"/>
        <v>0.56397635446241512</v>
      </c>
      <c r="Z43">
        <f t="shared" si="23"/>
        <v>6.9768952736324437</v>
      </c>
      <c r="AA43">
        <f t="shared" si="7"/>
        <v>4.3809360893311257E-2</v>
      </c>
      <c r="AB43">
        <f t="shared" si="24"/>
        <v>0.30139218401818263</v>
      </c>
      <c r="AC43">
        <f t="shared" si="34"/>
        <v>0.34825289223914269</v>
      </c>
      <c r="AD43">
        <f t="shared" si="25"/>
        <v>0</v>
      </c>
      <c r="AE43">
        <f t="shared" si="26"/>
        <v>0.63747972600000002</v>
      </c>
      <c r="AF43">
        <f t="shared" si="9"/>
        <v>3.6000000000000004E-2</v>
      </c>
      <c r="AG43">
        <f t="shared" si="10"/>
        <v>0.26910000000000001</v>
      </c>
      <c r="AH43" s="9">
        <f t="shared" si="11"/>
        <v>0.22723009828009827</v>
      </c>
      <c r="AI43">
        <f t="shared" si="27"/>
        <v>0.30510000000000004</v>
      </c>
      <c r="AJ43" s="109">
        <f t="shared" si="28"/>
        <v>2.0293315449897973</v>
      </c>
      <c r="AK43" s="111">
        <f t="shared" si="29"/>
        <v>68.850000000000009</v>
      </c>
      <c r="AL43" s="10">
        <f t="shared" si="30"/>
        <v>0.97136920593414866</v>
      </c>
      <c r="AM43">
        <f t="shared" si="31"/>
        <v>28.198817723120754</v>
      </c>
      <c r="AN43">
        <f t="shared" si="32"/>
        <v>17.412644611957134</v>
      </c>
      <c r="AO43" s="10"/>
      <c r="AP43">
        <f t="shared" si="33"/>
        <v>97.136920593414871</v>
      </c>
      <c r="AY43">
        <v>9.998246</v>
      </c>
      <c r="AZ43">
        <v>4.2430000000000003</v>
      </c>
      <c r="BA43">
        <v>5.1120590000000004</v>
      </c>
      <c r="BB43">
        <v>94.267178615859891</v>
      </c>
      <c r="BC43">
        <v>1319.0970775599953</v>
      </c>
    </row>
    <row r="44" spans="1:55">
      <c r="A44" s="37" t="s">
        <v>174</v>
      </c>
      <c r="B44" s="5">
        <f>VthTop</f>
        <v>1.9</v>
      </c>
      <c r="C44" s="34" t="s">
        <v>0</v>
      </c>
      <c r="D44" s="35" t="s">
        <v>188</v>
      </c>
      <c r="G44">
        <v>35</v>
      </c>
      <c r="H44">
        <f t="shared" si="0"/>
        <v>10.5</v>
      </c>
      <c r="I44">
        <f t="shared" si="1"/>
        <v>0.56505075824038109</v>
      </c>
      <c r="J44">
        <f t="shared" si="2"/>
        <v>9.7103649124779103</v>
      </c>
      <c r="K44">
        <f t="shared" si="13"/>
        <v>10.867732003249658</v>
      </c>
      <c r="L44">
        <f t="shared" si="3"/>
        <v>3.790905173138099E-2</v>
      </c>
      <c r="N44" s="48">
        <f t="shared" si="14"/>
        <v>3.790905173138099E-2</v>
      </c>
      <c r="O44" s="9">
        <f t="shared" si="15"/>
        <v>2.8031408980743096</v>
      </c>
      <c r="P44" s="9">
        <f t="shared" si="4"/>
        <v>1.2179278286408112E-2</v>
      </c>
      <c r="Q44" s="9">
        <f t="shared" si="16"/>
        <v>1.2179278286408112E-2</v>
      </c>
      <c r="R44">
        <f t="shared" si="17"/>
        <v>8.1692587368294092</v>
      </c>
      <c r="S44" s="114">
        <f t="shared" si="5"/>
        <v>0.13347357661852727</v>
      </c>
      <c r="T44" s="110">
        <f t="shared" si="18"/>
        <v>0.13347357661852727</v>
      </c>
      <c r="U44">
        <f t="shared" si="19"/>
        <v>8.1692587368294092</v>
      </c>
      <c r="V44">
        <f t="shared" si="6"/>
        <v>0.26027347440612814</v>
      </c>
      <c r="W44">
        <f t="shared" si="20"/>
        <v>0.29813235842844604</v>
      </c>
      <c r="X44">
        <f t="shared" si="21"/>
        <v>0</v>
      </c>
      <c r="Y44">
        <f t="shared" si="22"/>
        <v>0.58906967503215579</v>
      </c>
      <c r="Z44">
        <f t="shared" si="23"/>
        <v>7.1673433422149664</v>
      </c>
      <c r="AA44">
        <f t="shared" si="7"/>
        <v>4.6233729526673886E-2</v>
      </c>
      <c r="AB44">
        <f t="shared" si="24"/>
        <v>0.30741075277390395</v>
      </c>
      <c r="AC44">
        <f t="shared" si="34"/>
        <v>0.35694506259657216</v>
      </c>
      <c r="AD44">
        <f t="shared" si="25"/>
        <v>0</v>
      </c>
      <c r="AE44">
        <f t="shared" si="26"/>
        <v>0.63741736500000001</v>
      </c>
      <c r="AF44">
        <f t="shared" si="9"/>
        <v>3.6000000000000004E-2</v>
      </c>
      <c r="AG44">
        <f t="shared" si="10"/>
        <v>0.26910000000000001</v>
      </c>
      <c r="AH44" s="9">
        <f t="shared" si="11"/>
        <v>0.22723009828009827</v>
      </c>
      <c r="AI44">
        <f t="shared" si="27"/>
        <v>0.30510000000000004</v>
      </c>
      <c r="AJ44" s="109">
        <f t="shared" si="28"/>
        <v>2.0720940092650446</v>
      </c>
      <c r="AK44" s="111">
        <f t="shared" si="29"/>
        <v>70.875</v>
      </c>
      <c r="AL44" s="10">
        <f t="shared" si="30"/>
        <v>0.9715945640137239</v>
      </c>
      <c r="AM44">
        <f t="shared" si="31"/>
        <v>29.453483751607791</v>
      </c>
      <c r="AN44">
        <f t="shared" si="32"/>
        <v>17.847253129828609</v>
      </c>
      <c r="AO44" s="10"/>
      <c r="AP44">
        <f t="shared" si="33"/>
        <v>97.159456401372395</v>
      </c>
      <c r="AY44">
        <v>9.9981469999999995</v>
      </c>
      <c r="AZ44">
        <v>4.8490000000000002</v>
      </c>
      <c r="BA44">
        <v>5.1107740000000002</v>
      </c>
      <c r="BB44">
        <v>93.953815994681278</v>
      </c>
      <c r="BC44">
        <v>1594.7983209009985</v>
      </c>
    </row>
    <row r="45" spans="1:55">
      <c r="A45" s="45" t="s">
        <v>241</v>
      </c>
      <c r="B45" s="5">
        <f>VspTop</f>
        <v>2.2333333333333334</v>
      </c>
      <c r="C45" s="46" t="s">
        <v>0</v>
      </c>
      <c r="G45">
        <v>36</v>
      </c>
      <c r="H45">
        <f t="shared" si="0"/>
        <v>10.799999999999999</v>
      </c>
      <c r="I45">
        <f t="shared" si="1"/>
        <v>0.56512383435275249</v>
      </c>
      <c r="J45">
        <f t="shared" si="2"/>
        <v>9.7116207212829817</v>
      </c>
      <c r="K45">
        <f t="shared" si="13"/>
        <v>11.157940285711534</v>
      </c>
      <c r="L45">
        <f t="shared" si="3"/>
        <v>3.9967265345232185E-2</v>
      </c>
      <c r="N45" s="48">
        <f t="shared" si="14"/>
        <v>3.9967265345232185E-2</v>
      </c>
      <c r="O45" s="9">
        <f t="shared" si="15"/>
        <v>2.8035034188501387</v>
      </c>
      <c r="P45" s="9">
        <f t="shared" si="4"/>
        <v>1.2182428700231845E-2</v>
      </c>
      <c r="Q45" s="9">
        <f t="shared" si="16"/>
        <v>1.2182428700231845E-2</v>
      </c>
      <c r="R45">
        <f t="shared" si="17"/>
        <v>8.3879502313315353</v>
      </c>
      <c r="S45" s="114">
        <f t="shared" si="5"/>
        <v>0.1407154181665895</v>
      </c>
      <c r="T45" s="110">
        <f t="shared" si="18"/>
        <v>0.1407154181665895</v>
      </c>
      <c r="U45">
        <f t="shared" si="19"/>
        <v>8.3879502313315353</v>
      </c>
      <c r="V45">
        <f t="shared" si="6"/>
        <v>0.27439506542484954</v>
      </c>
      <c r="W45">
        <f t="shared" si="20"/>
        <v>0.30665042581211593</v>
      </c>
      <c r="X45">
        <f t="shared" si="21"/>
        <v>0</v>
      </c>
      <c r="Y45">
        <f t="shared" si="22"/>
        <v>0.61478424379671892</v>
      </c>
      <c r="Z45">
        <f t="shared" si="23"/>
        <v>7.3581194836866883</v>
      </c>
      <c r="AA45">
        <f t="shared" si="7"/>
        <v>4.8727730102588691E-2</v>
      </c>
      <c r="AB45">
        <f t="shared" si="24"/>
        <v>0.31342932342004265</v>
      </c>
      <c r="AC45">
        <f t="shared" si="34"/>
        <v>0.36572120636998934</v>
      </c>
      <c r="AD45">
        <f t="shared" si="25"/>
        <v>0</v>
      </c>
      <c r="AE45">
        <f t="shared" si="26"/>
        <v>0.637355004</v>
      </c>
      <c r="AF45">
        <f t="shared" si="9"/>
        <v>3.6000000000000004E-2</v>
      </c>
      <c r="AG45">
        <f t="shared" si="10"/>
        <v>0.26910000000000001</v>
      </c>
      <c r="AH45" s="9">
        <f t="shared" si="11"/>
        <v>0.22723009828009827</v>
      </c>
      <c r="AI45">
        <f t="shared" si="27"/>
        <v>0.30510000000000004</v>
      </c>
      <c r="AJ45" s="109">
        <f t="shared" si="28"/>
        <v>2.1158255663787617</v>
      </c>
      <c r="AK45" s="111">
        <f t="shared" si="29"/>
        <v>72.899999999999991</v>
      </c>
      <c r="AL45" s="10">
        <f t="shared" si="30"/>
        <v>0.97179494392811094</v>
      </c>
      <c r="AM45">
        <f t="shared" si="31"/>
        <v>30.739212189835946</v>
      </c>
      <c r="AN45">
        <f t="shared" si="32"/>
        <v>18.286060318499466</v>
      </c>
      <c r="AO45" s="10"/>
      <c r="AP45">
        <f t="shared" si="33"/>
        <v>97.179494392811094</v>
      </c>
      <c r="AY45">
        <v>9.9979859999999992</v>
      </c>
      <c r="AZ45">
        <v>5.4960000000000004</v>
      </c>
      <c r="BA45">
        <v>5.1097890000000001</v>
      </c>
      <c r="BB45">
        <v>93.599771362833366</v>
      </c>
      <c r="BC45">
        <v>1920.3056923499939</v>
      </c>
    </row>
    <row r="46" spans="1:55">
      <c r="A46" s="154" t="s">
        <v>399</v>
      </c>
      <c r="B46" s="5">
        <f>VsdTop</f>
        <v>0.8</v>
      </c>
      <c r="C46" s="46" t="s">
        <v>0</v>
      </c>
      <c r="G46">
        <v>37</v>
      </c>
      <c r="H46">
        <f t="shared" si="0"/>
        <v>11.1</v>
      </c>
      <c r="I46">
        <f t="shared" si="1"/>
        <v>0.56519692145704337</v>
      </c>
      <c r="J46">
        <f t="shared" si="2"/>
        <v>9.7128767189835639</v>
      </c>
      <c r="K46">
        <f t="shared" si="13"/>
        <v>11.448653393005706</v>
      </c>
      <c r="L46">
        <f t="shared" si="3"/>
        <v>4.2084143235025649E-2</v>
      </c>
      <c r="N46" s="48">
        <f t="shared" si="14"/>
        <v>4.2084143235025649E-2</v>
      </c>
      <c r="O46" s="9">
        <f t="shared" si="15"/>
        <v>2.8038659941554052</v>
      </c>
      <c r="P46" s="9">
        <f t="shared" si="4"/>
        <v>1.218557999543067E-2</v>
      </c>
      <c r="Q46" s="9">
        <f t="shared" si="16"/>
        <v>1.218557999543067E-2</v>
      </c>
      <c r="R46">
        <f t="shared" si="17"/>
        <v>8.6070495103200333</v>
      </c>
      <c r="S46" s="114">
        <f t="shared" si="5"/>
        <v>0.14816260254620064</v>
      </c>
      <c r="T46" s="110">
        <f t="shared" si="18"/>
        <v>0.14816260254620064</v>
      </c>
      <c r="U46">
        <f t="shared" si="19"/>
        <v>8.6070495103200333</v>
      </c>
      <c r="V46">
        <f t="shared" si="6"/>
        <v>0.28891707496509123</v>
      </c>
      <c r="W46">
        <f t="shared" si="20"/>
        <v>0.31516849319578577</v>
      </c>
      <c r="X46">
        <f t="shared" si="21"/>
        <v>0</v>
      </c>
      <c r="Y46">
        <f t="shared" si="22"/>
        <v>0.64113238694095021</v>
      </c>
      <c r="Z46">
        <f t="shared" si="23"/>
        <v>7.5491961982770546</v>
      </c>
      <c r="AA46">
        <f t="shared" si="7"/>
        <v>5.129132691607266E-2</v>
      </c>
      <c r="AB46">
        <f t="shared" si="24"/>
        <v>0.3194478959570255</v>
      </c>
      <c r="AC46">
        <f t="shared" si="34"/>
        <v>0.37458178220265037</v>
      </c>
      <c r="AD46">
        <f t="shared" si="25"/>
        <v>0</v>
      </c>
      <c r="AE46">
        <f t="shared" si="26"/>
        <v>0.63729264299999999</v>
      </c>
      <c r="AF46">
        <f t="shared" si="9"/>
        <v>3.6000000000000004E-2</v>
      </c>
      <c r="AG46">
        <f t="shared" si="10"/>
        <v>0.26910000000000001</v>
      </c>
      <c r="AH46" s="9">
        <f t="shared" si="11"/>
        <v>0.22723009828009827</v>
      </c>
      <c r="AI46">
        <f t="shared" si="27"/>
        <v>0.30510000000000004</v>
      </c>
      <c r="AJ46" s="109">
        <f t="shared" si="28"/>
        <v>2.1605391379202574</v>
      </c>
      <c r="AK46" s="111">
        <f t="shared" si="29"/>
        <v>74.924999999999997</v>
      </c>
      <c r="AL46" s="10">
        <f t="shared" si="30"/>
        <v>0.97197218619623782</v>
      </c>
      <c r="AM46">
        <f t="shared" si="31"/>
        <v>32.056619347047508</v>
      </c>
      <c r="AN46">
        <f t="shared" si="32"/>
        <v>18.72908911013252</v>
      </c>
      <c r="AO46" s="10"/>
      <c r="AP46">
        <f t="shared" si="33"/>
        <v>97.197218619623783</v>
      </c>
      <c r="AY46">
        <v>9.9978999999999996</v>
      </c>
      <c r="AZ46">
        <v>6.1950000000000003</v>
      </c>
      <c r="BA46">
        <v>5.109191</v>
      </c>
      <c r="BB46">
        <v>93.156651672159526</v>
      </c>
      <c r="BC46">
        <v>2325.1351758999972</v>
      </c>
    </row>
    <row r="47" spans="1:55">
      <c r="A47" s="37" t="s">
        <v>163</v>
      </c>
      <c r="B47" s="5">
        <f>ThetaJaTop</f>
        <v>50</v>
      </c>
      <c r="C47" s="34" t="s">
        <v>164</v>
      </c>
      <c r="D47" s="35" t="s">
        <v>189</v>
      </c>
      <c r="G47">
        <v>38</v>
      </c>
      <c r="H47">
        <f t="shared" si="0"/>
        <v>11.4</v>
      </c>
      <c r="I47">
        <f t="shared" si="1"/>
        <v>0.56527001955573386</v>
      </c>
      <c r="J47">
        <f t="shared" si="2"/>
        <v>9.7141329056222681</v>
      </c>
      <c r="K47">
        <f t="shared" si="13"/>
        <v>11.739833822319396</v>
      </c>
      <c r="L47">
        <f t="shared" si="3"/>
        <v>4.4259744482838162E-2</v>
      </c>
      <c r="N47" s="48">
        <f t="shared" si="14"/>
        <v>4.4259744482838162E-2</v>
      </c>
      <c r="O47" s="9">
        <f t="shared" si="15"/>
        <v>2.804228624002409</v>
      </c>
      <c r="P47" s="9">
        <f t="shared" si="4"/>
        <v>1.2188732172295389E-2</v>
      </c>
      <c r="Q47" s="9">
        <f t="shared" si="16"/>
        <v>1.2188732172295389E-2</v>
      </c>
      <c r="R47">
        <f t="shared" si="17"/>
        <v>8.8265284547780745</v>
      </c>
      <c r="S47" s="114">
        <f t="shared" si="5"/>
        <v>0.15581520912601407</v>
      </c>
      <c r="T47" s="110">
        <f t="shared" si="18"/>
        <v>0.15581520912601407</v>
      </c>
      <c r="U47">
        <f t="shared" si="19"/>
        <v>8.8265284547780745</v>
      </c>
      <c r="V47">
        <f t="shared" si="6"/>
        <v>0.30383965779572741</v>
      </c>
      <c r="W47">
        <f t="shared" si="20"/>
        <v>0.32368656057945566</v>
      </c>
      <c r="X47">
        <f t="shared" si="21"/>
        <v>0</v>
      </c>
      <c r="Y47">
        <f t="shared" si="22"/>
        <v>0.66812690863174007</v>
      </c>
      <c r="Z47">
        <f t="shared" si="23"/>
        <v>7.7405486635423575</v>
      </c>
      <c r="AA47">
        <f t="shared" si="7"/>
        <v>5.3924484251400638E-2</v>
      </c>
      <c r="AB47">
        <f t="shared" si="24"/>
        <v>0.32546647038527898</v>
      </c>
      <c r="AC47">
        <f t="shared" si="34"/>
        <v>0.38352725653770975</v>
      </c>
      <c r="AD47">
        <f t="shared" si="25"/>
        <v>0</v>
      </c>
      <c r="AE47">
        <f t="shared" si="26"/>
        <v>0.63723028200000009</v>
      </c>
      <c r="AF47">
        <f t="shared" si="9"/>
        <v>3.6000000000000004E-2</v>
      </c>
      <c r="AG47">
        <f t="shared" si="10"/>
        <v>0.26910000000000001</v>
      </c>
      <c r="AH47" s="9">
        <f t="shared" si="11"/>
        <v>0.22723009828009827</v>
      </c>
      <c r="AI47">
        <f t="shared" si="27"/>
        <v>0.30510000000000004</v>
      </c>
      <c r="AJ47" s="109">
        <f t="shared" si="28"/>
        <v>2.2062481329505976</v>
      </c>
      <c r="AK47" s="111">
        <f t="shared" si="29"/>
        <v>76.95</v>
      </c>
      <c r="AL47" s="10">
        <f t="shared" si="30"/>
        <v>0.97212793449678181</v>
      </c>
      <c r="AM47">
        <f t="shared" si="31"/>
        <v>33.406345431587006</v>
      </c>
      <c r="AN47">
        <f t="shared" si="32"/>
        <v>19.176362826885487</v>
      </c>
      <c r="AO47" s="10"/>
      <c r="AP47">
        <f t="shared" si="33"/>
        <v>97.212793449678188</v>
      </c>
      <c r="AY47">
        <v>9.9976269999999996</v>
      </c>
      <c r="AZ47">
        <v>6.9470000000000001</v>
      </c>
      <c r="BA47">
        <v>5.1086669999999996</v>
      </c>
      <c r="BB47">
        <v>92.656807634751772</v>
      </c>
      <c r="BC47">
        <v>2812.6290012010018</v>
      </c>
    </row>
    <row r="48" spans="1:55">
      <c r="A48" s="38" t="s">
        <v>130</v>
      </c>
      <c r="B48" s="28" t="s">
        <v>206</v>
      </c>
      <c r="C48" s="38" t="s">
        <v>149</v>
      </c>
      <c r="D48" s="30" t="s">
        <v>193</v>
      </c>
      <c r="G48">
        <v>39</v>
      </c>
      <c r="H48">
        <f t="shared" si="0"/>
        <v>11.700000000000001</v>
      </c>
      <c r="I48">
        <f t="shared" si="1"/>
        <v>0.56534312865130509</v>
      </c>
      <c r="J48">
        <f t="shared" si="2"/>
        <v>9.7153892812417428</v>
      </c>
      <c r="K48">
        <f t="shared" si="13"/>
        <v>12.031447643869472</v>
      </c>
      <c r="L48">
        <f t="shared" si="3"/>
        <v>4.6494129840829353E-2</v>
      </c>
      <c r="N48" s="48">
        <f t="shared" si="14"/>
        <v>4.6494129840829353E-2</v>
      </c>
      <c r="O48" s="9">
        <f t="shared" si="15"/>
        <v>2.8045913084034626</v>
      </c>
      <c r="P48" s="9">
        <f t="shared" si="4"/>
        <v>1.2191885231116981E-2</v>
      </c>
      <c r="Q48" s="9">
        <f t="shared" si="16"/>
        <v>1.2191885231116981E-2</v>
      </c>
      <c r="R48">
        <f t="shared" si="17"/>
        <v>9.0463616249452397</v>
      </c>
      <c r="S48" s="114">
        <f t="shared" si="5"/>
        <v>0.16367331729856374</v>
      </c>
      <c r="T48" s="110">
        <f t="shared" si="18"/>
        <v>0.16367331729856374</v>
      </c>
      <c r="U48">
        <f t="shared" si="19"/>
        <v>9.0463616249452397</v>
      </c>
      <c r="V48">
        <f t="shared" si="6"/>
        <v>0.31916296873219929</v>
      </c>
      <c r="W48">
        <f t="shared" si="20"/>
        <v>0.33220462796312555</v>
      </c>
      <c r="X48">
        <f t="shared" si="21"/>
        <v>0</v>
      </c>
      <c r="Y48">
        <f t="shared" si="22"/>
        <v>0.69578110960092809</v>
      </c>
      <c r="Z48">
        <f t="shared" si="23"/>
        <v>7.9321544209559098</v>
      </c>
      <c r="AA48">
        <f t="shared" si="7"/>
        <v>5.662716638210135E-2</v>
      </c>
      <c r="AB48">
        <f t="shared" si="24"/>
        <v>0.33148504670522994</v>
      </c>
      <c r="AC48">
        <f t="shared" si="34"/>
        <v>0.39255810369787969</v>
      </c>
      <c r="AD48">
        <f t="shared" si="25"/>
        <v>0</v>
      </c>
      <c r="AE48">
        <f t="shared" si="26"/>
        <v>0.63716792100000008</v>
      </c>
      <c r="AF48">
        <f t="shared" si="9"/>
        <v>3.6000000000000004E-2</v>
      </c>
      <c r="AG48">
        <f t="shared" si="10"/>
        <v>0.26910000000000001</v>
      </c>
      <c r="AH48" s="9">
        <f t="shared" si="11"/>
        <v>0.22723009828009827</v>
      </c>
      <c r="AI48">
        <f t="shared" si="27"/>
        <v>0.30510000000000004</v>
      </c>
      <c r="AJ48" s="109">
        <f t="shared" si="28"/>
        <v>2.2529664666693181</v>
      </c>
      <c r="AK48" s="111">
        <f t="shared" si="29"/>
        <v>78.975000000000009</v>
      </c>
      <c r="AL48" s="10">
        <f t="shared" si="30"/>
        <v>0.97226366035405065</v>
      </c>
      <c r="AM48">
        <f t="shared" si="31"/>
        <v>34.789055480046407</v>
      </c>
      <c r="AN48">
        <f t="shared" si="32"/>
        <v>19.627905184893983</v>
      </c>
      <c r="AO48" s="10"/>
      <c r="AP48">
        <f t="shared" si="33"/>
        <v>97.226366035405064</v>
      </c>
      <c r="AY48">
        <v>9.9975280000000009</v>
      </c>
      <c r="AZ48">
        <v>7.7530000000000001</v>
      </c>
      <c r="BA48">
        <v>5.10853</v>
      </c>
      <c r="BB48">
        <v>92.034336419785248</v>
      </c>
      <c r="BC48">
        <v>3427.976173640001</v>
      </c>
    </row>
    <row r="49" spans="1:55">
      <c r="A49" s="37" t="s">
        <v>140</v>
      </c>
      <c r="B49" s="5">
        <f>RdsonBot*1000</f>
        <v>0.9</v>
      </c>
      <c r="C49" s="34" t="s">
        <v>134</v>
      </c>
      <c r="D49" s="35" t="s">
        <v>197</v>
      </c>
      <c r="G49">
        <v>40</v>
      </c>
      <c r="H49">
        <f t="shared" si="0"/>
        <v>12</v>
      </c>
      <c r="I49">
        <f t="shared" si="1"/>
        <v>0.56541624874623875</v>
      </c>
      <c r="J49">
        <f t="shared" si="2"/>
        <v>9.7166458458846279</v>
      </c>
      <c r="K49">
        <f t="shared" si="13"/>
        <v>12.323464091231095</v>
      </c>
      <c r="L49">
        <f t="shared" si="3"/>
        <v>4.8787361735501078E-2</v>
      </c>
      <c r="N49" s="48">
        <f t="shared" si="14"/>
        <v>4.8787361735501078E-2</v>
      </c>
      <c r="O49" s="9">
        <f t="shared" si="15"/>
        <v>2.8049540473708747</v>
      </c>
      <c r="P49" s="9">
        <f t="shared" si="4"/>
        <v>1.219503917218649E-2</v>
      </c>
      <c r="Q49" s="9">
        <f t="shared" si="16"/>
        <v>1.219503917218649E-2</v>
      </c>
      <c r="R49">
        <f t="shared" si="17"/>
        <v>9.2665259531356483</v>
      </c>
      <c r="S49" s="114">
        <f t="shared" si="5"/>
        <v>0.17173700648027307</v>
      </c>
      <c r="T49" s="110">
        <f t="shared" si="18"/>
        <v>0.17173700648027307</v>
      </c>
      <c r="U49">
        <f t="shared" si="19"/>
        <v>9.2665259531356483</v>
      </c>
      <c r="V49">
        <f t="shared" si="6"/>
        <v>0.33488716263653245</v>
      </c>
      <c r="W49">
        <f t="shared" si="20"/>
        <v>0.34072269534679545</v>
      </c>
      <c r="X49">
        <f t="shared" si="21"/>
        <v>0</v>
      </c>
      <c r="Y49">
        <f t="shared" si="22"/>
        <v>0.72410880672840816</v>
      </c>
      <c r="Z49">
        <f t="shared" si="23"/>
        <v>8.1239931048546392</v>
      </c>
      <c r="AA49">
        <f t="shared" si="7"/>
        <v>5.9399337570953149E-2</v>
      </c>
      <c r="AB49">
        <f t="shared" si="24"/>
        <v>0.33750362491730518</v>
      </c>
      <c r="AC49">
        <f t="shared" si="34"/>
        <v>0.40167480596693378</v>
      </c>
      <c r="AD49">
        <f t="shared" si="25"/>
        <v>0</v>
      </c>
      <c r="AE49">
        <f t="shared" si="26"/>
        <v>0.63710556000000007</v>
      </c>
      <c r="AF49">
        <f t="shared" si="9"/>
        <v>3.6000000000000004E-2</v>
      </c>
      <c r="AG49">
        <f t="shared" si="10"/>
        <v>0.26910000000000001</v>
      </c>
      <c r="AH49" s="9">
        <f t="shared" si="11"/>
        <v>0.22723009828009827</v>
      </c>
      <c r="AI49">
        <f t="shared" si="27"/>
        <v>0.30510000000000004</v>
      </c>
      <c r="AJ49" s="109">
        <f t="shared" si="28"/>
        <v>2.3007085800833029</v>
      </c>
      <c r="AK49" s="111">
        <f t="shared" si="29"/>
        <v>81</v>
      </c>
      <c r="AL49" s="10">
        <f t="shared" si="30"/>
        <v>0.97238068415862922</v>
      </c>
      <c r="AM49">
        <f t="shared" si="31"/>
        <v>36.205440336420409</v>
      </c>
      <c r="AN49">
        <f t="shared" si="32"/>
        <v>20.08374029834669</v>
      </c>
      <c r="AO49" s="10"/>
      <c r="AP49">
        <f t="shared" si="33"/>
        <v>97.238068415862926</v>
      </c>
      <c r="AY49">
        <v>9.9970090000000003</v>
      </c>
      <c r="AZ49">
        <v>8.6120000000000001</v>
      </c>
      <c r="BA49">
        <v>5.1085419999999999</v>
      </c>
      <c r="BB49">
        <v>91.346378256658895</v>
      </c>
      <c r="BC49">
        <v>4167.8065612820019</v>
      </c>
    </row>
    <row r="50" spans="1:55">
      <c r="A50" s="37" t="s">
        <v>154</v>
      </c>
      <c r="B50" s="5">
        <f>RdsonBotTc*1000000</f>
        <v>4000</v>
      </c>
      <c r="C50" s="34" t="s">
        <v>155</v>
      </c>
      <c r="D50" s="35" t="s">
        <v>190</v>
      </c>
      <c r="G50">
        <v>41</v>
      </c>
      <c r="H50">
        <f t="shared" si="0"/>
        <v>12.299999999999999</v>
      </c>
      <c r="I50">
        <f t="shared" si="1"/>
        <v>0.56548937984301728</v>
      </c>
      <c r="J50">
        <f t="shared" si="2"/>
        <v>9.7179025995935895</v>
      </c>
      <c r="K50">
        <f t="shared" si="13"/>
        <v>12.615855205967302</v>
      </c>
      <c r="L50">
        <f t="shared" si="3"/>
        <v>5.1139504272077592E-2</v>
      </c>
      <c r="N50" s="48">
        <f t="shared" si="14"/>
        <v>5.1139504272077592E-2</v>
      </c>
      <c r="O50" s="9">
        <f t="shared" si="15"/>
        <v>2.8053168409169618</v>
      </c>
      <c r="P50" s="9">
        <f t="shared" si="4"/>
        <v>1.2198193995795099E-2</v>
      </c>
      <c r="Q50" s="9">
        <f t="shared" si="16"/>
        <v>1.2198193995795099E-2</v>
      </c>
      <c r="R50">
        <f t="shared" si="17"/>
        <v>9.4870004772705681</v>
      </c>
      <c r="S50" s="114">
        <f t="shared" si="5"/>
        <v>0.18000635611146396</v>
      </c>
      <c r="T50" s="110">
        <f t="shared" si="18"/>
        <v>0.18000635611146396</v>
      </c>
      <c r="U50">
        <f t="shared" si="19"/>
        <v>9.4870004772705681</v>
      </c>
      <c r="V50">
        <f t="shared" si="6"/>
        <v>0.35101239441735471</v>
      </c>
      <c r="W50">
        <f t="shared" si="20"/>
        <v>0.34924076273046534</v>
      </c>
      <c r="X50">
        <f t="shared" si="21"/>
        <v>0</v>
      </c>
      <c r="Y50">
        <f t="shared" si="22"/>
        <v>0.75312435368394492</v>
      </c>
      <c r="Z50">
        <f t="shared" si="23"/>
        <v>8.3160462073151251</v>
      </c>
      <c r="AA50">
        <f t="shared" si="7"/>
        <v>6.2240962069980248E-2</v>
      </c>
      <c r="AB50">
        <f t="shared" si="24"/>
        <v>0.34352220502193187</v>
      </c>
      <c r="AC50">
        <f t="shared" si="34"/>
        <v>0.41087785367308438</v>
      </c>
      <c r="AD50">
        <f t="shared" si="25"/>
        <v>0</v>
      </c>
      <c r="AE50">
        <f t="shared" si="26"/>
        <v>0.63704319900000017</v>
      </c>
      <c r="AF50">
        <f t="shared" si="9"/>
        <v>3.6000000000000004E-2</v>
      </c>
      <c r="AG50">
        <f t="shared" si="10"/>
        <v>0.26910000000000001</v>
      </c>
      <c r="AH50" s="9">
        <f t="shared" si="11"/>
        <v>0.22723009828009827</v>
      </c>
      <c r="AI50">
        <f t="shared" si="27"/>
        <v>0.30510000000000004</v>
      </c>
      <c r="AJ50" s="109">
        <f t="shared" si="28"/>
        <v>2.3494894607363661</v>
      </c>
      <c r="AK50" s="111">
        <f t="shared" si="29"/>
        <v>83.024999999999991</v>
      </c>
      <c r="AL50" s="10">
        <f t="shared" si="30"/>
        <v>0.97248019313993217</v>
      </c>
      <c r="AM50">
        <f t="shared" si="31"/>
        <v>37.656217684197244</v>
      </c>
      <c r="AN50">
        <f t="shared" si="32"/>
        <v>20.543892683654221</v>
      </c>
      <c r="AO50" s="10"/>
      <c r="AP50">
        <f t="shared" si="33"/>
        <v>97.248019313993211</v>
      </c>
      <c r="AY50">
        <v>9.9969590000000004</v>
      </c>
      <c r="AZ50">
        <v>9.5229999999999997</v>
      </c>
      <c r="BA50">
        <v>5.1087540000000002</v>
      </c>
      <c r="BB50">
        <v>90.547826191651922</v>
      </c>
      <c r="BC50">
        <v>5078.5816240809982</v>
      </c>
    </row>
    <row r="51" spans="1:55">
      <c r="A51" s="37" t="s">
        <v>139</v>
      </c>
      <c r="B51" s="5">
        <f>QgBot*1000000000</f>
        <v>24</v>
      </c>
      <c r="C51" s="34" t="s">
        <v>137</v>
      </c>
      <c r="D51" s="35" t="s">
        <v>185</v>
      </c>
      <c r="G51">
        <v>42</v>
      </c>
      <c r="H51">
        <f t="shared" si="0"/>
        <v>12.6</v>
      </c>
      <c r="I51">
        <f t="shared" si="1"/>
        <v>0.56556252194412393</v>
      </c>
      <c r="J51">
        <f t="shared" si="2"/>
        <v>9.7191595424112975</v>
      </c>
      <c r="K51">
        <f t="shared" si="13"/>
        <v>12.908595528467471</v>
      </c>
      <c r="L51">
        <f t="shared" si="3"/>
        <v>5.3550623239006903E-2</v>
      </c>
      <c r="N51" s="48">
        <f t="shared" si="14"/>
        <v>5.3550623239006903E-2</v>
      </c>
      <c r="O51" s="9">
        <f t="shared" si="15"/>
        <v>2.8056796890540414</v>
      </c>
      <c r="P51" s="9">
        <f t="shared" si="4"/>
        <v>1.2201349702234092E-2</v>
      </c>
      <c r="Q51" s="9">
        <f t="shared" si="16"/>
        <v>1.2201349702234092E-2</v>
      </c>
      <c r="R51">
        <f t="shared" si="17"/>
        <v>9.7077661090584115</v>
      </c>
      <c r="S51" s="114">
        <f t="shared" si="5"/>
        <v>0.18848144565636618</v>
      </c>
      <c r="T51" s="110">
        <f t="shared" si="18"/>
        <v>0.18848144565636618</v>
      </c>
      <c r="U51">
        <f t="shared" si="19"/>
        <v>9.7077661090584115</v>
      </c>
      <c r="V51">
        <f t="shared" si="6"/>
        <v>0.36753881902991403</v>
      </c>
      <c r="W51">
        <f t="shared" si="20"/>
        <v>0.35775883011413523</v>
      </c>
      <c r="X51">
        <f t="shared" si="21"/>
        <v>0</v>
      </c>
      <c r="Y51">
        <f t="shared" si="22"/>
        <v>0.7828426626903372</v>
      </c>
      <c r="Z51">
        <f t="shared" si="23"/>
        <v>8.5082968736044506</v>
      </c>
      <c r="AA51">
        <f t="shared" si="7"/>
        <v>6.515200412044854E-2</v>
      </c>
      <c r="AB51">
        <f t="shared" si="24"/>
        <v>0.34954078701953711</v>
      </c>
      <c r="AC51">
        <f t="shared" si="34"/>
        <v>0.42016774527426332</v>
      </c>
      <c r="AD51">
        <f t="shared" si="25"/>
        <v>0</v>
      </c>
      <c r="AE51">
        <f t="shared" si="26"/>
        <v>0.63698083800000016</v>
      </c>
      <c r="AF51">
        <f t="shared" si="9"/>
        <v>3.6000000000000004E-2</v>
      </c>
      <c r="AG51">
        <f t="shared" si="10"/>
        <v>0.26910000000000001</v>
      </c>
      <c r="AH51" s="9">
        <f t="shared" si="11"/>
        <v>0.22723009828009827</v>
      </c>
      <c r="AI51">
        <f t="shared" si="27"/>
        <v>0.30510000000000004</v>
      </c>
      <c r="AJ51" s="109">
        <f t="shared" si="28"/>
        <v>2.3993246645622075</v>
      </c>
      <c r="AK51" s="111">
        <f t="shared" si="29"/>
        <v>85.05</v>
      </c>
      <c r="AL51" s="10">
        <f t="shared" si="30"/>
        <v>0.97256325679168454</v>
      </c>
      <c r="AM51">
        <f t="shared" si="31"/>
        <v>39.142133134516861</v>
      </c>
      <c r="AN51">
        <f t="shared" si="32"/>
        <v>21.008387263713164</v>
      </c>
      <c r="AO51" s="10"/>
      <c r="AP51">
        <f t="shared" si="33"/>
        <v>97.256325679168455</v>
      </c>
      <c r="AY51">
        <v>9.9964639999999996</v>
      </c>
      <c r="AZ51">
        <v>10.493</v>
      </c>
      <c r="BA51">
        <v>5.1092279999999999</v>
      </c>
      <c r="BB51">
        <v>89.626660259106615</v>
      </c>
      <c r="BC51">
        <v>6204.9221585439973</v>
      </c>
    </row>
    <row r="52" spans="1:55">
      <c r="A52" s="37" t="s">
        <v>173</v>
      </c>
      <c r="B52" s="5">
        <f>RGateBot</f>
        <v>1</v>
      </c>
      <c r="C52" s="34" t="s">
        <v>25</v>
      </c>
      <c r="D52" s="35" t="s">
        <v>186</v>
      </c>
      <c r="G52">
        <v>43</v>
      </c>
      <c r="H52">
        <f t="shared" si="0"/>
        <v>12.9</v>
      </c>
      <c r="I52">
        <f t="shared" si="1"/>
        <v>0.56563567505204282</v>
      </c>
      <c r="J52">
        <f t="shared" si="2"/>
        <v>9.7204166743804432</v>
      </c>
      <c r="K52">
        <f t="shared" si="13"/>
        <v>13.201661828230733</v>
      </c>
      <c r="L52">
        <f t="shared" si="3"/>
        <v>5.6020786112584028E-2</v>
      </c>
      <c r="N52" s="48">
        <f t="shared" si="14"/>
        <v>5.6020786112584028E-2</v>
      </c>
      <c r="O52" s="9">
        <f t="shared" si="15"/>
        <v>2.806042591794438</v>
      </c>
      <c r="P52" s="9">
        <f t="shared" si="4"/>
        <v>1.2204506291794892E-2</v>
      </c>
      <c r="Q52" s="9">
        <f t="shared" si="16"/>
        <v>1.2204506291794892E-2</v>
      </c>
      <c r="R52">
        <f t="shared" si="17"/>
        <v>9.9288054317507335</v>
      </c>
      <c r="S52" s="114">
        <f t="shared" si="5"/>
        <v>0.19716235460312576</v>
      </c>
      <c r="T52" s="110">
        <f t="shared" si="18"/>
        <v>0.19716235460312576</v>
      </c>
      <c r="U52">
        <f t="shared" si="19"/>
        <v>9.9288054317507335</v>
      </c>
      <c r="V52">
        <f t="shared" si="6"/>
        <v>0.38446659147609519</v>
      </c>
      <c r="W52">
        <f t="shared" si="20"/>
        <v>0.36627689749780512</v>
      </c>
      <c r="X52">
        <f t="shared" si="21"/>
        <v>0</v>
      </c>
      <c r="Y52">
        <f t="shared" si="22"/>
        <v>0.81327922747502746</v>
      </c>
      <c r="Z52">
        <f t="shared" si="23"/>
        <v>8.7007297237301611</v>
      </c>
      <c r="AA52">
        <f t="shared" si="7"/>
        <v>6.8132427952861369E-2</v>
      </c>
      <c r="AB52">
        <f t="shared" si="24"/>
        <v>0.35555937091054829</v>
      </c>
      <c r="AC52">
        <f t="shared" si="34"/>
        <v>0.42954498744533609</v>
      </c>
      <c r="AD52">
        <f t="shared" si="25"/>
        <v>0</v>
      </c>
      <c r="AE52">
        <f t="shared" si="26"/>
        <v>0.63691847700000015</v>
      </c>
      <c r="AF52">
        <f t="shared" si="9"/>
        <v>3.6000000000000004E-2</v>
      </c>
      <c r="AG52">
        <f t="shared" si="10"/>
        <v>0.26910000000000001</v>
      </c>
      <c r="AH52" s="9">
        <f t="shared" si="11"/>
        <v>0.22723009828009827</v>
      </c>
      <c r="AI52">
        <f t="shared" si="27"/>
        <v>0.30510000000000004</v>
      </c>
      <c r="AJ52" s="109">
        <f t="shared" si="28"/>
        <v>2.4502303389278683</v>
      </c>
      <c r="AK52" s="111">
        <f t="shared" si="29"/>
        <v>87.075000000000003</v>
      </c>
      <c r="AL52" s="10">
        <f t="shared" si="30"/>
        <v>0.97263084015923007</v>
      </c>
      <c r="AM52">
        <f t="shared" si="31"/>
        <v>40.66396137375137</v>
      </c>
      <c r="AN52">
        <f t="shared" si="32"/>
        <v>21.477249372266805</v>
      </c>
      <c r="AO52" s="10"/>
      <c r="AP52">
        <f t="shared" si="33"/>
        <v>97.263084015923013</v>
      </c>
      <c r="AY52">
        <v>9.9959819999999997</v>
      </c>
      <c r="AZ52">
        <v>11.519</v>
      </c>
      <c r="BA52">
        <v>5.1101260000000002</v>
      </c>
      <c r="BB52">
        <v>88.591390420220321</v>
      </c>
      <c r="BC52">
        <v>7580.3207309739973</v>
      </c>
    </row>
    <row r="53" spans="1:55">
      <c r="A53" s="37" t="s">
        <v>145</v>
      </c>
      <c r="B53" s="5">
        <f>VsdBot</f>
        <v>0.77</v>
      </c>
      <c r="C53" s="34" t="s">
        <v>0</v>
      </c>
      <c r="D53" s="35" t="s">
        <v>191</v>
      </c>
      <c r="G53">
        <v>44</v>
      </c>
      <c r="H53">
        <f t="shared" si="0"/>
        <v>13.2</v>
      </c>
      <c r="I53">
        <f t="shared" si="1"/>
        <v>0.56570883916925851</v>
      </c>
      <c r="J53">
        <f t="shared" si="2"/>
        <v>9.7216739955437248</v>
      </c>
      <c r="K53">
        <f t="shared" si="13"/>
        <v>13.495032867922278</v>
      </c>
      <c r="L53">
        <f t="shared" si="3"/>
        <v>5.8550062061696745E-2</v>
      </c>
      <c r="N53" s="48">
        <f t="shared" si="14"/>
        <v>5.8550062061696745E-2</v>
      </c>
      <c r="O53" s="9">
        <f t="shared" si="15"/>
        <v>2.8064055491504774</v>
      </c>
      <c r="P53" s="9">
        <f t="shared" si="4"/>
        <v>1.2207663764769018E-2</v>
      </c>
      <c r="Q53" s="9">
        <f t="shared" si="16"/>
        <v>1.2207663764769018E-2</v>
      </c>
      <c r="R53">
        <f t="shared" si="17"/>
        <v>10.150102523221484</v>
      </c>
      <c r="S53" s="114">
        <f t="shared" si="5"/>
        <v>0.2060491624638143</v>
      </c>
      <c r="T53" s="110">
        <f t="shared" si="18"/>
        <v>0.2060491624638143</v>
      </c>
      <c r="U53">
        <f t="shared" si="19"/>
        <v>10.150102523221484</v>
      </c>
      <c r="V53">
        <f t="shared" si="6"/>
        <v>0.40179586680443785</v>
      </c>
      <c r="W53">
        <f t="shared" si="20"/>
        <v>0.37479496488147496</v>
      </c>
      <c r="X53">
        <f t="shared" si="21"/>
        <v>0</v>
      </c>
      <c r="Y53">
        <f t="shared" si="22"/>
        <v>0.84445014748204994</v>
      </c>
      <c r="Z53">
        <f t="shared" si="23"/>
        <v>8.893330696336184</v>
      </c>
      <c r="AA53">
        <f t="shared" si="7"/>
        <v>7.1182197786955892E-2</v>
      </c>
      <c r="AB53">
        <f t="shared" si="24"/>
        <v>0.36157795669539272</v>
      </c>
      <c r="AC53">
        <f t="shared" si="34"/>
        <v>0.43901009516728218</v>
      </c>
      <c r="AD53">
        <f t="shared" si="25"/>
        <v>0</v>
      </c>
      <c r="AE53">
        <f t="shared" si="26"/>
        <v>0.63685611600000014</v>
      </c>
      <c r="AF53">
        <f t="shared" si="9"/>
        <v>3.6000000000000004E-2</v>
      </c>
      <c r="AG53">
        <f t="shared" si="10"/>
        <v>0.26910000000000001</v>
      </c>
      <c r="AH53" s="9">
        <f t="shared" si="11"/>
        <v>0.22723009828009827</v>
      </c>
      <c r="AI53">
        <f t="shared" si="27"/>
        <v>0.30510000000000004</v>
      </c>
      <c r="AJ53" s="109">
        <f t="shared" si="28"/>
        <v>2.5022232469396122</v>
      </c>
      <c r="AK53" s="111">
        <f t="shared" si="29"/>
        <v>89.1</v>
      </c>
      <c r="AL53" s="10">
        <f t="shared" si="30"/>
        <v>0.97268381532406523</v>
      </c>
      <c r="AM53">
        <f t="shared" si="31"/>
        <v>42.222507374102499</v>
      </c>
      <c r="AN53">
        <f t="shared" si="32"/>
        <v>21.950504758364108</v>
      </c>
      <c r="AO53" s="10"/>
      <c r="AP53">
        <f t="shared" si="33"/>
        <v>97.268381532406522</v>
      </c>
      <c r="AY53">
        <v>9.9955739999999995</v>
      </c>
      <c r="AZ53">
        <v>12.605</v>
      </c>
      <c r="BA53">
        <v>5.1111979999999999</v>
      </c>
      <c r="BB53">
        <v>87.386508098290477</v>
      </c>
      <c r="BC53">
        <v>9299.4335961019988</v>
      </c>
    </row>
    <row r="54" spans="1:55">
      <c r="A54" s="37" t="s">
        <v>146</v>
      </c>
      <c r="B54" s="5">
        <f>QrrBot*1000000000</f>
        <v>82</v>
      </c>
      <c r="C54" s="34" t="s">
        <v>137</v>
      </c>
      <c r="D54" s="35" t="s">
        <v>201</v>
      </c>
      <c r="E54" s="13"/>
      <c r="G54">
        <v>45</v>
      </c>
      <c r="H54">
        <f t="shared" si="0"/>
        <v>13.5</v>
      </c>
      <c r="I54">
        <f t="shared" si="1"/>
        <v>0.56578201429825659</v>
      </c>
      <c r="J54">
        <f t="shared" si="2"/>
        <v>9.7229315059438548</v>
      </c>
      <c r="K54">
        <f t="shared" si="13"/>
        <v>13.788689196430999</v>
      </c>
      <c r="L54">
        <f t="shared" si="3"/>
        <v>6.1138521952694432E-2</v>
      </c>
      <c r="N54" s="48">
        <f t="shared" si="14"/>
        <v>6.1138521952694432E-2</v>
      </c>
      <c r="O54" s="9">
        <f t="shared" si="15"/>
        <v>2.806768561134489</v>
      </c>
      <c r="P54" s="9">
        <f t="shared" si="4"/>
        <v>1.2210822121448103E-2</v>
      </c>
      <c r="Q54" s="9">
        <f t="shared" si="16"/>
        <v>1.2210822121448103E-2</v>
      </c>
      <c r="R54">
        <f t="shared" si="17"/>
        <v>10.371642800791925</v>
      </c>
      <c r="S54" s="114">
        <f t="shared" si="5"/>
        <v>0.21514194877443793</v>
      </c>
      <c r="T54" s="110">
        <f t="shared" si="18"/>
        <v>0.21514194877443793</v>
      </c>
      <c r="U54">
        <f t="shared" si="19"/>
        <v>10.371642800791925</v>
      </c>
      <c r="V54">
        <f t="shared" si="6"/>
        <v>0.41952680011015397</v>
      </c>
      <c r="W54">
        <f t="shared" si="20"/>
        <v>0.3833130322651449</v>
      </c>
      <c r="X54">
        <f t="shared" si="21"/>
        <v>0</v>
      </c>
      <c r="Y54">
        <f t="shared" si="22"/>
        <v>0.87637215342140418</v>
      </c>
      <c r="Z54">
        <f t="shared" si="23"/>
        <v>9.086086911787385</v>
      </c>
      <c r="AA54">
        <f t="shared" si="7"/>
        <v>7.4301277831698612E-2</v>
      </c>
      <c r="AB54">
        <f t="shared" si="24"/>
        <v>0.36759654437449807</v>
      </c>
      <c r="AC54">
        <f t="shared" si="34"/>
        <v>0.44856359181837296</v>
      </c>
      <c r="AD54">
        <f t="shared" si="25"/>
        <v>0</v>
      </c>
      <c r="AE54">
        <f t="shared" si="26"/>
        <v>0.63679375500000013</v>
      </c>
      <c r="AF54">
        <f t="shared" si="9"/>
        <v>3.6000000000000004E-2</v>
      </c>
      <c r="AG54">
        <f t="shared" si="10"/>
        <v>0.26910000000000001</v>
      </c>
      <c r="AH54" s="9">
        <f t="shared" si="11"/>
        <v>0.22723009828009827</v>
      </c>
      <c r="AI54">
        <f t="shared" si="27"/>
        <v>0.30510000000000004</v>
      </c>
      <c r="AJ54" s="109">
        <f t="shared" si="28"/>
        <v>2.5553207930883577</v>
      </c>
      <c r="AK54" s="111">
        <f t="shared" si="29"/>
        <v>91.125</v>
      </c>
      <c r="AL54" s="10">
        <f t="shared" si="30"/>
        <v>0.97272297136201857</v>
      </c>
      <c r="AM54">
        <f t="shared" si="31"/>
        <v>43.818607671070211</v>
      </c>
      <c r="AN54">
        <f t="shared" si="32"/>
        <v>22.428179590918649</v>
      </c>
      <c r="AO54" s="10"/>
      <c r="AP54">
        <f t="shared" si="33"/>
        <v>97.272297136201857</v>
      </c>
      <c r="AY54">
        <v>9.9949670000000008</v>
      </c>
      <c r="AZ54">
        <v>13.75</v>
      </c>
      <c r="BA54">
        <v>5.1122329999999998</v>
      </c>
      <c r="BB54">
        <v>85.985113444924963</v>
      </c>
      <c r="BC54">
        <v>11457.230537720005</v>
      </c>
    </row>
    <row r="55" spans="1:55">
      <c r="A55" s="37" t="s">
        <v>147</v>
      </c>
      <c r="B55" s="5">
        <f>TrrBot*1000000000</f>
        <v>40</v>
      </c>
      <c r="C55" s="34" t="s">
        <v>148</v>
      </c>
      <c r="D55" s="153" t="s">
        <v>192</v>
      </c>
      <c r="E55" s="13"/>
      <c r="G55">
        <v>46</v>
      </c>
      <c r="H55">
        <f t="shared" si="0"/>
        <v>13.8</v>
      </c>
      <c r="I55">
        <f t="shared" si="1"/>
        <v>0.56585520044152315</v>
      </c>
      <c r="J55">
        <f t="shared" si="2"/>
        <v>9.7241892056235582</v>
      </c>
      <c r="K55">
        <f t="shared" si="13"/>
        <v>14.082612966902266</v>
      </c>
      <c r="L55">
        <f t="shared" si="3"/>
        <v>6.3786238354380673E-2</v>
      </c>
      <c r="N55" s="48">
        <f t="shared" si="14"/>
        <v>6.3786238354380673E-2</v>
      </c>
      <c r="O55" s="9">
        <f t="shared" si="15"/>
        <v>2.8071316277588072</v>
      </c>
      <c r="P55" s="9">
        <f t="shared" si="4"/>
        <v>1.2213981362123906E-2</v>
      </c>
      <c r="Q55" s="9">
        <f t="shared" si="16"/>
        <v>1.2213981362123906E-2</v>
      </c>
      <c r="R55">
        <f t="shared" si="17"/>
        <v>10.593412884782369</v>
      </c>
      <c r="S55" s="114">
        <f t="shared" si="5"/>
        <v>0.22444079309494624</v>
      </c>
      <c r="T55" s="110">
        <f t="shared" si="18"/>
        <v>0.22444079309494624</v>
      </c>
      <c r="U55">
        <f t="shared" si="19"/>
        <v>10.593412884782369</v>
      </c>
      <c r="V55">
        <f t="shared" si="6"/>
        <v>0.43765954653514511</v>
      </c>
      <c r="W55">
        <f t="shared" si="20"/>
        <v>0.39183109964881485</v>
      </c>
      <c r="X55">
        <f t="shared" si="21"/>
        <v>0</v>
      </c>
      <c r="Y55">
        <f t="shared" si="22"/>
        <v>0.90906263423853639</v>
      </c>
      <c r="Z55">
        <f t="shared" si="23"/>
        <v>9.2789865517787398</v>
      </c>
      <c r="AA55">
        <f t="shared" si="7"/>
        <v>7.7489632285281634E-2</v>
      </c>
      <c r="AB55">
        <f t="shared" si="24"/>
        <v>0.37361513394829193</v>
      </c>
      <c r="AC55">
        <f t="shared" si="34"/>
        <v>0.45820600926738064</v>
      </c>
      <c r="AD55">
        <f t="shared" si="25"/>
        <v>0</v>
      </c>
      <c r="AE55">
        <f t="shared" si="26"/>
        <v>0.63673139400000012</v>
      </c>
      <c r="AF55">
        <f t="shared" si="9"/>
        <v>3.6000000000000004E-2</v>
      </c>
      <c r="AG55">
        <f t="shared" si="10"/>
        <v>0.26910000000000001</v>
      </c>
      <c r="AH55" s="9">
        <f t="shared" si="11"/>
        <v>0.22723009828009827</v>
      </c>
      <c r="AI55">
        <f t="shared" si="27"/>
        <v>0.30510000000000004</v>
      </c>
      <c r="AJ55" s="109">
        <f t="shared" si="28"/>
        <v>2.6095410503173677</v>
      </c>
      <c r="AK55" s="111">
        <f t="shared" si="29"/>
        <v>93.15</v>
      </c>
      <c r="AL55" s="10">
        <f t="shared" si="30"/>
        <v>0.97274902300392019</v>
      </c>
      <c r="AM55">
        <f t="shared" si="31"/>
        <v>45.453131711926822</v>
      </c>
      <c r="AN55">
        <f t="shared" si="32"/>
        <v>22.910300463369033</v>
      </c>
      <c r="AO55" s="10"/>
      <c r="AP55">
        <f t="shared" si="33"/>
        <v>97.274902300392014</v>
      </c>
      <c r="AY55">
        <v>9.9943860000000004</v>
      </c>
      <c r="AZ55">
        <v>14.954000000000001</v>
      </c>
      <c r="BA55">
        <v>5.1130310000000003</v>
      </c>
      <c r="BB55">
        <v>84.352650264578628</v>
      </c>
      <c r="BC55">
        <v>14183.318533699994</v>
      </c>
    </row>
    <row r="56" spans="1:55">
      <c r="A56" s="37" t="s">
        <v>162</v>
      </c>
      <c r="B56" s="5">
        <f>ThetaJaBot</f>
        <v>50</v>
      </c>
      <c r="C56" s="34" t="s">
        <v>164</v>
      </c>
      <c r="D56" s="153" t="s">
        <v>189</v>
      </c>
      <c r="E56" s="71"/>
      <c r="G56">
        <v>47</v>
      </c>
      <c r="H56">
        <f t="shared" si="0"/>
        <v>14.1</v>
      </c>
      <c r="I56">
        <f t="shared" si="1"/>
        <v>0.56592839760154545</v>
      </c>
      <c r="J56">
        <f t="shared" si="2"/>
        <v>9.7254470946255793</v>
      </c>
      <c r="K56">
        <f t="shared" si="13"/>
        <v>14.376787776338059</v>
      </c>
      <c r="L56">
        <f t="shared" si="3"/>
        <v>6.6493285543130207E-2</v>
      </c>
      <c r="N56" s="48">
        <f t="shared" si="14"/>
        <v>6.6493285543130207E-2</v>
      </c>
      <c r="O56" s="9">
        <f t="shared" si="15"/>
        <v>2.8074947490357713</v>
      </c>
      <c r="P56" s="9">
        <f t="shared" si="4"/>
        <v>1.2217141487088313E-2</v>
      </c>
      <c r="Q56" s="9">
        <f t="shared" si="16"/>
        <v>1.2217141487088313E-2</v>
      </c>
      <c r="R56">
        <f t="shared" si="17"/>
        <v>10.815400478235691</v>
      </c>
      <c r="S56" s="114">
        <f t="shared" si="5"/>
        <v>0.23394577500924166</v>
      </c>
      <c r="T56" s="110">
        <f t="shared" si="18"/>
        <v>0.23394577500924166</v>
      </c>
      <c r="U56">
        <f t="shared" si="19"/>
        <v>10.815400478235691</v>
      </c>
      <c r="V56">
        <f t="shared" si="6"/>
        <v>0.45619426126802121</v>
      </c>
      <c r="W56">
        <f t="shared" si="20"/>
        <v>0.40034916703248463</v>
      </c>
      <c r="X56">
        <f t="shared" si="21"/>
        <v>0</v>
      </c>
      <c r="Y56">
        <f t="shared" si="22"/>
        <v>0.94253966559267766</v>
      </c>
      <c r="Z56">
        <f t="shared" si="23"/>
        <v>9.4720187532142592</v>
      </c>
      <c r="AA56">
        <f t="shared" si="7"/>
        <v>8.0747225335118356E-2</v>
      </c>
      <c r="AB56">
        <f t="shared" si="24"/>
        <v>0.37963372541720214</v>
      </c>
      <c r="AC56">
        <f t="shared" si="34"/>
        <v>0.46793788796885255</v>
      </c>
      <c r="AD56">
        <f t="shared" si="25"/>
        <v>0</v>
      </c>
      <c r="AE56">
        <f t="shared" si="26"/>
        <v>0.63666903300000011</v>
      </c>
      <c r="AF56">
        <f t="shared" si="9"/>
        <v>3.6000000000000004E-2</v>
      </c>
      <c r="AG56">
        <f t="shared" si="10"/>
        <v>0.26910000000000001</v>
      </c>
      <c r="AH56" s="9">
        <f t="shared" si="11"/>
        <v>0.22723009828009827</v>
      </c>
      <c r="AI56">
        <f t="shared" si="27"/>
        <v>0.30510000000000004</v>
      </c>
      <c r="AJ56" s="109">
        <f t="shared" si="28"/>
        <v>2.6649027886009904</v>
      </c>
      <c r="AK56" s="111">
        <f t="shared" si="29"/>
        <v>95.174999999999997</v>
      </c>
      <c r="AL56" s="10">
        <f t="shared" si="30"/>
        <v>0.9727626181890332</v>
      </c>
      <c r="AM56">
        <f t="shared" si="31"/>
        <v>47.126983279633883</v>
      </c>
      <c r="AN56">
        <f t="shared" si="32"/>
        <v>23.396894398442626</v>
      </c>
      <c r="AO56" s="10"/>
      <c r="AP56">
        <f t="shared" si="33"/>
        <v>97.276261818903322</v>
      </c>
      <c r="AZ56" s="31"/>
      <c r="BA56" s="32"/>
    </row>
    <row r="57" spans="1:55">
      <c r="A57" s="38" t="s">
        <v>384</v>
      </c>
      <c r="B57" s="28" t="s">
        <v>206</v>
      </c>
      <c r="C57" s="38" t="s">
        <v>149</v>
      </c>
      <c r="D57" s="149" t="s">
        <v>413</v>
      </c>
      <c r="E57" s="57"/>
      <c r="G57">
        <v>48</v>
      </c>
      <c r="H57">
        <f t="shared" si="0"/>
        <v>14.399999999999999</v>
      </c>
      <c r="I57">
        <f t="shared" si="1"/>
        <v>0.56600160578081093</v>
      </c>
      <c r="J57">
        <f t="shared" si="2"/>
        <v>9.726705172992661</v>
      </c>
      <c r="K57">
        <f t="shared" si="13"/>
        <v>14.671198523871871</v>
      </c>
      <c r="L57">
        <f t="shared" si="3"/>
        <v>6.9259739508131052E-2</v>
      </c>
      <c r="N57" s="48">
        <f t="shared" si="14"/>
        <v>6.9259739508131052E-2</v>
      </c>
      <c r="O57" s="9">
        <f t="shared" si="15"/>
        <v>2.8078579249777191</v>
      </c>
      <c r="P57" s="9">
        <f t="shared" si="4"/>
        <v>1.2220302496633282E-2</v>
      </c>
      <c r="Q57" s="9">
        <f t="shared" si="16"/>
        <v>1.2220302496633282E-2</v>
      </c>
      <c r="R57">
        <f t="shared" si="17"/>
        <v>11.037594260643662</v>
      </c>
      <c r="S57" s="114">
        <f t="shared" si="5"/>
        <v>0.2436569741251878</v>
      </c>
      <c r="T57" s="110">
        <f t="shared" si="18"/>
        <v>0.2436569741251878</v>
      </c>
      <c r="U57">
        <f t="shared" si="19"/>
        <v>11.037594260643662</v>
      </c>
      <c r="V57">
        <f t="shared" si="6"/>
        <v>0.47513109954411614</v>
      </c>
      <c r="W57">
        <f t="shared" si="20"/>
        <v>0.40886723441615447</v>
      </c>
      <c r="X57">
        <f t="shared" si="21"/>
        <v>0</v>
      </c>
      <c r="Y57">
        <f t="shared" si="22"/>
        <v>0.9768220399393307</v>
      </c>
      <c r="Z57">
        <f t="shared" si="23"/>
        <v>9.6651735144417472</v>
      </c>
      <c r="AA57">
        <f t="shared" si="7"/>
        <v>8.4074021157839615E-2</v>
      </c>
      <c r="AB57">
        <f t="shared" si="24"/>
        <v>0.38565231878165657</v>
      </c>
      <c r="AC57">
        <f t="shared" si="34"/>
        <v>0.47775977706048578</v>
      </c>
      <c r="AD57">
        <f t="shared" si="25"/>
        <v>0</v>
      </c>
      <c r="AE57">
        <f t="shared" si="26"/>
        <v>0.6366066720000001</v>
      </c>
      <c r="AF57">
        <f t="shared" si="9"/>
        <v>3.6000000000000004E-2</v>
      </c>
      <c r="AG57">
        <f t="shared" si="10"/>
        <v>0.26910000000000001</v>
      </c>
      <c r="AH57" s="9">
        <f t="shared" si="11"/>
        <v>0.22723009828009827</v>
      </c>
      <c r="AI57">
        <f t="shared" si="27"/>
        <v>0.30510000000000004</v>
      </c>
      <c r="AJ57" s="109">
        <f t="shared" si="28"/>
        <v>2.7214255051297687</v>
      </c>
      <c r="AK57" s="111">
        <f t="shared" si="29"/>
        <v>97.199999999999989</v>
      </c>
      <c r="AL57" s="10">
        <f t="shared" si="30"/>
        <v>0.9727643446701022</v>
      </c>
      <c r="AM57">
        <f t="shared" si="31"/>
        <v>48.841101996966536</v>
      </c>
      <c r="AN57">
        <f t="shared" si="32"/>
        <v>23.887988853024289</v>
      </c>
      <c r="AO57" s="10"/>
      <c r="AP57">
        <f t="shared" si="33"/>
        <v>97.276434467010219</v>
      </c>
      <c r="AZ57" s="31"/>
      <c r="BA57" s="32"/>
    </row>
    <row r="58" spans="1:55">
      <c r="A58" s="37" t="s">
        <v>385</v>
      </c>
      <c r="B58" s="150">
        <f>VfdSky</f>
        <v>0</v>
      </c>
      <c r="C58" s="34" t="s">
        <v>0</v>
      </c>
      <c r="D58" s="153" t="s">
        <v>388</v>
      </c>
      <c r="E58" s="57"/>
      <c r="G58">
        <v>49</v>
      </c>
      <c r="H58">
        <f t="shared" si="0"/>
        <v>14.7</v>
      </c>
      <c r="I58">
        <f t="shared" si="1"/>
        <v>0.56607482498180817</v>
      </c>
      <c r="J58">
        <f t="shared" si="2"/>
        <v>9.7279634407675726</v>
      </c>
      <c r="K58">
        <f t="shared" si="13"/>
        <v>14.965831285255842</v>
      </c>
      <c r="L58">
        <f t="shared" si="3"/>
        <v>7.2085677956752386E-2</v>
      </c>
      <c r="N58" s="48">
        <f t="shared" si="14"/>
        <v>7.2085677956752386E-2</v>
      </c>
      <c r="O58" s="9">
        <f t="shared" si="15"/>
        <v>2.808221155596998</v>
      </c>
      <c r="P58" s="9">
        <f t="shared" si="4"/>
        <v>1.2223464391050935E-2</v>
      </c>
      <c r="Q58" s="9">
        <f t="shared" si="16"/>
        <v>1.2223464391050935E-2</v>
      </c>
      <c r="R58">
        <f t="shared" si="17"/>
        <v>11.259983793829793</v>
      </c>
      <c r="S58" s="114">
        <f t="shared" si="5"/>
        <v>0.2535744700746192</v>
      </c>
      <c r="T58" s="110">
        <f t="shared" si="18"/>
        <v>0.2535744700746192</v>
      </c>
      <c r="U58">
        <f t="shared" si="19"/>
        <v>11.259983793829793</v>
      </c>
      <c r="V58">
        <f t="shared" si="6"/>
        <v>0.49447021664550739</v>
      </c>
      <c r="W58">
        <f t="shared" si="20"/>
        <v>0.41738530179982436</v>
      </c>
      <c r="X58">
        <f t="shared" si="21"/>
        <v>0</v>
      </c>
      <c r="Y58">
        <f t="shared" si="22"/>
        <v>1.0119292983193087</v>
      </c>
      <c r="Z58">
        <f t="shared" si="23"/>
        <v>9.858441612214019</v>
      </c>
      <c r="AA58">
        <f t="shared" si="7"/>
        <v>8.7469983919289646E-2</v>
      </c>
      <c r="AB58">
        <f t="shared" si="24"/>
        <v>0.39167091404208348</v>
      </c>
      <c r="AC58">
        <f t="shared" si="34"/>
        <v>0.48767223446263935</v>
      </c>
      <c r="AD58">
        <f t="shared" si="25"/>
        <v>0</v>
      </c>
      <c r="AE58">
        <f t="shared" si="26"/>
        <v>0.63654431100000008</v>
      </c>
      <c r="AF58">
        <f t="shared" si="9"/>
        <v>3.6000000000000004E-2</v>
      </c>
      <c r="AG58">
        <f t="shared" si="10"/>
        <v>0.26910000000000001</v>
      </c>
      <c r="AH58" s="9">
        <f t="shared" si="11"/>
        <v>0.22723009828009827</v>
      </c>
      <c r="AI58">
        <f t="shared" si="27"/>
        <v>0.30510000000000004</v>
      </c>
      <c r="AJ58" s="109">
        <f t="shared" si="28"/>
        <v>2.7791294562043705</v>
      </c>
      <c r="AK58" s="111">
        <f t="shared" si="29"/>
        <v>99.224999999999994</v>
      </c>
      <c r="AL58" s="10">
        <f t="shared" si="30"/>
        <v>0.97275473580314609</v>
      </c>
      <c r="AM58">
        <f t="shared" si="31"/>
        <v>50.596464915965434</v>
      </c>
      <c r="AN58">
        <f t="shared" si="32"/>
        <v>24.383611723131967</v>
      </c>
      <c r="AO58" s="10"/>
      <c r="AP58">
        <f t="shared" si="33"/>
        <v>97.27547358031461</v>
      </c>
      <c r="AZ58" s="31"/>
      <c r="BA58" s="32"/>
    </row>
    <row r="59" spans="1:55">
      <c r="A59" s="37" t="s">
        <v>386</v>
      </c>
      <c r="B59" s="150">
        <f>QrrSky</f>
        <v>0</v>
      </c>
      <c r="C59" s="34" t="s">
        <v>137</v>
      </c>
      <c r="D59" s="153" t="s">
        <v>389</v>
      </c>
      <c r="E59" s="57"/>
      <c r="G59">
        <v>50</v>
      </c>
      <c r="H59">
        <f t="shared" si="0"/>
        <v>15</v>
      </c>
      <c r="I59">
        <f t="shared" si="1"/>
        <v>0.56614805520702638</v>
      </c>
      <c r="J59">
        <f t="shared" si="2"/>
        <v>9.7292218979930905</v>
      </c>
      <c r="K59">
        <f t="shared" si="13"/>
        <v>15.260673201458021</v>
      </c>
      <c r="L59">
        <f t="shared" si="3"/>
        <v>7.4971180320038758E-2</v>
      </c>
      <c r="N59" s="48">
        <f t="shared" si="14"/>
        <v>7.4971180320038758E-2</v>
      </c>
      <c r="O59" s="9">
        <f t="shared" si="15"/>
        <v>2.8085844409059564</v>
      </c>
      <c r="P59" s="9">
        <f t="shared" si="4"/>
        <v>1.2226627170633485E-2</v>
      </c>
      <c r="Q59" s="9">
        <f t="shared" si="16"/>
        <v>1.2226627170633485E-2</v>
      </c>
      <c r="R59">
        <f t="shared" si="17"/>
        <v>11.482559438412448</v>
      </c>
      <c r="S59" s="114">
        <f t="shared" si="5"/>
        <v>0.26369834251334962</v>
      </c>
      <c r="T59" s="110">
        <f t="shared" si="18"/>
        <v>0.26369834251334962</v>
      </c>
      <c r="U59">
        <f t="shared" si="19"/>
        <v>11.482559438412448</v>
      </c>
      <c r="V59">
        <f t="shared" si="6"/>
        <v>0.51421176790103162</v>
      </c>
      <c r="W59">
        <f t="shared" si="20"/>
        <v>0.42590336918349431</v>
      </c>
      <c r="X59">
        <f t="shared" si="21"/>
        <v>0</v>
      </c>
      <c r="Y59">
        <f t="shared" si="22"/>
        <v>1.0478817639644036</v>
      </c>
      <c r="Z59">
        <f t="shared" si="23"/>
        <v>10.051814527985689</v>
      </c>
      <c r="AA59">
        <f t="shared" si="7"/>
        <v>9.0935077774521741E-2</v>
      </c>
      <c r="AB59">
        <f t="shared" si="24"/>
        <v>0.39768951119891094</v>
      </c>
      <c r="AC59">
        <f t="shared" si="34"/>
        <v>0.49767582698001817</v>
      </c>
      <c r="AD59">
        <f t="shared" si="25"/>
        <v>0</v>
      </c>
      <c r="AE59">
        <f t="shared" si="26"/>
        <v>0.63648195000000007</v>
      </c>
      <c r="AF59">
        <f t="shared" si="9"/>
        <v>3.6000000000000004E-2</v>
      </c>
      <c r="AG59">
        <f t="shared" si="10"/>
        <v>0.26910000000000001</v>
      </c>
      <c r="AH59" s="9">
        <f t="shared" si="11"/>
        <v>0.22723009828009827</v>
      </c>
      <c r="AI59">
        <f t="shared" si="27"/>
        <v>0.30510000000000004</v>
      </c>
      <c r="AJ59" s="109">
        <f t="shared" si="28"/>
        <v>2.8380356909484439</v>
      </c>
      <c r="AK59" s="111">
        <f t="shared" si="29"/>
        <v>101.25</v>
      </c>
      <c r="AL59" s="10">
        <f t="shared" si="30"/>
        <v>0.97273427563399351</v>
      </c>
      <c r="AM59">
        <f t="shared" si="31"/>
        <v>52.394088198220182</v>
      </c>
      <c r="AN59">
        <f t="shared" si="32"/>
        <v>24.883791349000909</v>
      </c>
      <c r="AO59" s="10"/>
      <c r="AP59">
        <f t="shared" si="33"/>
        <v>97.273427563399352</v>
      </c>
      <c r="AZ59" s="31"/>
      <c r="BA59" s="32"/>
    </row>
    <row r="60" spans="1:55">
      <c r="A60" s="37" t="s">
        <v>387</v>
      </c>
      <c r="B60" s="150">
        <f>Ireverse</f>
        <v>0</v>
      </c>
      <c r="C60" s="34" t="s">
        <v>136</v>
      </c>
      <c r="D60" s="153" t="s">
        <v>390</v>
      </c>
      <c r="E60" s="71"/>
      <c r="G60">
        <v>51</v>
      </c>
      <c r="H60">
        <f t="shared" si="0"/>
        <v>15.3</v>
      </c>
      <c r="I60">
        <f t="shared" si="1"/>
        <v>0.56622129645895558</v>
      </c>
      <c r="J60">
        <f t="shared" si="2"/>
        <v>9.7304805447120053</v>
      </c>
      <c r="K60">
        <f t="shared" si="13"/>
        <v>15.555712379570352</v>
      </c>
      <c r="L60">
        <f t="shared" si="3"/>
        <v>7.7916327758331946E-2</v>
      </c>
      <c r="N60" s="48">
        <f t="shared" si="14"/>
        <v>7.7916327758331946E-2</v>
      </c>
      <c r="O60" s="9">
        <f t="shared" si="15"/>
        <v>2.8089477809169465</v>
      </c>
      <c r="P60" s="9">
        <f t="shared" si="4"/>
        <v>1.2229790835673269E-2</v>
      </c>
      <c r="Q60" s="9">
        <f t="shared" si="16"/>
        <v>1.2229790835673269E-2</v>
      </c>
      <c r="R60">
        <f t="shared" si="17"/>
        <v>11.70531227949904</v>
      </c>
      <c r="S60" s="114">
        <f t="shared" si="5"/>
        <v>0.27402867112118201</v>
      </c>
      <c r="T60" s="110">
        <f t="shared" si="18"/>
        <v>0.27402867112118201</v>
      </c>
      <c r="U60">
        <f t="shared" si="19"/>
        <v>11.70531227949904</v>
      </c>
      <c r="V60">
        <f t="shared" si="6"/>
        <v>0.53435590868630489</v>
      </c>
      <c r="W60">
        <f t="shared" si="20"/>
        <v>0.43442143656716425</v>
      </c>
      <c r="X60">
        <f t="shared" si="21"/>
        <v>0</v>
      </c>
      <c r="Y60">
        <f t="shared" si="22"/>
        <v>1.0847005778381187</v>
      </c>
      <c r="Z60">
        <f t="shared" si="23"/>
        <v>10.245284382355001</v>
      </c>
      <c r="AA60">
        <f t="shared" si="7"/>
        <v>9.4469266867794555E-2</v>
      </c>
      <c r="AB60">
        <f t="shared" si="24"/>
        <v>0.4037081102525672</v>
      </c>
      <c r="AC60">
        <f t="shared" si="34"/>
        <v>0.50777113040557087</v>
      </c>
      <c r="AD60">
        <f t="shared" si="25"/>
        <v>0</v>
      </c>
      <c r="AE60">
        <f t="shared" si="26"/>
        <v>0.63641958900000006</v>
      </c>
      <c r="AF60">
        <f t="shared" si="9"/>
        <v>3.6000000000000004E-2</v>
      </c>
      <c r="AG60">
        <f t="shared" si="10"/>
        <v>0.26910000000000001</v>
      </c>
      <c r="AH60" s="9">
        <f t="shared" si="11"/>
        <v>0.22723009828009827</v>
      </c>
      <c r="AI60">
        <f t="shared" si="27"/>
        <v>0.30510000000000004</v>
      </c>
      <c r="AJ60" s="109">
        <f t="shared" si="28"/>
        <v>2.8981660869588768</v>
      </c>
      <c r="AK60" s="111">
        <f t="shared" si="29"/>
        <v>103.27500000000001</v>
      </c>
      <c r="AL60" s="10">
        <f t="shared" si="30"/>
        <v>0.97270340337609218</v>
      </c>
      <c r="AM60">
        <f t="shared" si="31"/>
        <v>54.235028891905934</v>
      </c>
      <c r="AN60">
        <f t="shared" si="32"/>
        <v>25.388556520278545</v>
      </c>
      <c r="AO60" s="10"/>
      <c r="AP60">
        <f t="shared" si="33"/>
        <v>97.270340337609213</v>
      </c>
      <c r="AZ60" s="31"/>
      <c r="BA60" s="32"/>
    </row>
    <row r="61" spans="1:55">
      <c r="A61" s="38" t="s">
        <v>214</v>
      </c>
      <c r="B61" s="28" t="s">
        <v>206</v>
      </c>
      <c r="C61" s="38" t="s">
        <v>149</v>
      </c>
      <c r="D61" s="149" t="s">
        <v>413</v>
      </c>
      <c r="E61" s="13"/>
      <c r="G61">
        <v>52</v>
      </c>
      <c r="H61">
        <f t="shared" si="0"/>
        <v>15.600000000000001</v>
      </c>
      <c r="I61">
        <f t="shared" si="1"/>
        <v>0.56629454874008633</v>
      </c>
      <c r="J61">
        <f t="shared" si="2"/>
        <v>9.7317393809671149</v>
      </c>
      <c r="K61">
        <f t="shared" si="13"/>
        <v>15.850937804483017</v>
      </c>
      <c r="L61">
        <f t="shared" si="3"/>
        <v>8.0921203167020117E-2</v>
      </c>
      <c r="N61" s="48">
        <f t="shared" si="14"/>
        <v>8.0921203167020117E-2</v>
      </c>
      <c r="O61" s="9">
        <f t="shared" si="15"/>
        <v>2.809311175642323</v>
      </c>
      <c r="P61" s="9">
        <f t="shared" si="4"/>
        <v>1.223295538646272E-2</v>
      </c>
      <c r="Q61" s="9">
        <f t="shared" si="16"/>
        <v>1.223295538646272E-2</v>
      </c>
      <c r="R61">
        <f t="shared" si="17"/>
        <v>11.928234060453294</v>
      </c>
      <c r="S61" s="114">
        <f t="shared" si="5"/>
        <v>0.28456553560191616</v>
      </c>
      <c r="T61" s="110">
        <f t="shared" si="18"/>
        <v>0.28456553560191616</v>
      </c>
      <c r="U61">
        <f t="shared" si="19"/>
        <v>11.928234060453294</v>
      </c>
      <c r="V61">
        <f t="shared" si="6"/>
        <v>0.55490279442373647</v>
      </c>
      <c r="W61">
        <f t="shared" si="20"/>
        <v>0.44293950395083415</v>
      </c>
      <c r="X61">
        <f t="shared" si="21"/>
        <v>0</v>
      </c>
      <c r="Y61">
        <f t="shared" si="22"/>
        <v>1.1224077362389313</v>
      </c>
      <c r="Z61">
        <f t="shared" si="23"/>
        <v>10.438843876628811</v>
      </c>
      <c r="AA61">
        <f t="shared" si="7"/>
        <v>9.8072515332567722E-2</v>
      </c>
      <c r="AB61">
        <f t="shared" si="24"/>
        <v>0.40972671120348092</v>
      </c>
      <c r="AC61">
        <f t="shared" si="34"/>
        <v>0.51795872962663791</v>
      </c>
      <c r="AD61">
        <f t="shared" si="25"/>
        <v>0</v>
      </c>
      <c r="AE61">
        <f t="shared" si="26"/>
        <v>0.63635722800000005</v>
      </c>
      <c r="AF61">
        <f t="shared" si="9"/>
        <v>3.6000000000000004E-2</v>
      </c>
      <c r="AG61">
        <f t="shared" si="10"/>
        <v>0.26910000000000001</v>
      </c>
      <c r="AH61" s="9">
        <f t="shared" si="11"/>
        <v>0.22723009828009827</v>
      </c>
      <c r="AI61">
        <f t="shared" si="27"/>
        <v>0.30510000000000004</v>
      </c>
      <c r="AJ61" s="109">
        <f t="shared" si="28"/>
        <v>2.9595433880209683</v>
      </c>
      <c r="AK61" s="111">
        <f t="shared" si="29"/>
        <v>105.30000000000001</v>
      </c>
      <c r="AL61" s="10">
        <f t="shared" si="30"/>
        <v>0.9726625173596618</v>
      </c>
      <c r="AM61">
        <f t="shared" si="31"/>
        <v>56.120386811946567</v>
      </c>
      <c r="AN61">
        <f t="shared" si="32"/>
        <v>25.897936481331897</v>
      </c>
      <c r="AO61" s="10"/>
      <c r="AP61">
        <f t="shared" si="33"/>
        <v>97.266251735966179</v>
      </c>
      <c r="AZ61" s="31"/>
      <c r="BA61" s="32"/>
    </row>
    <row r="62" spans="1:55">
      <c r="A62" s="37" t="s">
        <v>215</v>
      </c>
      <c r="B62" s="151">
        <v>20</v>
      </c>
      <c r="C62" s="34" t="s">
        <v>164</v>
      </c>
      <c r="D62" s="153" t="s">
        <v>189</v>
      </c>
      <c r="G62">
        <v>53</v>
      </c>
      <c r="H62">
        <f t="shared" si="0"/>
        <v>15.9</v>
      </c>
      <c r="I62">
        <f t="shared" si="1"/>
        <v>0.56636781205291031</v>
      </c>
      <c r="J62">
        <f t="shared" si="2"/>
        <v>9.7329984068012418</v>
      </c>
      <c r="K62">
        <f t="shared" si="13"/>
        <v>16.146339259996356</v>
      </c>
      <c r="L62">
        <f t="shared" si="3"/>
        <v>8.3985891182416492E-2</v>
      </c>
      <c r="N62" s="48">
        <f t="shared" si="14"/>
        <v>8.3985891182416492E-2</v>
      </c>
      <c r="O62" s="9">
        <f t="shared" si="15"/>
        <v>2.809674625094448</v>
      </c>
      <c r="P62" s="9">
        <f t="shared" si="4"/>
        <v>1.2236120823294422E-2</v>
      </c>
      <c r="Q62" s="9">
        <f t="shared" si="16"/>
        <v>1.2236120823294422E-2</v>
      </c>
      <c r="R62">
        <f t="shared" si="17"/>
        <v>12.151317123739291</v>
      </c>
      <c r="S62" s="114">
        <f t="shared" si="5"/>
        <v>0.29530901568335949</v>
      </c>
      <c r="T62" s="110">
        <f t="shared" si="18"/>
        <v>0.29530901568335949</v>
      </c>
      <c r="U62">
        <f t="shared" si="19"/>
        <v>12.151317123739291</v>
      </c>
      <c r="V62">
        <f t="shared" si="6"/>
        <v>0.57585258058255095</v>
      </c>
      <c r="W62">
        <f t="shared" si="20"/>
        <v>0.45145757133450398</v>
      </c>
      <c r="X62">
        <f t="shared" si="21"/>
        <v>0</v>
      </c>
      <c r="Y62">
        <f t="shared" si="22"/>
        <v>1.1610261306034035</v>
      </c>
      <c r="Z62">
        <f t="shared" si="23"/>
        <v>10.632486240631584</v>
      </c>
      <c r="AA62">
        <f t="shared" si="7"/>
        <v>0.10174478729149795</v>
      </c>
      <c r="AB62">
        <f t="shared" si="24"/>
        <v>0.41574531405208048</v>
      </c>
      <c r="AC62">
        <f t="shared" si="34"/>
        <v>0.52823921873338953</v>
      </c>
      <c r="AD62">
        <f t="shared" si="25"/>
        <v>0</v>
      </c>
      <c r="AE62">
        <f t="shared" si="26"/>
        <v>0.63629486700000004</v>
      </c>
      <c r="AF62">
        <f t="shared" si="9"/>
        <v>3.6000000000000004E-2</v>
      </c>
      <c r="AG62">
        <f t="shared" si="10"/>
        <v>0.26910000000000001</v>
      </c>
      <c r="AH62" s="9">
        <f t="shared" si="11"/>
        <v>0.22723009828009827</v>
      </c>
      <c r="AI62">
        <f t="shared" si="27"/>
        <v>0.30510000000000004</v>
      </c>
      <c r="AJ62" s="109">
        <f t="shared" si="28"/>
        <v>3.0221912440258634</v>
      </c>
      <c r="AK62" s="111">
        <f t="shared" si="29"/>
        <v>107.325</v>
      </c>
      <c r="AL62" s="10">
        <f t="shared" si="30"/>
        <v>0.97261197852021009</v>
      </c>
      <c r="AM62">
        <f t="shared" si="31"/>
        <v>58.05130653017018</v>
      </c>
      <c r="AN62">
        <f t="shared" si="32"/>
        <v>26.411960936669477</v>
      </c>
      <c r="AO62" s="10"/>
      <c r="AP62">
        <f t="shared" si="33"/>
        <v>97.261197852021013</v>
      </c>
      <c r="AZ62" s="31"/>
      <c r="BA62" s="32"/>
    </row>
    <row r="63" spans="1:55">
      <c r="A63" s="37" t="s">
        <v>215</v>
      </c>
      <c r="B63" s="151">
        <v>2</v>
      </c>
      <c r="C63" s="34" t="s">
        <v>284</v>
      </c>
      <c r="D63" s="35" t="s">
        <v>189</v>
      </c>
      <c r="G63">
        <v>54</v>
      </c>
      <c r="H63">
        <f t="shared" si="0"/>
        <v>16.200000000000003</v>
      </c>
      <c r="I63">
        <f t="shared" si="1"/>
        <v>0.56644108639991952</v>
      </c>
      <c r="J63">
        <f t="shared" si="2"/>
        <v>9.7342576222572106</v>
      </c>
      <c r="K63">
        <f t="shared" si="13"/>
        <v>16.441907258224013</v>
      </c>
      <c r="L63">
        <f t="shared" si="3"/>
        <v>8.7110478187766877E-2</v>
      </c>
      <c r="N63" s="48">
        <f t="shared" si="14"/>
        <v>8.7110478187766877E-2</v>
      </c>
      <c r="O63" s="9">
        <f t="shared" si="15"/>
        <v>2.8100381292856835</v>
      </c>
      <c r="P63" s="9">
        <f t="shared" si="4"/>
        <v>1.2239287146461044E-2</v>
      </c>
      <c r="Q63" s="9">
        <f t="shared" si="16"/>
        <v>1.2239287146461044E-2</v>
      </c>
      <c r="R63">
        <f t="shared" si="17"/>
        <v>12.374554357982641</v>
      </c>
      <c r="S63" s="114">
        <f t="shared" si="5"/>
        <v>0.30625919111733435</v>
      </c>
      <c r="T63" s="110">
        <f t="shared" si="18"/>
        <v>0.30625919111733435</v>
      </c>
      <c r="U63">
        <f t="shared" si="19"/>
        <v>12.374554357982641</v>
      </c>
      <c r="V63">
        <f t="shared" si="6"/>
        <v>0.59720542267880194</v>
      </c>
      <c r="W63">
        <f t="shared" si="20"/>
        <v>0.45997563871817393</v>
      </c>
      <c r="X63">
        <f t="shared" si="21"/>
        <v>0</v>
      </c>
      <c r="Y63">
        <f t="shared" si="22"/>
        <v>1.2005795896571205</v>
      </c>
      <c r="Z63">
        <f t="shared" si="23"/>
        <v>10.826205185999955</v>
      </c>
      <c r="AA63">
        <f t="shared" si="7"/>
        <v>0.10548604685643508</v>
      </c>
      <c r="AB63">
        <f t="shared" si="24"/>
        <v>0.42176391879879482</v>
      </c>
      <c r="AC63">
        <f t="shared" si="34"/>
        <v>0.53861320112960021</v>
      </c>
      <c r="AD63">
        <f t="shared" si="25"/>
        <v>0</v>
      </c>
      <c r="AE63">
        <f t="shared" si="26"/>
        <v>0.63623250600000014</v>
      </c>
      <c r="AF63">
        <f t="shared" si="9"/>
        <v>3.6000000000000004E-2</v>
      </c>
      <c r="AG63">
        <f t="shared" si="10"/>
        <v>0.26910000000000001</v>
      </c>
      <c r="AH63" s="9">
        <f t="shared" si="11"/>
        <v>0.22723009828009827</v>
      </c>
      <c r="AI63">
        <f t="shared" si="27"/>
        <v>0.30510000000000004</v>
      </c>
      <c r="AJ63" s="109">
        <f t="shared" si="28"/>
        <v>3.0861342532382832</v>
      </c>
      <c r="AK63" s="111">
        <f t="shared" si="29"/>
        <v>109.35000000000002</v>
      </c>
      <c r="AL63" s="10">
        <f t="shared" si="30"/>
        <v>0.97255211348437653</v>
      </c>
      <c r="AM63">
        <f t="shared" si="31"/>
        <v>60.028979482856023</v>
      </c>
      <c r="AN63">
        <f t="shared" si="32"/>
        <v>26.930660056480011</v>
      </c>
      <c r="AO63" s="10"/>
      <c r="AP63">
        <f t="shared" si="33"/>
        <v>97.255211348437655</v>
      </c>
      <c r="AZ63" s="31"/>
      <c r="BA63" s="32"/>
    </row>
    <row r="64" spans="1:55">
      <c r="A64" s="152"/>
      <c r="B64" s="48"/>
      <c r="G64">
        <v>55</v>
      </c>
      <c r="H64">
        <f t="shared" si="0"/>
        <v>16.5</v>
      </c>
      <c r="I64">
        <f t="shared" si="1"/>
        <v>0.56651437178360742</v>
      </c>
      <c r="J64">
        <f t="shared" si="2"/>
        <v>9.7355170273778704</v>
      </c>
      <c r="K64">
        <f t="shared" si="13"/>
        <v>16.737632976296172</v>
      </c>
      <c r="L64">
        <f t="shared" si="3"/>
        <v>9.0295052319387864E-2</v>
      </c>
      <c r="N64" s="48">
        <f t="shared" si="14"/>
        <v>9.0295052319387864E-2</v>
      </c>
      <c r="O64" s="9">
        <f t="shared" si="15"/>
        <v>2.8104016882283993</v>
      </c>
      <c r="P64" s="9">
        <f t="shared" si="4"/>
        <v>1.2242454356255407E-2</v>
      </c>
      <c r="Q64" s="9">
        <f t="shared" si="16"/>
        <v>1.2242454356255407E-2</v>
      </c>
      <c r="R64">
        <f t="shared" si="17"/>
        <v>12.597939150505699</v>
      </c>
      <c r="S64" s="114">
        <f t="shared" si="5"/>
        <v>0.31741614167968851</v>
      </c>
      <c r="T64" s="110">
        <f t="shared" si="18"/>
        <v>0.31741614167968851</v>
      </c>
      <c r="U64">
        <f t="shared" si="19"/>
        <v>12.597939150505699</v>
      </c>
      <c r="V64">
        <f t="shared" si="6"/>
        <v>0.61896147627539255</v>
      </c>
      <c r="W64">
        <f t="shared" si="20"/>
        <v>0.46849370610184377</v>
      </c>
      <c r="X64">
        <f t="shared" si="21"/>
        <v>0</v>
      </c>
      <c r="Y64">
        <f t="shared" si="22"/>
        <v>1.2410929240730797</v>
      </c>
      <c r="Z64">
        <f t="shared" si="23"/>
        <v>11.019994864307007</v>
      </c>
      <c r="AA64">
        <f t="shared" si="7"/>
        <v>0.10929625812841753</v>
      </c>
      <c r="AB64">
        <f t="shared" si="24"/>
        <v>0.42778252544405249</v>
      </c>
      <c r="AC64">
        <f t="shared" si="34"/>
        <v>0.54908128964579217</v>
      </c>
      <c r="AD64">
        <f t="shared" si="25"/>
        <v>0</v>
      </c>
      <c r="AE64">
        <f t="shared" si="26"/>
        <v>0.63617014500000013</v>
      </c>
      <c r="AF64">
        <f t="shared" si="9"/>
        <v>3.6000000000000004E-2</v>
      </c>
      <c r="AG64">
        <f t="shared" si="10"/>
        <v>0.26910000000000001</v>
      </c>
      <c r="AH64" s="9">
        <f t="shared" si="11"/>
        <v>0.22723009828009827</v>
      </c>
      <c r="AI64">
        <f t="shared" si="27"/>
        <v>0.30510000000000004</v>
      </c>
      <c r="AJ64" s="109">
        <f t="shared" si="28"/>
        <v>3.1513980070742034</v>
      </c>
      <c r="AK64" s="111">
        <f t="shared" si="29"/>
        <v>111.375</v>
      </c>
      <c r="AL64" s="10">
        <f t="shared" si="30"/>
        <v>0.97248321730262099</v>
      </c>
      <c r="AM64">
        <f t="shared" si="31"/>
        <v>62.054646203653988</v>
      </c>
      <c r="AN64">
        <f t="shared" si="32"/>
        <v>27.45406448228961</v>
      </c>
      <c r="AO64" s="10"/>
      <c r="AP64">
        <f t="shared" si="33"/>
        <v>97.248321730262106</v>
      </c>
      <c r="AZ64" s="31"/>
      <c r="BA64" s="32"/>
    </row>
    <row r="65" spans="1:53">
      <c r="G65">
        <v>56</v>
      </c>
      <c r="H65">
        <f t="shared" si="0"/>
        <v>16.8</v>
      </c>
      <c r="I65">
        <f t="shared" si="1"/>
        <v>0.56658766820646711</v>
      </c>
      <c r="J65">
        <f t="shared" si="2"/>
        <v>9.7367766222060652</v>
      </c>
      <c r="K65">
        <f t="shared" si="13"/>
        <v>17.03350819950375</v>
      </c>
      <c r="L65">
        <f t="shared" si="3"/>
        <v>9.3539703472936192E-2</v>
      </c>
      <c r="N65" s="48">
        <f t="shared" si="14"/>
        <v>9.3539703472936192E-2</v>
      </c>
      <c r="O65" s="9">
        <f t="shared" si="15"/>
        <v>2.8107653019349637</v>
      </c>
      <c r="P65" s="9">
        <f t="shared" si="4"/>
        <v>1.2245622452970397E-2</v>
      </c>
      <c r="Q65" s="9">
        <f t="shared" si="16"/>
        <v>1.2245622452970397E-2</v>
      </c>
      <c r="R65">
        <f t="shared" si="17"/>
        <v>12.821465344692527</v>
      </c>
      <c r="S65" s="114">
        <f t="shared" si="5"/>
        <v>0.32877994717030296</v>
      </c>
      <c r="T65" s="110">
        <f t="shared" si="18"/>
        <v>0.32877994717030296</v>
      </c>
      <c r="U65">
        <f t="shared" si="19"/>
        <v>12.821465344692527</v>
      </c>
      <c r="V65">
        <f t="shared" si="6"/>
        <v>0.64112089698209074</v>
      </c>
      <c r="W65">
        <f t="shared" si="20"/>
        <v>0.47701177348551371</v>
      </c>
      <c r="X65">
        <f t="shared" si="21"/>
        <v>0</v>
      </c>
      <c r="Y65">
        <f t="shared" si="22"/>
        <v>1.2825919738097982</v>
      </c>
      <c r="Z65">
        <f t="shared" si="23"/>
        <v>11.213849829447959</v>
      </c>
      <c r="AA65">
        <f t="shared" si="7"/>
        <v>0.11317538519766901</v>
      </c>
      <c r="AB65">
        <f t="shared" si="24"/>
        <v>0.43380113398828279</v>
      </c>
      <c r="AC65">
        <f t="shared" si="34"/>
        <v>0.55964410665480435</v>
      </c>
      <c r="AD65">
        <f t="shared" si="25"/>
        <v>0</v>
      </c>
      <c r="AE65">
        <f t="shared" si="26"/>
        <v>0.63610778400000012</v>
      </c>
      <c r="AF65">
        <f t="shared" si="9"/>
        <v>3.6000000000000004E-2</v>
      </c>
      <c r="AG65">
        <f t="shared" si="10"/>
        <v>0.26910000000000001</v>
      </c>
      <c r="AH65" s="9">
        <f t="shared" si="11"/>
        <v>0.22723009828009827</v>
      </c>
      <c r="AI65">
        <f t="shared" si="27"/>
        <v>0.30510000000000004</v>
      </c>
      <c r="AJ65" s="109">
        <f t="shared" si="28"/>
        <v>3.2180091375608124</v>
      </c>
      <c r="AK65" s="111">
        <f t="shared" si="29"/>
        <v>113.4</v>
      </c>
      <c r="AL65" s="10">
        <f t="shared" si="30"/>
        <v>0.9724055558711785</v>
      </c>
      <c r="AM65">
        <f t="shared" si="31"/>
        <v>64.129598690489914</v>
      </c>
      <c r="AN65">
        <f t="shared" si="32"/>
        <v>27.982205332740218</v>
      </c>
      <c r="AO65" s="10"/>
      <c r="AP65">
        <f t="shared" si="33"/>
        <v>97.240555587117854</v>
      </c>
      <c r="AZ65" s="31"/>
      <c r="BA65" s="32"/>
    </row>
    <row r="66" spans="1:53">
      <c r="A66" s="12" t="s">
        <v>150</v>
      </c>
      <c r="B66" s="49"/>
      <c r="C66" s="49"/>
      <c r="D66" s="50"/>
      <c r="G66">
        <v>57</v>
      </c>
      <c r="H66">
        <f t="shared" si="0"/>
        <v>17.099999999999998</v>
      </c>
      <c r="I66">
        <f t="shared" si="1"/>
        <v>0.56666097567099349</v>
      </c>
      <c r="J66">
        <f t="shared" si="2"/>
        <v>9.7380364067846692</v>
      </c>
      <c r="K66">
        <f t="shared" si="13"/>
        <v>17.329525270137147</v>
      </c>
      <c r="L66">
        <f t="shared" si="3"/>
        <v>9.6844523309809957E-2</v>
      </c>
      <c r="N66" s="48">
        <f t="shared" si="14"/>
        <v>9.6844523309809957E-2</v>
      </c>
      <c r="O66" s="9">
        <f t="shared" si="15"/>
        <v>2.8111289704177524</v>
      </c>
      <c r="P66" s="9">
        <f t="shared" si="4"/>
        <v>1.2248791436899059E-2</v>
      </c>
      <c r="Q66" s="9">
        <f t="shared" si="16"/>
        <v>1.2248791436899059E-2</v>
      </c>
      <c r="R66">
        <f t="shared" si="17"/>
        <v>13.045127201624027</v>
      </c>
      <c r="S66" s="114">
        <f t="shared" si="5"/>
        <v>0.3403506874131022</v>
      </c>
      <c r="T66" s="110">
        <f t="shared" si="18"/>
        <v>0.3403506874131022</v>
      </c>
      <c r="U66">
        <f t="shared" si="19"/>
        <v>13.045127201624027</v>
      </c>
      <c r="V66">
        <f t="shared" si="6"/>
        <v>0.66368384045554929</v>
      </c>
      <c r="W66">
        <f t="shared" si="20"/>
        <v>0.48552984086918349</v>
      </c>
      <c r="X66">
        <f t="shared" si="21"/>
        <v>0</v>
      </c>
      <c r="Y66">
        <f t="shared" si="22"/>
        <v>1.3251036583151985</v>
      </c>
      <c r="Z66">
        <f t="shared" si="23"/>
        <v>11.407765003793285</v>
      </c>
      <c r="AA66">
        <f t="shared" si="7"/>
        <v>0.11712339214359371</v>
      </c>
      <c r="AB66">
        <f t="shared" si="24"/>
        <v>0.43981974443191452</v>
      </c>
      <c r="AC66">
        <f t="shared" si="34"/>
        <v>0.57030228418981843</v>
      </c>
      <c r="AD66">
        <f t="shared" si="25"/>
        <v>0</v>
      </c>
      <c r="AE66">
        <f t="shared" si="26"/>
        <v>0.63604542300000011</v>
      </c>
      <c r="AF66">
        <f t="shared" si="9"/>
        <v>3.6000000000000004E-2</v>
      </c>
      <c r="AG66">
        <f t="shared" si="10"/>
        <v>0.26910000000000001</v>
      </c>
      <c r="AH66" s="9">
        <f t="shared" si="11"/>
        <v>0.22723009828009827</v>
      </c>
      <c r="AI66">
        <f t="shared" si="27"/>
        <v>0.30510000000000004</v>
      </c>
      <c r="AJ66" s="109">
        <f t="shared" si="28"/>
        <v>3.2859953676648277</v>
      </c>
      <c r="AK66" s="111">
        <f t="shared" si="29"/>
        <v>115.42499999999998</v>
      </c>
      <c r="AL66" s="10">
        <f t="shared" si="30"/>
        <v>0.97231936807969954</v>
      </c>
      <c r="AM66">
        <f t="shared" si="31"/>
        <v>66.255182915759931</v>
      </c>
      <c r="AN66">
        <f t="shared" si="32"/>
        <v>28.515114209490921</v>
      </c>
      <c r="AO66" s="10"/>
      <c r="AP66">
        <f t="shared" si="33"/>
        <v>97.231936807969959</v>
      </c>
      <c r="AZ66" s="31"/>
      <c r="BA66" s="32"/>
    </row>
    <row r="67" spans="1:53">
      <c r="A67" s="51" t="s">
        <v>125</v>
      </c>
      <c r="B67" s="28" t="s">
        <v>8</v>
      </c>
      <c r="C67" s="52" t="s">
        <v>149</v>
      </c>
      <c r="D67" s="50"/>
      <c r="G67">
        <v>58</v>
      </c>
      <c r="H67">
        <f t="shared" si="0"/>
        <v>17.399999999999999</v>
      </c>
      <c r="I67">
        <f t="shared" si="1"/>
        <v>0.56673429417968157</v>
      </c>
      <c r="J67">
        <f t="shared" si="2"/>
        <v>9.7392963811565583</v>
      </c>
      <c r="K67">
        <f t="shared" si="13"/>
        <v>17.625677041369713</v>
      </c>
      <c r="L67">
        <f t="shared" si="3"/>
        <v>0.1002096052636825</v>
      </c>
      <c r="N67" s="48">
        <f t="shared" si="14"/>
        <v>0.1002096052636825</v>
      </c>
      <c r="O67" s="9">
        <f t="shared" si="15"/>
        <v>2.8114926936891438</v>
      </c>
      <c r="P67" s="9">
        <f t="shared" si="4"/>
        <v>1.2251961308334527E-2</v>
      </c>
      <c r="Q67" s="9">
        <f t="shared" si="16"/>
        <v>1.2251961308334527E-2</v>
      </c>
      <c r="R67">
        <f t="shared" si="17"/>
        <v>13.268919365495865</v>
      </c>
      <c r="S67" s="114">
        <f t="shared" si="5"/>
        <v>0.35212844225606238</v>
      </c>
      <c r="T67" s="110">
        <f t="shared" si="18"/>
        <v>0.35212844225606238</v>
      </c>
      <c r="U67">
        <f t="shared" si="19"/>
        <v>13.268919365495865</v>
      </c>
      <c r="V67">
        <f t="shared" si="6"/>
        <v>0.68665046239932159</v>
      </c>
      <c r="W67">
        <f t="shared" si="20"/>
        <v>0.49404790825285338</v>
      </c>
      <c r="X67">
        <f t="shared" si="21"/>
        <v>0</v>
      </c>
      <c r="Y67">
        <f t="shared" si="22"/>
        <v>1.3686560297973722</v>
      </c>
      <c r="Z67">
        <f t="shared" si="23"/>
        <v>11.601735647679455</v>
      </c>
      <c r="AA67">
        <f t="shared" si="7"/>
        <v>0.12114024303477258</v>
      </c>
      <c r="AB67">
        <f t="shared" si="24"/>
        <v>0.4458383567753772</v>
      </c>
      <c r="AC67">
        <f t="shared" si="34"/>
        <v>0.58105646406489919</v>
      </c>
      <c r="AD67">
        <f t="shared" si="25"/>
        <v>0</v>
      </c>
      <c r="AE67">
        <f t="shared" si="26"/>
        <v>0.6359830620000001</v>
      </c>
      <c r="AF67">
        <f t="shared" si="9"/>
        <v>3.6000000000000004E-2</v>
      </c>
      <c r="AG67">
        <f t="shared" si="10"/>
        <v>0.26910000000000001</v>
      </c>
      <c r="AH67" s="9">
        <f t="shared" si="11"/>
        <v>0.22723009828009827</v>
      </c>
      <c r="AI67">
        <f t="shared" si="27"/>
        <v>0.30510000000000004</v>
      </c>
      <c r="AJ67" s="109">
        <f t="shared" si="28"/>
        <v>3.355385564690351</v>
      </c>
      <c r="AK67" s="111">
        <f t="shared" si="29"/>
        <v>117.44999999999999</v>
      </c>
      <c r="AL67" s="10">
        <f t="shared" si="30"/>
        <v>0.97222486771590522</v>
      </c>
      <c r="AM67">
        <f t="shared" si="31"/>
        <v>68.432801489868609</v>
      </c>
      <c r="AN67">
        <f t="shared" si="32"/>
        <v>29.052823203244959</v>
      </c>
      <c r="AO67" s="10"/>
      <c r="AP67">
        <f t="shared" si="33"/>
        <v>97.222486771590525</v>
      </c>
      <c r="AZ67" s="31"/>
      <c r="BA67" s="32"/>
    </row>
    <row r="68" spans="1:53">
      <c r="A68" s="53" t="s">
        <v>408</v>
      </c>
      <c r="B68" s="54">
        <f>I109</f>
        <v>0.56982367758186403</v>
      </c>
      <c r="C68" s="43" t="s">
        <v>23</v>
      </c>
      <c r="D68" s="50"/>
      <c r="G68">
        <v>59</v>
      </c>
      <c r="H68">
        <f t="shared" si="0"/>
        <v>17.7</v>
      </c>
      <c r="I68">
        <f t="shared" si="1"/>
        <v>0.56680762373502758</v>
      </c>
      <c r="J68">
        <f t="shared" si="2"/>
        <v>9.7405565453646332</v>
      </c>
      <c r="K68">
        <f t="shared" si="13"/>
        <v>17.921956835618904</v>
      </c>
      <c r="L68">
        <f t="shared" si="3"/>
        <v>0.1036350445471705</v>
      </c>
      <c r="N68" s="48">
        <f t="shared" si="14"/>
        <v>0.1036350445471705</v>
      </c>
      <c r="O68" s="9">
        <f t="shared" si="15"/>
        <v>2.8118564717615211</v>
      </c>
      <c r="P68" s="9">
        <f t="shared" si="4"/>
        <v>1.2255132067570082E-2</v>
      </c>
      <c r="Q68" s="9">
        <f t="shared" si="16"/>
        <v>1.2255132067570082E-2</v>
      </c>
      <c r="R68">
        <f t="shared" si="17"/>
        <v>13.492836832394078</v>
      </c>
      <c r="S68" s="114">
        <f t="shared" si="5"/>
        <v>0.36411329157122052</v>
      </c>
      <c r="T68" s="110">
        <f t="shared" si="18"/>
        <v>0.36411329157122052</v>
      </c>
      <c r="U68">
        <f t="shared" si="19"/>
        <v>13.492836832394078</v>
      </c>
      <c r="V68">
        <f t="shared" si="6"/>
        <v>0.71002091856387994</v>
      </c>
      <c r="W68">
        <f t="shared" si="20"/>
        <v>0.50256597563652328</v>
      </c>
      <c r="X68">
        <f t="shared" si="21"/>
        <v>0</v>
      </c>
      <c r="Y68">
        <f t="shared" si="22"/>
        <v>1.4132783297797291</v>
      </c>
      <c r="Z68">
        <f t="shared" si="23"/>
        <v>11.795757331862035</v>
      </c>
      <c r="AA68">
        <f t="shared" si="7"/>
        <v>0.12522590192895927</v>
      </c>
      <c r="AB68">
        <f t="shared" si="24"/>
        <v>0.45185697101910005</v>
      </c>
      <c r="AC68">
        <f t="shared" si="34"/>
        <v>0.59190729799808806</v>
      </c>
      <c r="AD68">
        <f t="shared" si="25"/>
        <v>0</v>
      </c>
      <c r="AE68">
        <f t="shared" si="26"/>
        <v>0.63592070100000009</v>
      </c>
      <c r="AF68">
        <f t="shared" si="9"/>
        <v>3.6000000000000004E-2</v>
      </c>
      <c r="AG68">
        <f t="shared" si="10"/>
        <v>0.26910000000000001</v>
      </c>
      <c r="AH68" s="9">
        <f t="shared" si="11"/>
        <v>0.22723009828009827</v>
      </c>
      <c r="AI68">
        <f t="shared" si="27"/>
        <v>0.30510000000000004</v>
      </c>
      <c r="AJ68" s="109">
        <f t="shared" si="28"/>
        <v>3.4262097969637781</v>
      </c>
      <c r="AK68" s="111">
        <f t="shared" si="29"/>
        <v>119.47499999999999</v>
      </c>
      <c r="AL68" s="10">
        <f t="shared" si="30"/>
        <v>0.97212224515426682</v>
      </c>
      <c r="AM68">
        <f t="shared" si="31"/>
        <v>70.663916488986459</v>
      </c>
      <c r="AN68">
        <f t="shared" si="32"/>
        <v>29.595364899904403</v>
      </c>
      <c r="AO68" s="10"/>
      <c r="AP68">
        <f t="shared" si="33"/>
        <v>97.212224515426684</v>
      </c>
      <c r="AZ68" s="31"/>
      <c r="BA68" s="32"/>
    </row>
    <row r="69" spans="1:53">
      <c r="A69" s="37" t="s">
        <v>152</v>
      </c>
      <c r="B69" s="54">
        <f>1-B68</f>
        <v>0.43017632241813597</v>
      </c>
      <c r="C69" s="43" t="s">
        <v>23</v>
      </c>
      <c r="G69">
        <v>60</v>
      </c>
      <c r="H69">
        <f t="shared" si="0"/>
        <v>18</v>
      </c>
      <c r="I69">
        <f t="shared" si="1"/>
        <v>0.56688096433952795</v>
      </c>
      <c r="J69">
        <f t="shared" si="2"/>
        <v>9.7418168994517913</v>
      </c>
      <c r="K69">
        <f t="shared" si="13"/>
        <v>18.218358406889198</v>
      </c>
      <c r="L69">
        <f t="shared" si="3"/>
        <v>0.10712093815863623</v>
      </c>
      <c r="N69" s="48">
        <f t="shared" si="14"/>
        <v>0.10712093815863623</v>
      </c>
      <c r="O69" s="9">
        <f t="shared" si="15"/>
        <v>2.8122203046472687</v>
      </c>
      <c r="P69" s="9">
        <f t="shared" si="4"/>
        <v>1.2258303714899083E-2</v>
      </c>
      <c r="Q69" s="9">
        <f t="shared" si="16"/>
        <v>1.2258303714899083E-2</v>
      </c>
      <c r="R69">
        <f t="shared" si="17"/>
        <v>13.716874922056471</v>
      </c>
      <c r="S69" s="114">
        <f t="shared" si="5"/>
        <v>0.37630531525468341</v>
      </c>
      <c r="T69" s="110">
        <f t="shared" si="18"/>
        <v>0.37630531525468341</v>
      </c>
      <c r="U69">
        <f t="shared" si="19"/>
        <v>13.716874922056471</v>
      </c>
      <c r="V69">
        <f t="shared" si="6"/>
        <v>0.73379536474663265</v>
      </c>
      <c r="W69">
        <f t="shared" si="20"/>
        <v>0.51108404302019317</v>
      </c>
      <c r="X69">
        <f t="shared" si="21"/>
        <v>0</v>
      </c>
      <c r="Y69">
        <f t="shared" si="22"/>
        <v>1.4590010491759886</v>
      </c>
      <c r="Z69">
        <f t="shared" si="23"/>
        <v>11.989825912603091</v>
      </c>
      <c r="AA69">
        <f t="shared" si="7"/>
        <v>0.12938033287307568</v>
      </c>
      <c r="AB69">
        <f t="shared" si="24"/>
        <v>0.45787558716351251</v>
      </c>
      <c r="AC69">
        <f t="shared" si="34"/>
        <v>0.60285544773710298</v>
      </c>
      <c r="AD69">
        <f t="shared" si="25"/>
        <v>0</v>
      </c>
      <c r="AE69">
        <f t="shared" si="26"/>
        <v>0.63585834000000008</v>
      </c>
      <c r="AF69">
        <f t="shared" si="9"/>
        <v>3.6000000000000004E-2</v>
      </c>
      <c r="AG69">
        <f t="shared" si="10"/>
        <v>0.26910000000000001</v>
      </c>
      <c r="AH69" s="9">
        <f t="shared" si="11"/>
        <v>0.22723009828009827</v>
      </c>
      <c r="AI69">
        <f t="shared" si="27"/>
        <v>0.30510000000000004</v>
      </c>
      <c r="AJ69" s="109">
        <f t="shared" si="28"/>
        <v>3.4984993940413101</v>
      </c>
      <c r="AK69" s="111">
        <f t="shared" si="29"/>
        <v>121.5</v>
      </c>
      <c r="AL69" s="10">
        <f t="shared" si="30"/>
        <v>0.97201166885201762</v>
      </c>
      <c r="AM69">
        <f t="shared" si="31"/>
        <v>72.950052458799433</v>
      </c>
      <c r="AN69">
        <f t="shared" si="32"/>
        <v>30.14277238685515</v>
      </c>
      <c r="AO69" s="10"/>
      <c r="AP69">
        <f t="shared" si="33"/>
        <v>97.201166885201758</v>
      </c>
      <c r="AZ69" s="31"/>
      <c r="BA69" s="32"/>
    </row>
    <row r="70" spans="1:53">
      <c r="A70" s="55" t="s">
        <v>409</v>
      </c>
      <c r="B70" s="54">
        <f>Ipp</f>
        <v>0.43017632241813597</v>
      </c>
      <c r="C70" s="43" t="s">
        <v>2</v>
      </c>
      <c r="G70">
        <v>61</v>
      </c>
      <c r="H70">
        <f t="shared" si="0"/>
        <v>18.3</v>
      </c>
      <c r="I70">
        <f t="shared" si="1"/>
        <v>0.56695431599568025</v>
      </c>
      <c r="J70">
        <f t="shared" si="2"/>
        <v>9.7430774434609546</v>
      </c>
      <c r="K70">
        <f t="shared" si="13"/>
        <v>18.514875906662365</v>
      </c>
      <c r="L70">
        <f t="shared" si="3"/>
        <v>0.11066738488912567</v>
      </c>
      <c r="N70" s="48">
        <f t="shared" si="14"/>
        <v>0.11066738488912567</v>
      </c>
      <c r="O70" s="9">
        <f t="shared" si="15"/>
        <v>2.8125841923587767</v>
      </c>
      <c r="P70" s="9">
        <f t="shared" si="4"/>
        <v>1.2261476250615031E-2</v>
      </c>
      <c r="Q70" s="9">
        <f t="shared" si="16"/>
        <v>1.2261476250615031E-2</v>
      </c>
      <c r="R70">
        <f t="shared" si="17"/>
        <v>13.941029252294072</v>
      </c>
      <c r="S70" s="114">
        <f t="shared" si="5"/>
        <v>0.38870459322663808</v>
      </c>
      <c r="T70" s="110">
        <f t="shared" si="18"/>
        <v>0.38870459322663808</v>
      </c>
      <c r="U70">
        <f t="shared" si="19"/>
        <v>13.941029252294072</v>
      </c>
      <c r="V70">
        <f t="shared" si="6"/>
        <v>0.75797395679194413</v>
      </c>
      <c r="W70">
        <f t="shared" si="20"/>
        <v>0.51960211040386306</v>
      </c>
      <c r="X70">
        <f t="shared" si="21"/>
        <v>0</v>
      </c>
      <c r="Y70">
        <f t="shared" si="22"/>
        <v>1.5058559921400589</v>
      </c>
      <c r="Z70">
        <f t="shared" si="23"/>
        <v>12.183937509105483</v>
      </c>
      <c r="AA70">
        <f t="shared" si="7"/>
        <v>0.13360349990320877</v>
      </c>
      <c r="AB70">
        <f t="shared" si="24"/>
        <v>0.46389420520904423</v>
      </c>
      <c r="AC70">
        <f t="shared" si="34"/>
        <v>0.61390158518769367</v>
      </c>
      <c r="AD70">
        <f t="shared" si="25"/>
        <v>0</v>
      </c>
      <c r="AE70">
        <f t="shared" si="26"/>
        <v>0.63579597900000007</v>
      </c>
      <c r="AF70">
        <f t="shared" si="9"/>
        <v>3.6000000000000004E-2</v>
      </c>
      <c r="AG70">
        <f t="shared" si="10"/>
        <v>0.26910000000000001</v>
      </c>
      <c r="AH70" s="9">
        <f t="shared" si="11"/>
        <v>0.22723009828009827</v>
      </c>
      <c r="AI70">
        <f t="shared" si="27"/>
        <v>0.30510000000000004</v>
      </c>
      <c r="AJ70" s="109">
        <f t="shared" si="28"/>
        <v>3.5722870106941311</v>
      </c>
      <c r="AK70" s="111">
        <f t="shared" si="29"/>
        <v>123.52500000000001</v>
      </c>
      <c r="AL70" s="10">
        <f t="shared" si="30"/>
        <v>0.97189328667264507</v>
      </c>
      <c r="AM70">
        <f t="shared" si="31"/>
        <v>75.292799607002948</v>
      </c>
      <c r="AN70">
        <f t="shared" si="32"/>
        <v>30.695079259384684</v>
      </c>
      <c r="AO70" s="10"/>
      <c r="AP70">
        <f t="shared" si="33"/>
        <v>97.189328667264505</v>
      </c>
      <c r="AZ70" s="31"/>
      <c r="BA70" s="32"/>
    </row>
    <row r="71" spans="1:53">
      <c r="A71" s="51" t="s">
        <v>129</v>
      </c>
      <c r="B71" s="28" t="s">
        <v>8</v>
      </c>
      <c r="C71" s="30" t="s">
        <v>149</v>
      </c>
      <c r="G71">
        <v>62</v>
      </c>
      <c r="H71">
        <f t="shared" si="0"/>
        <v>18.600000000000001</v>
      </c>
      <c r="I71">
        <f t="shared" si="1"/>
        <v>0.56702767870598281</v>
      </c>
      <c r="J71">
        <f t="shared" si="2"/>
        <v>9.7443381774350577</v>
      </c>
      <c r="K71">
        <f t="shared" si="13"/>
        <v>18.811503852953514</v>
      </c>
      <c r="L71">
        <f t="shared" si="3"/>
        <v>0.11427448532944258</v>
      </c>
      <c r="N71" s="48">
        <f t="shared" si="14"/>
        <v>0.11427448532944258</v>
      </c>
      <c r="O71" s="9">
        <f t="shared" si="15"/>
        <v>2.8129481349084391</v>
      </c>
      <c r="P71" s="9">
        <f t="shared" si="4"/>
        <v>1.2264649675011542E-2</v>
      </c>
      <c r="Q71" s="9">
        <f t="shared" si="16"/>
        <v>1.2264649675011542E-2</v>
      </c>
      <c r="R71">
        <f t="shared" si="17"/>
        <v>14.165295715786494</v>
      </c>
      <c r="S71" s="114">
        <f t="shared" si="5"/>
        <v>0.40131120543135834</v>
      </c>
      <c r="T71" s="110">
        <f t="shared" si="18"/>
        <v>0.40131120543135834</v>
      </c>
      <c r="U71">
        <f t="shared" si="19"/>
        <v>14.165295715786494</v>
      </c>
      <c r="V71">
        <f t="shared" si="6"/>
        <v>0.78255685059114877</v>
      </c>
      <c r="W71">
        <f t="shared" si="20"/>
        <v>0.52812017778753295</v>
      </c>
      <c r="X71">
        <f t="shared" si="21"/>
        <v>0</v>
      </c>
      <c r="Y71">
        <f t="shared" si="22"/>
        <v>1.5538763439673111</v>
      </c>
      <c r="Z71">
        <f t="shared" si="23"/>
        <v>12.378088483041546</v>
      </c>
      <c r="AA71">
        <f t="shared" si="7"/>
        <v>0.1378953670446052</v>
      </c>
      <c r="AB71">
        <f t="shared" si="24"/>
        <v>0.46991282515612498</v>
      </c>
      <c r="AC71">
        <f t="shared" si="34"/>
        <v>0.62504639254470173</v>
      </c>
      <c r="AD71">
        <f t="shared" si="25"/>
        <v>0</v>
      </c>
      <c r="AE71">
        <f t="shared" si="26"/>
        <v>0.63573361800000006</v>
      </c>
      <c r="AF71">
        <f t="shared" si="9"/>
        <v>3.6000000000000004E-2</v>
      </c>
      <c r="AG71">
        <f t="shared" si="10"/>
        <v>0.26910000000000001</v>
      </c>
      <c r="AH71" s="9">
        <f t="shared" si="11"/>
        <v>0.22723009828009827</v>
      </c>
      <c r="AI71">
        <f t="shared" si="27"/>
        <v>0.30510000000000004</v>
      </c>
      <c r="AJ71" s="109">
        <f t="shared" si="28"/>
        <v>3.6476066949478256</v>
      </c>
      <c r="AK71" s="111">
        <f t="shared" si="29"/>
        <v>125.55000000000001</v>
      </c>
      <c r="AL71" s="10">
        <f t="shared" si="30"/>
        <v>0.97176722705428831</v>
      </c>
      <c r="AM71">
        <f t="shared" si="31"/>
        <v>77.693817198365551</v>
      </c>
      <c r="AN71">
        <f t="shared" si="32"/>
        <v>31.252319627235085</v>
      </c>
      <c r="AO71" s="10"/>
      <c r="AP71">
        <f t="shared" si="33"/>
        <v>97.17672270542883</v>
      </c>
      <c r="AZ71" s="31"/>
      <c r="BA71" s="32"/>
    </row>
    <row r="72" spans="1:53">
      <c r="A72" s="53" t="s">
        <v>170</v>
      </c>
      <c r="B72" s="54">
        <f>(QgdTop+QgsTop/2)*(RdsonDRT+RGateTop)/(Vdd-VspTop)*1000000000</f>
        <v>3.6132352941176475</v>
      </c>
      <c r="C72" s="43" t="s">
        <v>148</v>
      </c>
      <c r="G72">
        <v>63</v>
      </c>
      <c r="H72">
        <f t="shared" si="0"/>
        <v>18.899999999999999</v>
      </c>
      <c r="I72">
        <f t="shared" si="1"/>
        <v>0.56710105247293452</v>
      </c>
      <c r="J72">
        <f t="shared" si="2"/>
        <v>9.745599101417044</v>
      </c>
      <c r="K72">
        <f t="shared" si="13"/>
        <v>19.108237102197446</v>
      </c>
      <c r="L72">
        <f t="shared" si="3"/>
        <v>0.11794234187736076</v>
      </c>
      <c r="N72" s="48">
        <f t="shared" si="14"/>
        <v>0.11794234187736076</v>
      </c>
      <c r="O72" s="9">
        <f t="shared" si="15"/>
        <v>2.8133121323086527</v>
      </c>
      <c r="P72" s="9">
        <f t="shared" si="4"/>
        <v>1.226782398838234E-2</v>
      </c>
      <c r="Q72" s="9">
        <f t="shared" si="16"/>
        <v>1.226782398838234E-2</v>
      </c>
      <c r="R72">
        <f t="shared" si="17"/>
        <v>14.389670458999683</v>
      </c>
      <c r="S72" s="114">
        <f t="shared" si="5"/>
        <v>0.41412523183721628</v>
      </c>
      <c r="T72" s="110">
        <f t="shared" si="18"/>
        <v>0.41412523183721628</v>
      </c>
      <c r="U72">
        <f t="shared" si="19"/>
        <v>14.389670458999683</v>
      </c>
      <c r="V72">
        <f t="shared" si="6"/>
        <v>0.80754420208257172</v>
      </c>
      <c r="W72">
        <f t="shared" si="20"/>
        <v>0.53663824517120284</v>
      </c>
      <c r="X72">
        <f t="shared" si="21"/>
        <v>0</v>
      </c>
      <c r="Y72">
        <f t="shared" si="22"/>
        <v>1.6030967433472849</v>
      </c>
      <c r="Z72">
        <f t="shared" si="23"/>
        <v>12.572275419954293</v>
      </c>
      <c r="AA72">
        <f t="shared" si="7"/>
        <v>0.14225589831166818</v>
      </c>
      <c r="AB72">
        <f t="shared" si="24"/>
        <v>0.47593144700518464</v>
      </c>
      <c r="AC72">
        <f t="shared" si="34"/>
        <v>0.63629056242587889</v>
      </c>
      <c r="AD72">
        <f t="shared" si="25"/>
        <v>0</v>
      </c>
      <c r="AE72">
        <f t="shared" si="26"/>
        <v>0.63567125700000005</v>
      </c>
      <c r="AF72">
        <f t="shared" si="9"/>
        <v>3.6000000000000004E-2</v>
      </c>
      <c r="AG72">
        <f t="shared" si="10"/>
        <v>0.26910000000000001</v>
      </c>
      <c r="AH72" s="9">
        <f t="shared" si="11"/>
        <v>0.22723009828009827</v>
      </c>
      <c r="AI72">
        <f t="shared" si="27"/>
        <v>0.30510000000000004</v>
      </c>
      <c r="AJ72" s="109">
        <f t="shared" si="28"/>
        <v>3.7244939604761229</v>
      </c>
      <c r="AK72" s="111">
        <f t="shared" si="29"/>
        <v>127.57499999999999</v>
      </c>
      <c r="AL72" s="10">
        <f t="shared" si="30"/>
        <v>0.97163360003811394</v>
      </c>
      <c r="AM72">
        <f t="shared" si="31"/>
        <v>80.154837167364249</v>
      </c>
      <c r="AN72">
        <f t="shared" si="32"/>
        <v>31.814528121293943</v>
      </c>
      <c r="AO72" s="10"/>
      <c r="AP72">
        <f t="shared" si="33"/>
        <v>97.163360003811391</v>
      </c>
      <c r="AZ72" s="31"/>
      <c r="BA72" s="32"/>
    </row>
    <row r="73" spans="1:53">
      <c r="A73" s="55" t="s">
        <v>171</v>
      </c>
      <c r="B73" s="54">
        <f>(QgdTop+QgsTop/2)*(RdsonDRT+RGateTop)/(VspTop)*1000000000</f>
        <v>3.6671641791044776</v>
      </c>
      <c r="C73" s="43" t="s">
        <v>148</v>
      </c>
      <c r="G73">
        <v>64</v>
      </c>
      <c r="H73">
        <f t="shared" si="0"/>
        <v>19.2</v>
      </c>
      <c r="I73">
        <f t="shared" si="1"/>
        <v>0.56717443729903538</v>
      </c>
      <c r="J73">
        <f t="shared" si="2"/>
        <v>9.7468602154498729</v>
      </c>
      <c r="K73">
        <f t="shared" si="13"/>
        <v>19.40507082366943</v>
      </c>
      <c r="L73">
        <f t="shared" si="3"/>
        <v>0.12167105874497409</v>
      </c>
      <c r="N73" s="48">
        <f t="shared" si="14"/>
        <v>0.12167105874497409</v>
      </c>
      <c r="O73" s="9">
        <f t="shared" si="15"/>
        <v>2.8136761845718192</v>
      </c>
      <c r="P73" s="9">
        <f t="shared" si="4"/>
        <v>1.2270999191021276E-2</v>
      </c>
      <c r="Q73" s="9">
        <f t="shared" si="16"/>
        <v>1.2270999191021276E-2</v>
      </c>
      <c r="R73">
        <f t="shared" si="17"/>
        <v>14.614149863004178</v>
      </c>
      <c r="S73" s="114">
        <f t="shared" si="5"/>
        <v>0.42714675243669009</v>
      </c>
      <c r="T73" s="110">
        <f t="shared" si="18"/>
        <v>0.42714675243669009</v>
      </c>
      <c r="U73">
        <f t="shared" si="19"/>
        <v>14.614149863004178</v>
      </c>
      <c r="V73">
        <f t="shared" si="6"/>
        <v>0.83293616725154562</v>
      </c>
      <c r="W73">
        <f t="shared" si="20"/>
        <v>0.54515631255487274</v>
      </c>
      <c r="X73">
        <f t="shared" si="21"/>
        <v>0</v>
      </c>
      <c r="Y73">
        <f t="shared" si="22"/>
        <v>1.6535533592936049</v>
      </c>
      <c r="Z73">
        <f t="shared" si="23"/>
        <v>12.766495112335317</v>
      </c>
      <c r="AA73">
        <f t="shared" si="7"/>
        <v>0.14668505770795337</v>
      </c>
      <c r="AB73">
        <f t="shared" si="24"/>
        <v>0.48195007075665325</v>
      </c>
      <c r="AC73">
        <f t="shared" si="34"/>
        <v>0.6476347980085182</v>
      </c>
      <c r="AD73">
        <f t="shared" si="25"/>
        <v>0</v>
      </c>
      <c r="AE73">
        <f t="shared" si="26"/>
        <v>0.63560889600000003</v>
      </c>
      <c r="AF73">
        <f t="shared" si="9"/>
        <v>3.6000000000000004E-2</v>
      </c>
      <c r="AG73">
        <f t="shared" si="10"/>
        <v>0.26910000000000001</v>
      </c>
      <c r="AH73" s="9">
        <f t="shared" si="11"/>
        <v>0.22723009828009827</v>
      </c>
      <c r="AI73">
        <f t="shared" si="27"/>
        <v>0.30510000000000004</v>
      </c>
      <c r="AJ73" s="109">
        <f t="shared" si="28"/>
        <v>3.8029858636748082</v>
      </c>
      <c r="AK73" s="111">
        <f t="shared" si="29"/>
        <v>129.6</v>
      </c>
      <c r="AL73" s="10">
        <f t="shared" si="30"/>
        <v>0.97149249816971028</v>
      </c>
      <c r="AM73">
        <f t="shared" si="31"/>
        <v>82.677667964680239</v>
      </c>
      <c r="AN73">
        <f t="shared" si="32"/>
        <v>32.381739900425913</v>
      </c>
      <c r="AO73" s="10"/>
      <c r="AP73">
        <f t="shared" si="33"/>
        <v>97.149249816971022</v>
      </c>
      <c r="AZ73" s="31"/>
      <c r="BA73" s="32"/>
    </row>
    <row r="74" spans="1:53">
      <c r="A74" s="51" t="s">
        <v>211</v>
      </c>
      <c r="B74" s="28" t="s">
        <v>8</v>
      </c>
      <c r="C74" s="30" t="s">
        <v>149</v>
      </c>
      <c r="G74">
        <v>65</v>
      </c>
      <c r="H74">
        <f t="shared" ref="H74:H109" si="35">Iout*(G74/100)</f>
        <v>19.5</v>
      </c>
      <c r="I74">
        <f t="shared" ref="I74:I109" si="36">(Vout+Rdcr*H74+RdsonBot*H74)/(Vin-RdsonTop*H74+RdsonBot*H74)</f>
        <v>0.56724783318678562</v>
      </c>
      <c r="J74">
        <f t="shared" ref="J74:J109" si="37">(Vin-Vout)*I74/(Fsw*Lout2)</f>
        <v>9.7481215195765145</v>
      </c>
      <c r="K74">
        <f t="shared" si="13"/>
        <v>19.702000476179297</v>
      </c>
      <c r="L74">
        <f t="shared" ref="L74:L109" si="38">(K74^2*Rdcr*(1+Ltc*Ta-Ltc*25))/(1-K74^2*Rdcr*Ltc*ThetaCa)</f>
        <v>0.1254607419661862</v>
      </c>
      <c r="N74" s="48">
        <f t="shared" si="14"/>
        <v>0.1254607419661862</v>
      </c>
      <c r="O74" s="9">
        <f t="shared" si="15"/>
        <v>2.8140402917103424</v>
      </c>
      <c r="P74" s="9">
        <f t="shared" ref="P74:P109" si="39">RCoutEsr*O74^2</f>
        <v>1.2274175283222303E-2</v>
      </c>
      <c r="Q74" s="9">
        <f t="shared" si="16"/>
        <v>1.2274175283222303E-2</v>
      </c>
      <c r="R74">
        <f t="shared" si="17"/>
        <v>14.838730525998059</v>
      </c>
      <c r="S74" s="114">
        <f t="shared" ref="S74:S109" si="40">RCinEsr*R74^2</f>
        <v>0.4403758472463733</v>
      </c>
      <c r="T74" s="110">
        <f t="shared" si="18"/>
        <v>0.4403758472463733</v>
      </c>
      <c r="U74">
        <f t="shared" si="19"/>
        <v>14.838730525998059</v>
      </c>
      <c r="V74">
        <f t="shared" ref="V74:V109" si="41">RdsonTop*U74^2</f>
        <v>0.85873290213042786</v>
      </c>
      <c r="W74">
        <f t="shared" si="20"/>
        <v>0.55367437993854263</v>
      </c>
      <c r="X74">
        <f t="shared" si="21"/>
        <v>0</v>
      </c>
      <c r="Y74">
        <f t="shared" si="22"/>
        <v>1.7052839731051967</v>
      </c>
      <c r="Z74">
        <f t="shared" si="23"/>
        <v>12.960744544206657</v>
      </c>
      <c r="AA74">
        <f t="shared" ref="AA74:AA109" si="42">RdsonBot*Z74^2</f>
        <v>0.15118280922616437</v>
      </c>
      <c r="AB74">
        <f t="shared" si="24"/>
        <v>0.48796869641096097</v>
      </c>
      <c r="AC74">
        <f t="shared" ref="AC74:AC105" si="43">(AB74+AA74*(1+RdsonBotTc*Ta-RdsonBotTc*25))/(1-AA74*RdsonBotTc*ThetaJaBot)</f>
        <v>0.65907981316895281</v>
      </c>
      <c r="AD74">
        <f t="shared" si="25"/>
        <v>0</v>
      </c>
      <c r="AE74">
        <f t="shared" si="26"/>
        <v>0.63554653500000002</v>
      </c>
      <c r="AF74">
        <f t="shared" ref="AF74:AF109" si="44">Iq*Vin</f>
        <v>3.6000000000000004E-2</v>
      </c>
      <c r="AG74">
        <f t="shared" ref="AG74:AG109" si="45">Vin*(QgTop+QgBot)*Fsw</f>
        <v>0.26910000000000001</v>
      </c>
      <c r="AH74" s="9">
        <f t="shared" ref="AH74:AH109" si="46">(Vin-Vdd)*Fsw*(QgTop+QgBot)+(RdsonDRT+RdsonDRT2)*Fsw*QgTop*Vdd/(RdsonDRT+2*RGateTop+RdsonDRT2)+(RdsonDRB+RdsonDRB2)*Fsw*QgBot*Vdd/(RdsonDRB+2*RGateBot+RdsonDRB2)</f>
        <v>0.22723009828009827</v>
      </c>
      <c r="AI74">
        <f t="shared" si="27"/>
        <v>0.30510000000000004</v>
      </c>
      <c r="AJ74" s="109">
        <f t="shared" si="28"/>
        <v>3.8831210857699312</v>
      </c>
      <c r="AK74" s="111">
        <f t="shared" si="29"/>
        <v>131.625</v>
      </c>
      <c r="AL74" s="10">
        <f t="shared" si="30"/>
        <v>0.97134399728476706</v>
      </c>
      <c r="AM74">
        <f t="shared" si="31"/>
        <v>85.264198655259833</v>
      </c>
      <c r="AN74">
        <f t="shared" si="32"/>
        <v>32.953990658447637</v>
      </c>
      <c r="AO74" s="10"/>
      <c r="AP74">
        <f t="shared" si="33"/>
        <v>97.134399728476708</v>
      </c>
      <c r="AZ74" s="31"/>
      <c r="BA74" s="32"/>
    </row>
    <row r="75" spans="1:53">
      <c r="A75" s="56" t="s">
        <v>212</v>
      </c>
      <c r="B75" s="157">
        <f>AI9</f>
        <v>0.30510000000000004</v>
      </c>
      <c r="C75" s="158" t="s">
        <v>213</v>
      </c>
      <c r="G75">
        <v>66</v>
      </c>
      <c r="H75">
        <f t="shared" si="35"/>
        <v>19.8</v>
      </c>
      <c r="I75">
        <f t="shared" si="36"/>
        <v>0.56732124013868657</v>
      </c>
      <c r="J75">
        <f t="shared" si="37"/>
        <v>9.7493830138399513</v>
      </c>
      <c r="K75">
        <f t="shared" ref="K75:K109" si="47">SQRT(H75^2+(J75^2)/12)</f>
        <v>19.999021786807788</v>
      </c>
      <c r="L75">
        <f t="shared" si="38"/>
        <v>0.12931149940434039</v>
      </c>
      <c r="N75" s="48">
        <f t="shared" ref="N75:N109" si="48">L75</f>
        <v>0.12931149940434039</v>
      </c>
      <c r="O75" s="9">
        <f t="shared" ref="O75:O109" si="49">J75/(2*SQRT(3))</f>
        <v>2.8144044537366306</v>
      </c>
      <c r="P75" s="9">
        <f t="shared" si="39"/>
        <v>1.2277352265279502E-2</v>
      </c>
      <c r="Q75" s="9">
        <f t="shared" ref="Q75:Q109" si="50">P75</f>
        <v>1.2277352265279502E-2</v>
      </c>
      <c r="R75">
        <f t="shared" ref="R75:R109" si="51">SQRT(I75)*SQRT(H75^2+(J75^2)/12)</f>
        <v>15.063409247361365</v>
      </c>
      <c r="S75" s="114">
        <f t="shared" si="40"/>
        <v>0.45381259630698378</v>
      </c>
      <c r="T75" s="110">
        <f t="shared" ref="T75:T109" si="52">S75</f>
        <v>0.45381259630698378</v>
      </c>
      <c r="U75">
        <f t="shared" ref="U75:U109" si="53">SQRT(I75)*SQRT(H75^2+(J75^2)/12)</f>
        <v>15.063409247361365</v>
      </c>
      <c r="V75">
        <f t="shared" si="41"/>
        <v>0.88493456279861837</v>
      </c>
      <c r="W75">
        <f t="shared" ref="W75:W109" si="54">(Vin*H75/2)*(Fsw)*(Tr+Tf)</f>
        <v>0.56219244732221252</v>
      </c>
      <c r="X75">
        <f t="shared" ref="X75:X109" si="55">IF(H75&gt;J75/2,0,ABS(H75-J75/2)*VsdTop*Deadtime*Fsw)</f>
        <v>0</v>
      </c>
      <c r="Y75">
        <f t="shared" ref="Y75:Y109" si="56">(X75+W75+V75*(1+RdsonTopTc*Ta-RdsonTopTc*25))/(1-V75*RdsonTopTc*ThetaJaTop)</f>
        <v>1.7583280657439662</v>
      </c>
      <c r="Z75">
        <f t="shared" ref="Z75:Z109" si="57">SQRT(1-I75)*SQRT(H75^2+(J75^2)/12)</f>
        <v>13.155020877053774</v>
      </c>
      <c r="AA75">
        <f t="shared" si="42"/>
        <v>0.15574911684814857</v>
      </c>
      <c r="AB75">
        <f t="shared" ref="AB75:AB109" si="58">2*Deadtime*Fsw*IF(VfdSky&gt;0,0,VsdBot)*(H75+J75/2)</f>
        <v>0.49398732396853801</v>
      </c>
      <c r="AC75">
        <f t="shared" si="43"/>
        <v>0.67062633262497717</v>
      </c>
      <c r="AD75">
        <f t="shared" ref="AD75:AD109" si="59">2*Deadtime*Fsw*IF(VfdSky&gt;0,VfdSky,0)*H75</f>
        <v>0</v>
      </c>
      <c r="AE75">
        <f t="shared" ref="AE75:AE109" si="60">IF(QrrSky&gt;0,QrrSky,QrrBot)*Fsw*(Vin-H75*RdsonTop)</f>
        <v>0.63548417400000001</v>
      </c>
      <c r="AF75">
        <f t="shared" si="44"/>
        <v>3.6000000000000004E-2</v>
      </c>
      <c r="AG75">
        <f t="shared" si="45"/>
        <v>0.26910000000000001</v>
      </c>
      <c r="AH75" s="9">
        <f t="shared" si="46"/>
        <v>0.22723009828009827</v>
      </c>
      <c r="AI75">
        <f t="shared" ref="AI75:AI109" si="61">SUM(AF75:AG75)</f>
        <v>0.30510000000000004</v>
      </c>
      <c r="AJ75" s="109">
        <f t="shared" ref="AJ75:AJ109" si="62">SUM(N75,Q75,T75,Y75,AE75,AD75,AC75,AI75)</f>
        <v>3.9649400203455469</v>
      </c>
      <c r="AK75" s="111">
        <f t="shared" ref="AK75:AK109" si="63">Vout*H75</f>
        <v>133.65</v>
      </c>
      <c r="AL75" s="10">
        <f t="shared" ref="AL75:AL109" si="64">AK75/(AK75+AJ75)</f>
        <v>0.97118815718875173</v>
      </c>
      <c r="AM75">
        <f t="shared" ref="AM75:AM109" si="65">ThetaJaTop*Y75</f>
        <v>87.916403287198307</v>
      </c>
      <c r="AN75">
        <f t="shared" ref="AN75:AN109" si="66">AC75*ThetaJaBot</f>
        <v>33.531316631248856</v>
      </c>
      <c r="AO75" s="10"/>
      <c r="AP75">
        <f t="shared" ref="AP75:AP109" si="67">AL75*100</f>
        <v>97.118815718875169</v>
      </c>
      <c r="AZ75" s="31"/>
      <c r="BA75" s="32"/>
    </row>
    <row r="76" spans="1:53">
      <c r="A76" s="56" t="s">
        <v>216</v>
      </c>
      <c r="B76" s="156">
        <f>B75*B62</f>
        <v>6.1020000000000003</v>
      </c>
      <c r="C76" s="35" t="s">
        <v>217</v>
      </c>
      <c r="G76">
        <v>67</v>
      </c>
      <c r="H76">
        <f t="shared" si="35"/>
        <v>20.100000000000001</v>
      </c>
      <c r="I76">
        <f t="shared" si="36"/>
        <v>0.56739465815724011</v>
      </c>
      <c r="J76">
        <f t="shared" si="37"/>
        <v>9.75064469828318</v>
      </c>
      <c r="K76">
        <f t="shared" si="47"/>
        <v>20.296130731480485</v>
      </c>
      <c r="L76">
        <f t="shared" si="38"/>
        <v>0.13322344075999135</v>
      </c>
      <c r="N76" s="48">
        <f t="shared" si="48"/>
        <v>0.13322344075999135</v>
      </c>
      <c r="O76" s="9">
        <f t="shared" si="49"/>
        <v>2.8147686706630957</v>
      </c>
      <c r="P76" s="9">
        <f t="shared" si="39"/>
        <v>1.2280530137487061E-2</v>
      </c>
      <c r="Q76" s="9">
        <f t="shared" si="50"/>
        <v>1.2280530137487061E-2</v>
      </c>
      <c r="R76">
        <f t="shared" si="51"/>
        <v>15.288183013088466</v>
      </c>
      <c r="S76" s="114">
        <f t="shared" si="40"/>
        <v>0.46745707968337341</v>
      </c>
      <c r="T76" s="110">
        <f t="shared" si="52"/>
        <v>0.46745707968337341</v>
      </c>
      <c r="U76">
        <f t="shared" si="53"/>
        <v>15.288183013088466</v>
      </c>
      <c r="V76">
        <f t="shared" si="41"/>
        <v>0.91154130538257816</v>
      </c>
      <c r="W76">
        <f t="shared" si="54"/>
        <v>0.57071051470588241</v>
      </c>
      <c r="X76">
        <f t="shared" si="55"/>
        <v>0</v>
      </c>
      <c r="Y76">
        <f t="shared" si="56"/>
        <v>1.8127269110482751</v>
      </c>
      <c r="Z76">
        <f t="shared" si="57"/>
        <v>13.349321436974236</v>
      </c>
      <c r="AA76">
        <f t="shared" si="42"/>
        <v>0.16038394454489388</v>
      </c>
      <c r="AB76">
        <f t="shared" si="58"/>
        <v>0.5000059534298148</v>
      </c>
      <c r="AC76">
        <f t="shared" si="43"/>
        <v>0.68227509208125314</v>
      </c>
      <c r="AD76">
        <f t="shared" si="59"/>
        <v>0</v>
      </c>
      <c r="AE76">
        <f t="shared" si="60"/>
        <v>0.635421813</v>
      </c>
      <c r="AF76">
        <f t="shared" si="44"/>
        <v>3.6000000000000004E-2</v>
      </c>
      <c r="AG76">
        <f t="shared" si="45"/>
        <v>0.26910000000000001</v>
      </c>
      <c r="AH76" s="9">
        <f t="shared" si="46"/>
        <v>0.22723009828009827</v>
      </c>
      <c r="AI76">
        <f t="shared" si="61"/>
        <v>0.30510000000000004</v>
      </c>
      <c r="AJ76" s="109">
        <f t="shared" si="62"/>
        <v>4.0484848667103801</v>
      </c>
      <c r="AK76" s="111">
        <f t="shared" si="63"/>
        <v>135.67500000000001</v>
      </c>
      <c r="AL76" s="10">
        <f t="shared" si="64"/>
        <v>0.9710250222389426</v>
      </c>
      <c r="AM76">
        <f t="shared" si="65"/>
        <v>90.636345552413758</v>
      </c>
      <c r="AN76">
        <f t="shared" si="66"/>
        <v>34.113754604062656</v>
      </c>
      <c r="AO76" s="10"/>
      <c r="AP76">
        <f t="shared" si="67"/>
        <v>97.102502223894263</v>
      </c>
      <c r="AZ76" s="31"/>
      <c r="BA76" s="32"/>
    </row>
    <row r="77" spans="1:53">
      <c r="A77" s="56" t="s">
        <v>410</v>
      </c>
      <c r="B77" s="156">
        <f>(QgBot+QgTop)*Fsw+Iq</f>
        <v>2.5424999999999996E-2</v>
      </c>
      <c r="C77" s="35" t="s">
        <v>2</v>
      </c>
      <c r="G77">
        <v>68</v>
      </c>
      <c r="H77">
        <f t="shared" si="35"/>
        <v>20.400000000000002</v>
      </c>
      <c r="I77">
        <f t="shared" si="36"/>
        <v>0.56746808724494935</v>
      </c>
      <c r="J77">
        <f t="shared" si="37"/>
        <v>9.7519065729492134</v>
      </c>
      <c r="K77">
        <f t="shared" si="47"/>
        <v>20.593323517197533</v>
      </c>
      <c r="L77">
        <f t="shared" si="38"/>
        <v>0.1371966775788189</v>
      </c>
      <c r="N77" s="48">
        <f t="shared" si="48"/>
        <v>0.1371966775788189</v>
      </c>
      <c r="O77" s="9">
        <f t="shared" si="49"/>
        <v>2.8151329425021547</v>
      </c>
      <c r="P77" s="9">
        <f t="shared" si="39"/>
        <v>1.2283708900139301E-2</v>
      </c>
      <c r="Q77" s="9">
        <f t="shared" si="50"/>
        <v>1.2283708900139301E-2</v>
      </c>
      <c r="R77">
        <f t="shared" si="51"/>
        <v>15.513048982462101</v>
      </c>
      <c r="S77" s="114">
        <f t="shared" si="40"/>
        <v>0.48130937746453684</v>
      </c>
      <c r="T77" s="110">
        <f t="shared" si="52"/>
        <v>0.48130937746453684</v>
      </c>
      <c r="U77">
        <f t="shared" si="53"/>
        <v>15.513048982462101</v>
      </c>
      <c r="V77">
        <f t="shared" si="41"/>
        <v>0.93855328605584687</v>
      </c>
      <c r="W77">
        <f t="shared" si="54"/>
        <v>0.5792285820895523</v>
      </c>
      <c r="X77">
        <f t="shared" si="55"/>
        <v>0</v>
      </c>
      <c r="Y77">
        <f t="shared" si="56"/>
        <v>1.8685236752391743</v>
      </c>
      <c r="Z77">
        <f t="shared" si="57"/>
        <v>13.543643702921772</v>
      </c>
      <c r="AA77">
        <f t="shared" si="42"/>
        <v>0.16508725627652332</v>
      </c>
      <c r="AB77">
        <f t="shared" si="58"/>
        <v>0.50602458479522183</v>
      </c>
      <c r="AC77">
        <f t="shared" si="43"/>
        <v>0.69402683837775592</v>
      </c>
      <c r="AD77">
        <f t="shared" si="59"/>
        <v>0</v>
      </c>
      <c r="AE77">
        <f t="shared" si="60"/>
        <v>0.63535945199999999</v>
      </c>
      <c r="AF77">
        <f t="shared" si="44"/>
        <v>3.6000000000000004E-2</v>
      </c>
      <c r="AG77">
        <f t="shared" si="45"/>
        <v>0.26910000000000001</v>
      </c>
      <c r="AH77" s="9">
        <f t="shared" si="46"/>
        <v>0.22723009828009827</v>
      </c>
      <c r="AI77">
        <f t="shared" si="61"/>
        <v>0.30510000000000004</v>
      </c>
      <c r="AJ77" s="109">
        <f t="shared" si="62"/>
        <v>4.1337997295604252</v>
      </c>
      <c r="AK77" s="111">
        <f t="shared" si="63"/>
        <v>137.70000000000002</v>
      </c>
      <c r="AL77" s="10">
        <f t="shared" si="64"/>
        <v>0.97085462183596238</v>
      </c>
      <c r="AM77">
        <f t="shared" si="65"/>
        <v>93.426183761958711</v>
      </c>
      <c r="AN77">
        <f t="shared" si="66"/>
        <v>34.701341918887799</v>
      </c>
      <c r="AO77" s="10"/>
      <c r="AP77">
        <f t="shared" si="67"/>
        <v>97.085462183596235</v>
      </c>
      <c r="AZ77" s="31"/>
      <c r="BA77" s="32"/>
    </row>
    <row r="78" spans="1:53">
      <c r="A78" s="56" t="s">
        <v>411</v>
      </c>
      <c r="B78" s="155">
        <f>QrrBot*Fsw</f>
        <v>5.3300000000000007E-2</v>
      </c>
      <c r="C78" s="35" t="s">
        <v>2</v>
      </c>
      <c r="G78">
        <v>69</v>
      </c>
      <c r="H78">
        <f t="shared" si="35"/>
        <v>20.7</v>
      </c>
      <c r="I78">
        <f t="shared" si="36"/>
        <v>0.5675415274043174</v>
      </c>
      <c r="J78">
        <f t="shared" si="37"/>
        <v>9.7531686378810711</v>
      </c>
      <c r="K78">
        <f t="shared" si="47"/>
        <v>20.890596565757654</v>
      </c>
      <c r="L78">
        <f t="shared" si="38"/>
        <v>0.14123132325968571</v>
      </c>
      <c r="N78" s="48">
        <f t="shared" si="48"/>
        <v>0.14123132325968571</v>
      </c>
      <c r="O78" s="9">
        <f t="shared" si="49"/>
        <v>2.8154972692662263</v>
      </c>
      <c r="P78" s="9">
        <f t="shared" si="39"/>
        <v>1.2286888553530644E-2</v>
      </c>
      <c r="Q78" s="9">
        <f t="shared" si="50"/>
        <v>1.2286888553530644E-2</v>
      </c>
      <c r="R78">
        <f t="shared" si="51"/>
        <v>15.738004475847937</v>
      </c>
      <c r="S78" s="114">
        <f t="shared" si="40"/>
        <v>0.4953695697636194</v>
      </c>
      <c r="T78" s="110">
        <f t="shared" si="52"/>
        <v>0.4953695697636194</v>
      </c>
      <c r="U78">
        <f t="shared" si="53"/>
        <v>15.738004475847937</v>
      </c>
      <c r="V78">
        <f t="shared" si="41"/>
        <v>0.96597066103905771</v>
      </c>
      <c r="W78">
        <f t="shared" si="54"/>
        <v>0.58774664947322219</v>
      </c>
      <c r="X78">
        <f t="shared" si="55"/>
        <v>0</v>
      </c>
      <c r="Y78">
        <f t="shared" si="56"/>
        <v>1.9257635232178008</v>
      </c>
      <c r="Z78">
        <f t="shared" si="57"/>
        <v>13.737985295938985</v>
      </c>
      <c r="AA78">
        <f t="shared" si="42"/>
        <v>0.16985901599229217</v>
      </c>
      <c r="AB78">
        <f t="shared" si="58"/>
        <v>0.5120432180651896</v>
      </c>
      <c r="AC78">
        <f t="shared" si="43"/>
        <v>0.70588232964132624</v>
      </c>
      <c r="AD78">
        <f t="shared" si="59"/>
        <v>0</v>
      </c>
      <c r="AE78">
        <f t="shared" si="60"/>
        <v>0.63529709100000009</v>
      </c>
      <c r="AF78">
        <f t="shared" si="44"/>
        <v>3.6000000000000004E-2</v>
      </c>
      <c r="AG78">
        <f t="shared" si="45"/>
        <v>0.26910000000000001</v>
      </c>
      <c r="AH78" s="9">
        <f t="shared" si="46"/>
        <v>0.22723009828009827</v>
      </c>
      <c r="AI78">
        <f t="shared" si="61"/>
        <v>0.30510000000000004</v>
      </c>
      <c r="AJ78" s="109">
        <f t="shared" si="62"/>
        <v>4.2209307254359629</v>
      </c>
      <c r="AK78" s="111">
        <f t="shared" si="63"/>
        <v>139.72499999999999</v>
      </c>
      <c r="AL78" s="10">
        <f t="shared" si="64"/>
        <v>0.97067697083089466</v>
      </c>
      <c r="AM78">
        <f t="shared" si="65"/>
        <v>96.288176160890032</v>
      </c>
      <c r="AN78">
        <f t="shared" si="66"/>
        <v>35.294116482066315</v>
      </c>
      <c r="AO78" s="10"/>
      <c r="AP78">
        <f t="shared" si="67"/>
        <v>97.06769708308947</v>
      </c>
      <c r="AZ78" s="31"/>
      <c r="BA78" s="32"/>
    </row>
    <row r="79" spans="1:53">
      <c r="A79" s="56" t="s">
        <v>412</v>
      </c>
      <c r="B79" s="155">
        <f>C79/Vin</f>
        <v>3.6582911418975647E-4</v>
      </c>
      <c r="C79" s="43">
        <f>Deadtime*Fsw*(Ipp/2)*(VsdTop+VsdBot)</f>
        <v>4.3899493702770779E-3</v>
      </c>
      <c r="G79">
        <v>70</v>
      </c>
      <c r="H79">
        <f t="shared" si="35"/>
        <v>21</v>
      </c>
      <c r="I79">
        <f t="shared" si="36"/>
        <v>0.5676149786378486</v>
      </c>
      <c r="J79">
        <f t="shared" si="37"/>
        <v>9.7544308931217856</v>
      </c>
      <c r="K79">
        <f t="shared" si="47"/>
        <v>21.187946498832556</v>
      </c>
      <c r="L79">
        <f t="shared" si="38"/>
        <v>0.14532749306283974</v>
      </c>
      <c r="N79" s="48">
        <f t="shared" si="48"/>
        <v>0.14532749306283974</v>
      </c>
      <c r="O79" s="9">
        <f t="shared" si="49"/>
        <v>2.8158616509677326</v>
      </c>
      <c r="P79" s="9">
        <f t="shared" si="39"/>
        <v>1.2290069097955622E-2</v>
      </c>
      <c r="Q79" s="9">
        <f t="shared" si="50"/>
        <v>1.2290069097955622E-2</v>
      </c>
      <c r="R79">
        <f t="shared" si="51"/>
        <v>15.963046963501819</v>
      </c>
      <c r="S79" s="114">
        <f t="shared" si="40"/>
        <v>0.50963773671792933</v>
      </c>
      <c r="T79" s="110">
        <f t="shared" si="52"/>
        <v>0.50963773671792933</v>
      </c>
      <c r="U79">
        <f t="shared" si="53"/>
        <v>15.963046963501819</v>
      </c>
      <c r="V79">
        <f t="shared" si="41"/>
        <v>0.99379358659996209</v>
      </c>
      <c r="W79">
        <f t="shared" si="54"/>
        <v>0.59626471685689209</v>
      </c>
      <c r="X79">
        <f t="shared" si="55"/>
        <v>0</v>
      </c>
      <c r="Y79">
        <f t="shared" si="56"/>
        <v>1.9844937321981164</v>
      </c>
      <c r="Z79">
        <f t="shared" si="57"/>
        <v>13.93234396928335</v>
      </c>
      <c r="AA79">
        <f t="shared" si="42"/>
        <v>0.17469918763058351</v>
      </c>
      <c r="AB79">
        <f t="shared" si="58"/>
        <v>0.51806185324014919</v>
      </c>
      <c r="AC79">
        <f t="shared" si="43"/>
        <v>0.71784233544038811</v>
      </c>
      <c r="AD79">
        <f t="shared" si="59"/>
        <v>0</v>
      </c>
      <c r="AE79">
        <f t="shared" si="60"/>
        <v>0.63523473000000008</v>
      </c>
      <c r="AF79">
        <f t="shared" si="44"/>
        <v>3.6000000000000004E-2</v>
      </c>
      <c r="AG79">
        <f t="shared" si="45"/>
        <v>0.26910000000000001</v>
      </c>
      <c r="AH79" s="9">
        <f t="shared" si="46"/>
        <v>0.22723009828009827</v>
      </c>
      <c r="AI79">
        <f t="shared" si="61"/>
        <v>0.30510000000000004</v>
      </c>
      <c r="AJ79" s="109">
        <f t="shared" si="62"/>
        <v>4.3099260965172297</v>
      </c>
      <c r="AK79" s="111">
        <f t="shared" si="63"/>
        <v>141.75</v>
      </c>
      <c r="AL79" s="10">
        <f t="shared" si="64"/>
        <v>0.97049206985310132</v>
      </c>
      <c r="AM79">
        <f t="shared" si="65"/>
        <v>99.224686609905817</v>
      </c>
      <c r="AN79">
        <f t="shared" si="66"/>
        <v>35.892116772019406</v>
      </c>
      <c r="AO79" s="10"/>
      <c r="AP79">
        <f t="shared" si="67"/>
        <v>97.049206985310136</v>
      </c>
      <c r="AZ79" s="31"/>
      <c r="BA79" s="32"/>
    </row>
    <row r="80" spans="1:53">
      <c r="A80" s="56" t="s">
        <v>92</v>
      </c>
      <c r="B80" s="155">
        <f>SUM(B77:B79)</f>
        <v>7.9090829114189756E-2</v>
      </c>
      <c r="C80" s="35" t="s">
        <v>2</v>
      </c>
      <c r="G80">
        <v>71</v>
      </c>
      <c r="H80">
        <f t="shared" si="35"/>
        <v>21.299999999999997</v>
      </c>
      <c r="I80">
        <f t="shared" si="36"/>
        <v>0.56768844094804827</v>
      </c>
      <c r="J80">
        <f t="shared" si="37"/>
        <v>9.7556933387144156</v>
      </c>
      <c r="K80">
        <f t="shared" si="47"/>
        <v>21.485370124263309</v>
      </c>
      <c r="L80">
        <f t="shared" si="38"/>
        <v>0.14948530411826186</v>
      </c>
      <c r="N80" s="48">
        <f t="shared" si="48"/>
        <v>0.14948530411826186</v>
      </c>
      <c r="O80" s="9">
        <f t="shared" si="49"/>
        <v>2.8162260876191034</v>
      </c>
      <c r="P80" s="9">
        <f t="shared" si="39"/>
        <v>1.2293250533708923E-2</v>
      </c>
      <c r="Q80" s="9">
        <f t="shared" si="50"/>
        <v>1.2293250533708923E-2</v>
      </c>
      <c r="R80">
        <f t="shared" si="51"/>
        <v>16.188174055293313</v>
      </c>
      <c r="S80" s="114">
        <f t="shared" si="40"/>
        <v>0.52411395848894315</v>
      </c>
      <c r="T80" s="110">
        <f t="shared" si="52"/>
        <v>0.52411395848894315</v>
      </c>
      <c r="U80">
        <f t="shared" si="53"/>
        <v>16.188174055293313</v>
      </c>
      <c r="V80">
        <f t="shared" si="41"/>
        <v>1.0220222190534392</v>
      </c>
      <c r="W80">
        <f t="shared" si="54"/>
        <v>0.60478278424056187</v>
      </c>
      <c r="X80">
        <f t="shared" si="55"/>
        <v>0</v>
      </c>
      <c r="Y80">
        <f t="shared" si="56"/>
        <v>2.0447638132695936</v>
      </c>
      <c r="Z80">
        <f t="shared" si="57"/>
        <v>14.126717599361671</v>
      </c>
      <c r="AA80">
        <f t="shared" si="42"/>
        <v>0.17960773511890329</v>
      </c>
      <c r="AB80">
        <f t="shared" si="58"/>
        <v>0.52408049032053128</v>
      </c>
      <c r="AC80">
        <f t="shared" si="43"/>
        <v>0.7299076369428954</v>
      </c>
      <c r="AD80">
        <f t="shared" si="59"/>
        <v>0</v>
      </c>
      <c r="AE80">
        <f t="shared" si="60"/>
        <v>0.63517236900000007</v>
      </c>
      <c r="AF80">
        <f t="shared" si="44"/>
        <v>3.6000000000000004E-2</v>
      </c>
      <c r="AG80">
        <f t="shared" si="45"/>
        <v>0.26910000000000001</v>
      </c>
      <c r="AH80" s="9">
        <f t="shared" si="46"/>
        <v>0.22723009828009827</v>
      </c>
      <c r="AI80">
        <f t="shared" si="61"/>
        <v>0.30510000000000004</v>
      </c>
      <c r="AJ80" s="109">
        <f t="shared" si="62"/>
        <v>4.4008363323534034</v>
      </c>
      <c r="AK80" s="111">
        <f t="shared" si="63"/>
        <v>143.77499999999998</v>
      </c>
      <c r="AL80" s="10">
        <f t="shared" si="64"/>
        <v>0.97029990556299284</v>
      </c>
      <c r="AM80">
        <f t="shared" si="65"/>
        <v>102.23819066347968</v>
      </c>
      <c r="AN80">
        <f t="shared" si="66"/>
        <v>36.49538184714477</v>
      </c>
      <c r="AO80" s="10"/>
      <c r="AP80">
        <f t="shared" si="67"/>
        <v>97.029990556299282</v>
      </c>
      <c r="AZ80" s="31"/>
      <c r="BA80" s="32"/>
    </row>
    <row r="81" spans="1:53">
      <c r="A81" s="71"/>
      <c r="B81" s="57"/>
      <c r="C81" s="57"/>
      <c r="G81">
        <v>72</v>
      </c>
      <c r="H81">
        <f t="shared" si="35"/>
        <v>21.599999999999998</v>
      </c>
      <c r="I81">
        <f t="shared" si="36"/>
        <v>0.56776191433742207</v>
      </c>
      <c r="J81">
        <f t="shared" si="37"/>
        <v>9.7569559747020165</v>
      </c>
      <c r="K81">
        <f t="shared" si="47"/>
        <v>21.782864423464208</v>
      </c>
      <c r="L81">
        <f t="shared" si="38"/>
        <v>0.15370487543416128</v>
      </c>
      <c r="N81" s="48">
        <f t="shared" si="48"/>
        <v>0.15370487543416128</v>
      </c>
      <c r="O81" s="9">
        <f t="shared" si="49"/>
        <v>2.8165905792327686</v>
      </c>
      <c r="P81" s="9">
        <f t="shared" si="39"/>
        <v>1.2296432861085314E-2</v>
      </c>
      <c r="Q81" s="9">
        <f t="shared" si="50"/>
        <v>1.2296432861085314E-2</v>
      </c>
      <c r="R81">
        <f t="shared" si="51"/>
        <v>16.413383491259772</v>
      </c>
      <c r="S81" s="114">
        <f t="shared" si="40"/>
        <v>0.53879831526231758</v>
      </c>
      <c r="T81" s="110">
        <f t="shared" si="52"/>
        <v>0.53879831526231758</v>
      </c>
      <c r="U81">
        <f t="shared" si="53"/>
        <v>16.413383491259772</v>
      </c>
      <c r="V81">
        <f t="shared" si="41"/>
        <v>1.0506567147615193</v>
      </c>
      <c r="W81">
        <f t="shared" si="54"/>
        <v>0.61330085162423187</v>
      </c>
      <c r="X81">
        <f t="shared" si="55"/>
        <v>0</v>
      </c>
      <c r="Y81">
        <f t="shared" si="56"/>
        <v>2.1066256415403926</v>
      </c>
      <c r="Z81">
        <f t="shared" si="57"/>
        <v>14.321104177397212</v>
      </c>
      <c r="AA81">
        <f t="shared" si="42"/>
        <v>0.18458462237387749</v>
      </c>
      <c r="AB81">
        <f t="shared" si="58"/>
        <v>0.53009912930676717</v>
      </c>
      <c r="AC81">
        <f t="shared" si="43"/>
        <v>0.74207902707758266</v>
      </c>
      <c r="AD81">
        <f t="shared" si="59"/>
        <v>0</v>
      </c>
      <c r="AE81">
        <f t="shared" si="60"/>
        <v>0.63511000800000017</v>
      </c>
      <c r="AF81">
        <f t="shared" si="44"/>
        <v>3.6000000000000004E-2</v>
      </c>
      <c r="AG81">
        <f t="shared" si="45"/>
        <v>0.26910000000000001</v>
      </c>
      <c r="AH81" s="9">
        <f t="shared" si="46"/>
        <v>0.22723009828009827</v>
      </c>
      <c r="AI81">
        <f t="shared" si="61"/>
        <v>0.30510000000000004</v>
      </c>
      <c r="AJ81" s="109">
        <f t="shared" si="62"/>
        <v>4.4937143001755402</v>
      </c>
      <c r="AK81" s="111">
        <f t="shared" si="63"/>
        <v>145.79999999999998</v>
      </c>
      <c r="AL81" s="10">
        <f t="shared" si="64"/>
        <v>0.97010045083322372</v>
      </c>
      <c r="AM81">
        <f t="shared" si="65"/>
        <v>105.33128207701962</v>
      </c>
      <c r="AN81">
        <f t="shared" si="66"/>
        <v>37.103951353879133</v>
      </c>
      <c r="AO81" s="10"/>
      <c r="AP81">
        <f t="shared" si="67"/>
        <v>97.010045083322368</v>
      </c>
      <c r="AZ81" s="31"/>
      <c r="BA81" s="32"/>
    </row>
    <row r="82" spans="1:53">
      <c r="A82" s="71"/>
      <c r="B82" s="57"/>
      <c r="C82" s="57"/>
      <c r="G82">
        <v>73</v>
      </c>
      <c r="H82">
        <f t="shared" si="35"/>
        <v>21.9</v>
      </c>
      <c r="I82">
        <f t="shared" si="36"/>
        <v>0.56783539880847633</v>
      </c>
      <c r="J82">
        <f t="shared" si="37"/>
        <v>9.7582188011276632</v>
      </c>
      <c r="K82">
        <f t="shared" si="47"/>
        <v>22.080426539831382</v>
      </c>
      <c r="L82">
        <f t="shared" si="38"/>
        <v>0.15798632790561851</v>
      </c>
      <c r="N82" s="48">
        <f t="shared" si="48"/>
        <v>0.15798632790561851</v>
      </c>
      <c r="O82" s="9">
        <f t="shared" si="49"/>
        <v>2.816955125821162</v>
      </c>
      <c r="P82" s="9">
        <f t="shared" si="39"/>
        <v>1.2299616080379683E-2</v>
      </c>
      <c r="Q82" s="9">
        <f t="shared" si="50"/>
        <v>1.2299616080379683E-2</v>
      </c>
      <c r="R82">
        <f t="shared" si="51"/>
        <v>16.63867313291383</v>
      </c>
      <c r="S82" s="114">
        <f t="shared" si="40"/>
        <v>0.55369088724789706</v>
      </c>
      <c r="T82" s="110">
        <f t="shared" si="52"/>
        <v>0.55369088724789706</v>
      </c>
      <c r="U82">
        <f t="shared" si="53"/>
        <v>16.63867313291383</v>
      </c>
      <c r="V82">
        <f t="shared" si="41"/>
        <v>1.0796972301333994</v>
      </c>
      <c r="W82">
        <f t="shared" si="54"/>
        <v>0.62181891900790154</v>
      </c>
      <c r="X82">
        <f t="shared" si="55"/>
        <v>0</v>
      </c>
      <c r="Y82">
        <f t="shared" si="56"/>
        <v>2.1701335955732826</v>
      </c>
      <c r="Z82">
        <f t="shared" si="57"/>
        <v>14.515501801761507</v>
      </c>
      <c r="AA82">
        <f t="shared" si="42"/>
        <v>0.1896298133012474</v>
      </c>
      <c r="AB82">
        <f t="shared" si="58"/>
        <v>0.53611777019928797</v>
      </c>
      <c r="AC82">
        <f t="shared" si="43"/>
        <v>0.75435731069857581</v>
      </c>
      <c r="AD82">
        <f t="shared" si="59"/>
        <v>0</v>
      </c>
      <c r="AE82">
        <f t="shared" si="60"/>
        <v>0.63504764700000016</v>
      </c>
      <c r="AF82">
        <f t="shared" si="44"/>
        <v>3.6000000000000004E-2</v>
      </c>
      <c r="AG82">
        <f t="shared" si="45"/>
        <v>0.26910000000000001</v>
      </c>
      <c r="AH82" s="9">
        <f t="shared" si="46"/>
        <v>0.22723009828009827</v>
      </c>
      <c r="AI82">
        <f t="shared" si="61"/>
        <v>0.30510000000000004</v>
      </c>
      <c r="AJ82" s="109">
        <f t="shared" si="62"/>
        <v>4.5886153845057542</v>
      </c>
      <c r="AK82" s="111">
        <f t="shared" si="63"/>
        <v>147.82499999999999</v>
      </c>
      <c r="AL82" s="10">
        <f t="shared" si="64"/>
        <v>0.96989366486104478</v>
      </c>
      <c r="AM82">
        <f t="shared" si="65"/>
        <v>108.50667977866412</v>
      </c>
      <c r="AN82">
        <f t="shared" si="66"/>
        <v>37.717865534928791</v>
      </c>
      <c r="AO82" s="10"/>
      <c r="AP82">
        <f t="shared" si="67"/>
        <v>96.989366486104473</v>
      </c>
      <c r="AZ82" s="31"/>
      <c r="BA82" s="32"/>
    </row>
    <row r="83" spans="1:53">
      <c r="A83" s="71"/>
      <c r="B83" s="57"/>
      <c r="C83" s="57"/>
      <c r="G83">
        <v>74</v>
      </c>
      <c r="H83">
        <f t="shared" si="35"/>
        <v>22.2</v>
      </c>
      <c r="I83">
        <f t="shared" si="36"/>
        <v>0.56790889436371861</v>
      </c>
      <c r="J83">
        <f t="shared" si="37"/>
        <v>9.7594818180344465</v>
      </c>
      <c r="K83">
        <f t="shared" si="47"/>
        <v>22.378053768064344</v>
      </c>
      <c r="L83">
        <f t="shared" si="38"/>
        <v>0.16232978432337772</v>
      </c>
      <c r="N83" s="48">
        <f t="shared" si="48"/>
        <v>0.16232978432337772</v>
      </c>
      <c r="O83" s="9">
        <f t="shared" si="49"/>
        <v>2.8173197273967232</v>
      </c>
      <c r="P83" s="9">
        <f t="shared" si="39"/>
        <v>1.2302800191887056E-2</v>
      </c>
      <c r="Q83" s="9">
        <f t="shared" si="50"/>
        <v>1.2302800191887056E-2</v>
      </c>
      <c r="R83">
        <f t="shared" si="51"/>
        <v>16.864040955235545</v>
      </c>
      <c r="S83" s="114">
        <f t="shared" si="40"/>
        <v>0.56879175467972354</v>
      </c>
      <c r="T83" s="110">
        <f t="shared" si="52"/>
        <v>0.56879175467972354</v>
      </c>
      <c r="U83">
        <f t="shared" si="53"/>
        <v>16.864040955235545</v>
      </c>
      <c r="V83">
        <f t="shared" si="41"/>
        <v>1.1091439216254608</v>
      </c>
      <c r="W83">
        <f t="shared" si="54"/>
        <v>0.63033698639157154</v>
      </c>
      <c r="X83">
        <f t="shared" si="55"/>
        <v>0</v>
      </c>
      <c r="Y83">
        <f t="shared" si="56"/>
        <v>2.2353447068951025</v>
      </c>
      <c r="Z83">
        <f t="shared" si="57"/>
        <v>14.70990867091013</v>
      </c>
      <c r="AA83">
        <f t="shared" si="42"/>
        <v>0.19474327179586531</v>
      </c>
      <c r="AB83">
        <f t="shared" si="58"/>
        <v>0.54213641299852489</v>
      </c>
      <c r="AC83">
        <f t="shared" si="43"/>
        <v>0.7667433047534421</v>
      </c>
      <c r="AD83">
        <f t="shared" si="59"/>
        <v>0</v>
      </c>
      <c r="AE83">
        <f t="shared" si="60"/>
        <v>0.63498528600000015</v>
      </c>
      <c r="AF83">
        <f t="shared" si="44"/>
        <v>3.6000000000000004E-2</v>
      </c>
      <c r="AG83">
        <f t="shared" si="45"/>
        <v>0.26910000000000001</v>
      </c>
      <c r="AH83" s="9">
        <f t="shared" si="46"/>
        <v>0.22723009828009827</v>
      </c>
      <c r="AI83">
        <f t="shared" si="61"/>
        <v>0.30510000000000004</v>
      </c>
      <c r="AJ83" s="109">
        <f t="shared" si="62"/>
        <v>4.685597636843533</v>
      </c>
      <c r="AK83" s="111">
        <f t="shared" si="63"/>
        <v>149.85</v>
      </c>
      <c r="AL83" s="10">
        <f t="shared" si="64"/>
        <v>0.96967949321388958</v>
      </c>
      <c r="AM83">
        <f t="shared" si="65"/>
        <v>111.76723534475512</v>
      </c>
      <c r="AN83">
        <f t="shared" si="66"/>
        <v>38.337165237672103</v>
      </c>
      <c r="AO83" s="10"/>
      <c r="AP83">
        <f t="shared" si="67"/>
        <v>96.967949321388957</v>
      </c>
      <c r="AZ83" s="31"/>
      <c r="BA83" s="32"/>
    </row>
    <row r="84" spans="1:53">
      <c r="G84">
        <v>75</v>
      </c>
      <c r="H84">
        <f t="shared" si="35"/>
        <v>22.5</v>
      </c>
      <c r="I84">
        <f t="shared" si="36"/>
        <v>0.56798240100565678</v>
      </c>
      <c r="J84">
        <f t="shared" si="37"/>
        <v>9.7607450254654626</v>
      </c>
      <c r="K84">
        <f t="shared" si="47"/>
        <v>22.675743544317992</v>
      </c>
      <c r="L84">
        <f t="shared" si="38"/>
        <v>0.16673536938278977</v>
      </c>
      <c r="N84" s="48">
        <f t="shared" si="48"/>
        <v>0.16673536938278977</v>
      </c>
      <c r="O84" s="9">
        <f t="shared" si="49"/>
        <v>2.8176843839718928</v>
      </c>
      <c r="P84" s="9">
        <f t="shared" si="39"/>
        <v>1.230598519590255E-2</v>
      </c>
      <c r="Q84" s="9">
        <f t="shared" si="50"/>
        <v>1.230598519590255E-2</v>
      </c>
      <c r="R84">
        <f t="shared" si="51"/>
        <v>17.089485039287247</v>
      </c>
      <c r="S84" s="114">
        <f t="shared" si="40"/>
        <v>0.5841009978160453</v>
      </c>
      <c r="T84" s="110">
        <f t="shared" si="52"/>
        <v>0.5841009978160453</v>
      </c>
      <c r="U84">
        <f t="shared" si="53"/>
        <v>17.089485039287247</v>
      </c>
      <c r="V84">
        <f t="shared" si="41"/>
        <v>1.1389969457412883</v>
      </c>
      <c r="W84">
        <f t="shared" si="54"/>
        <v>0.63885505377524143</v>
      </c>
      <c r="X84">
        <f t="shared" si="55"/>
        <v>0</v>
      </c>
      <c r="Y84">
        <f t="shared" si="56"/>
        <v>2.3023188204365019</v>
      </c>
      <c r="Z84">
        <f t="shared" si="57"/>
        <v>14.904323076867879</v>
      </c>
      <c r="AA84">
        <f t="shared" si="42"/>
        <v>0.19992496174169075</v>
      </c>
      <c r="AB84">
        <f t="shared" si="58"/>
        <v>0.54815505770490935</v>
      </c>
      <c r="AC84">
        <f t="shared" si="43"/>
        <v>0.77923783845474881</v>
      </c>
      <c r="AD84">
        <f t="shared" si="59"/>
        <v>0</v>
      </c>
      <c r="AE84">
        <f t="shared" si="60"/>
        <v>0.63492292500000014</v>
      </c>
      <c r="AF84">
        <f t="shared" si="44"/>
        <v>3.6000000000000004E-2</v>
      </c>
      <c r="AG84">
        <f t="shared" si="45"/>
        <v>0.26910000000000001</v>
      </c>
      <c r="AH84" s="9">
        <f t="shared" si="46"/>
        <v>0.22723009828009827</v>
      </c>
      <c r="AI84">
        <f t="shared" si="61"/>
        <v>0.30510000000000004</v>
      </c>
      <c r="AJ84" s="109">
        <f t="shared" si="62"/>
        <v>4.7847219362859885</v>
      </c>
      <c r="AK84" s="111">
        <f t="shared" si="63"/>
        <v>151.875</v>
      </c>
      <c r="AL84" s="10">
        <f t="shared" si="64"/>
        <v>0.96945786780962151</v>
      </c>
      <c r="AM84">
        <f t="shared" si="65"/>
        <v>115.11594102182509</v>
      </c>
      <c r="AN84">
        <f t="shared" si="66"/>
        <v>38.961891922737443</v>
      </c>
      <c r="AO84" s="10"/>
      <c r="AP84">
        <f t="shared" si="67"/>
        <v>96.945786780962152</v>
      </c>
      <c r="AZ84" s="31"/>
      <c r="BA84" s="32"/>
    </row>
    <row r="85" spans="1:53">
      <c r="G85">
        <v>76</v>
      </c>
      <c r="H85">
        <f t="shared" si="35"/>
        <v>22.8</v>
      </c>
      <c r="I85">
        <f t="shared" si="36"/>
        <v>0.56805591873679984</v>
      </c>
      <c r="J85">
        <f t="shared" si="37"/>
        <v>9.7620084234638291</v>
      </c>
      <c r="K85">
        <f t="shared" si="47"/>
        <v>22.973493437110989</v>
      </c>
      <c r="L85">
        <f t="shared" si="38"/>
        <v>0.17120320969290709</v>
      </c>
      <c r="N85" s="48">
        <f t="shared" si="48"/>
        <v>0.17120320969290709</v>
      </c>
      <c r="O85" s="9">
        <f t="shared" si="49"/>
        <v>2.8180490955591182</v>
      </c>
      <c r="P85" s="9">
        <f t="shared" si="39"/>
        <v>1.2309171092721425E-2</v>
      </c>
      <c r="Q85" s="9">
        <f t="shared" si="50"/>
        <v>1.2309171092721425E-2</v>
      </c>
      <c r="R85">
        <f t="shared" si="51"/>
        <v>17.315003565395632</v>
      </c>
      <c r="S85" s="114">
        <f t="shared" si="40"/>
        <v>0.59961869693932679</v>
      </c>
      <c r="T85" s="110">
        <f t="shared" si="52"/>
        <v>0.59961869693932679</v>
      </c>
      <c r="U85">
        <f t="shared" si="53"/>
        <v>17.315003565395632</v>
      </c>
      <c r="V85">
        <f t="shared" si="41"/>
        <v>1.1692564590316872</v>
      </c>
      <c r="W85">
        <f t="shared" si="54"/>
        <v>0.64737312115891132</v>
      </c>
      <c r="X85">
        <f t="shared" si="55"/>
        <v>0</v>
      </c>
      <c r="Y85">
        <f t="shared" si="56"/>
        <v>2.3711187668431095</v>
      </c>
      <c r="Z85">
        <f t="shared" si="57"/>
        <v>15.098743399214328</v>
      </c>
      <c r="AA85">
        <f t="shared" si="42"/>
        <v>0.20517484701178643</v>
      </c>
      <c r="AB85">
        <f t="shared" si="58"/>
        <v>0.55417370431887303</v>
      </c>
      <c r="AC85">
        <f t="shared" si="43"/>
        <v>0.79184175345520269</v>
      </c>
      <c r="AD85">
        <f t="shared" si="59"/>
        <v>0</v>
      </c>
      <c r="AE85">
        <f t="shared" si="60"/>
        <v>0.63486056400000013</v>
      </c>
      <c r="AF85">
        <f t="shared" si="44"/>
        <v>3.6000000000000004E-2</v>
      </c>
      <c r="AG85">
        <f t="shared" si="45"/>
        <v>0.26910000000000001</v>
      </c>
      <c r="AH85" s="9">
        <f t="shared" si="46"/>
        <v>0.22723009828009827</v>
      </c>
      <c r="AI85">
        <f t="shared" si="61"/>
        <v>0.30510000000000004</v>
      </c>
      <c r="AJ85" s="109">
        <f t="shared" si="62"/>
        <v>4.886052162023268</v>
      </c>
      <c r="AK85" s="111">
        <f t="shared" si="63"/>
        <v>153.9</v>
      </c>
      <c r="AL85" s="10">
        <f t="shared" si="64"/>
        <v>0.96922870683227513</v>
      </c>
      <c r="AM85">
        <f t="shared" si="65"/>
        <v>118.55593834215547</v>
      </c>
      <c r="AN85">
        <f t="shared" si="66"/>
        <v>39.592087672760137</v>
      </c>
      <c r="AO85" s="10"/>
      <c r="AP85">
        <f t="shared" si="67"/>
        <v>96.922870683227515</v>
      </c>
      <c r="AZ85" s="31"/>
      <c r="BA85" s="32"/>
    </row>
    <row r="86" spans="1:53">
      <c r="G86">
        <v>77</v>
      </c>
      <c r="H86">
        <f t="shared" si="35"/>
        <v>23.1</v>
      </c>
      <c r="I86">
        <f t="shared" si="36"/>
        <v>0.568129447559657</v>
      </c>
      <c r="J86">
        <f t="shared" si="37"/>
        <v>9.763272012072667</v>
      </c>
      <c r="K86">
        <f t="shared" si="47"/>
        <v>23.271301138923814</v>
      </c>
      <c r="L86">
        <f t="shared" si="38"/>
        <v>0.17573343378573097</v>
      </c>
      <c r="N86" s="48">
        <f t="shared" si="48"/>
        <v>0.17573343378573097</v>
      </c>
      <c r="O86" s="9">
        <f t="shared" si="49"/>
        <v>2.8184138621708468</v>
      </c>
      <c r="P86" s="9">
        <f t="shared" si="39"/>
        <v>1.2312357882639022E-2</v>
      </c>
      <c r="Q86" s="9">
        <f t="shared" si="50"/>
        <v>1.2312357882639022E-2</v>
      </c>
      <c r="R86">
        <f t="shared" si="51"/>
        <v>17.540594806851001</v>
      </c>
      <c r="S86" s="114">
        <f t="shared" si="40"/>
        <v>0.61534493235625654</v>
      </c>
      <c r="T86" s="110">
        <f t="shared" si="52"/>
        <v>0.61534493235625654</v>
      </c>
      <c r="U86">
        <f t="shared" si="53"/>
        <v>17.540594806851001</v>
      </c>
      <c r="V86">
        <f t="shared" si="41"/>
        <v>1.1999226180947002</v>
      </c>
      <c r="W86">
        <f t="shared" si="54"/>
        <v>0.65589118854258133</v>
      </c>
      <c r="X86">
        <f t="shared" si="55"/>
        <v>0</v>
      </c>
      <c r="Y86">
        <f t="shared" si="56"/>
        <v>2.4418105476931173</v>
      </c>
      <c r="Z86">
        <f t="shared" si="57"/>
        <v>15.293168099525635</v>
      </c>
      <c r="AA86">
        <f t="shared" si="42"/>
        <v>0.21049289146831368</v>
      </c>
      <c r="AB86">
        <f t="shared" si="58"/>
        <v>0.56019235284084756</v>
      </c>
      <c r="AC86">
        <f t="shared" si="43"/>
        <v>0.80455590402644717</v>
      </c>
      <c r="AD86">
        <f t="shared" si="59"/>
        <v>0</v>
      </c>
      <c r="AE86">
        <f t="shared" si="60"/>
        <v>0.63479820300000012</v>
      </c>
      <c r="AF86">
        <f t="shared" si="44"/>
        <v>3.6000000000000004E-2</v>
      </c>
      <c r="AG86">
        <f t="shared" si="45"/>
        <v>0.26910000000000001</v>
      </c>
      <c r="AH86" s="9">
        <f t="shared" si="46"/>
        <v>0.22723009828009827</v>
      </c>
      <c r="AI86">
        <f t="shared" si="61"/>
        <v>0.30510000000000004</v>
      </c>
      <c r="AJ86" s="109">
        <f t="shared" si="62"/>
        <v>4.9896553787441915</v>
      </c>
      <c r="AK86" s="111">
        <f t="shared" si="63"/>
        <v>155.92500000000001</v>
      </c>
      <c r="AL86" s="10">
        <f t="shared" si="64"/>
        <v>0.96899191458354073</v>
      </c>
      <c r="AM86">
        <f t="shared" si="65"/>
        <v>122.09052738465587</v>
      </c>
      <c r="AN86">
        <f t="shared" si="66"/>
        <v>40.227795201322358</v>
      </c>
      <c r="AO86" s="10"/>
      <c r="AP86">
        <f t="shared" si="67"/>
        <v>96.899191458354068</v>
      </c>
      <c r="AZ86" s="31"/>
      <c r="BA86" s="32"/>
    </row>
    <row r="87" spans="1:53">
      <c r="G87">
        <v>78</v>
      </c>
      <c r="H87">
        <f t="shared" si="35"/>
        <v>23.400000000000002</v>
      </c>
      <c r="I87">
        <f t="shared" si="36"/>
        <v>0.56820298747673892</v>
      </c>
      <c r="J87">
        <f t="shared" si="37"/>
        <v>9.7645357913351223</v>
      </c>
      <c r="K87">
        <f t="shared" si="47"/>
        <v>23.56916445842651</v>
      </c>
      <c r="L87">
        <f t="shared" si="38"/>
        <v>0.18032617212561405</v>
      </c>
      <c r="N87" s="48">
        <f t="shared" si="48"/>
        <v>0.18032617212561405</v>
      </c>
      <c r="O87" s="9">
        <f t="shared" si="49"/>
        <v>2.8187786838195343</v>
      </c>
      <c r="P87" s="9">
        <f t="shared" si="39"/>
        <v>1.2315545565950848E-2</v>
      </c>
      <c r="Q87" s="9">
        <f t="shared" si="50"/>
        <v>1.2315545565950848E-2</v>
      </c>
      <c r="R87">
        <f t="shared" si="51"/>
        <v>17.766257124078745</v>
      </c>
      <c r="S87" s="114">
        <f t="shared" si="40"/>
        <v>0.63127978439775756</v>
      </c>
      <c r="T87" s="110">
        <f t="shared" si="52"/>
        <v>0.63127978439775756</v>
      </c>
      <c r="U87">
        <f t="shared" si="53"/>
        <v>17.766257124078745</v>
      </c>
      <c r="V87">
        <f t="shared" si="41"/>
        <v>1.2309955795756271</v>
      </c>
      <c r="W87">
        <f t="shared" si="54"/>
        <v>0.66440925592625111</v>
      </c>
      <c r="X87">
        <f t="shared" si="55"/>
        <v>0</v>
      </c>
      <c r="Y87">
        <f t="shared" si="56"/>
        <v>2.5144635347608113</v>
      </c>
      <c r="Z87">
        <f t="shared" si="57"/>
        <v>15.48759571623293</v>
      </c>
      <c r="AA87">
        <f t="shared" si="42"/>
        <v>0.21587905896252893</v>
      </c>
      <c r="AB87">
        <f t="shared" si="58"/>
        <v>0.56621100327126472</v>
      </c>
      <c r="AC87">
        <f t="shared" si="43"/>
        <v>0.81738115724159732</v>
      </c>
      <c r="AD87">
        <f t="shared" si="59"/>
        <v>0</v>
      </c>
      <c r="AE87">
        <f t="shared" si="60"/>
        <v>0.63473584200000011</v>
      </c>
      <c r="AF87">
        <f t="shared" si="44"/>
        <v>3.6000000000000004E-2</v>
      </c>
      <c r="AG87">
        <f t="shared" si="45"/>
        <v>0.26910000000000001</v>
      </c>
      <c r="AH87" s="9">
        <f t="shared" si="46"/>
        <v>0.22723009828009827</v>
      </c>
      <c r="AI87">
        <f t="shared" si="61"/>
        <v>0.30510000000000004</v>
      </c>
      <c r="AJ87" s="109">
        <f t="shared" si="62"/>
        <v>5.0956020360917318</v>
      </c>
      <c r="AK87" s="111">
        <f t="shared" si="63"/>
        <v>157.95000000000002</v>
      </c>
      <c r="AL87" s="10">
        <f t="shared" si="64"/>
        <v>0.9687473812696662</v>
      </c>
      <c r="AM87">
        <f t="shared" si="65"/>
        <v>125.72317673804056</v>
      </c>
      <c r="AN87">
        <f t="shared" si="66"/>
        <v>40.869057862079863</v>
      </c>
      <c r="AO87" s="10"/>
      <c r="AP87">
        <f t="shared" si="67"/>
        <v>96.874738126966619</v>
      </c>
      <c r="AZ87" s="31"/>
      <c r="BA87" s="32"/>
    </row>
    <row r="88" spans="1:53">
      <c r="G88">
        <v>79</v>
      </c>
      <c r="H88">
        <f t="shared" si="35"/>
        <v>23.700000000000003</v>
      </c>
      <c r="I88">
        <f t="shared" si="36"/>
        <v>0.56827653849055648</v>
      </c>
      <c r="J88">
        <f t="shared" si="37"/>
        <v>9.7657997612943443</v>
      </c>
      <c r="K88">
        <f t="shared" si="47"/>
        <v>23.867081313281862</v>
      </c>
      <c r="L88">
        <f t="shared" si="38"/>
        <v>0.18498155711881767</v>
      </c>
      <c r="N88" s="48">
        <f t="shared" si="48"/>
        <v>0.18498155711881767</v>
      </c>
      <c r="O88" s="9">
        <f t="shared" si="49"/>
        <v>2.8191435605176367</v>
      </c>
      <c r="P88" s="9">
        <f t="shared" si="39"/>
        <v>1.231873414295249E-2</v>
      </c>
      <c r="Q88" s="9">
        <f t="shared" si="50"/>
        <v>1.231873414295249E-2</v>
      </c>
      <c r="R88">
        <f t="shared" si="51"/>
        <v>17.991988959242327</v>
      </c>
      <c r="S88" s="114">
        <f t="shared" si="40"/>
        <v>0.64742333341899561</v>
      </c>
      <c r="T88" s="110">
        <f t="shared" si="52"/>
        <v>0.64742333341899561</v>
      </c>
      <c r="U88">
        <f t="shared" si="53"/>
        <v>17.991988959242327</v>
      </c>
      <c r="V88">
        <f t="shared" si="41"/>
        <v>1.2624755001670414</v>
      </c>
      <c r="W88">
        <f t="shared" si="54"/>
        <v>0.67292732330992111</v>
      </c>
      <c r="X88">
        <f t="shared" si="55"/>
        <v>0</v>
      </c>
      <c r="Y88">
        <f t="shared" si="56"/>
        <v>2.5891506845820831</v>
      </c>
      <c r="Z88">
        <f t="shared" si="57"/>
        <v>15.682024859861382</v>
      </c>
      <c r="AA88">
        <f t="shared" si="42"/>
        <v>0.22133331333477937</v>
      </c>
      <c r="AB88">
        <f t="shared" si="58"/>
        <v>0.5722296556105565</v>
      </c>
      <c r="AC88">
        <f t="shared" si="43"/>
        <v>0.83031839316158873</v>
      </c>
      <c r="AD88">
        <f t="shared" si="59"/>
        <v>0</v>
      </c>
      <c r="AE88">
        <f t="shared" si="60"/>
        <v>0.63467348100000009</v>
      </c>
      <c r="AF88">
        <f t="shared" si="44"/>
        <v>3.6000000000000004E-2</v>
      </c>
      <c r="AG88">
        <f t="shared" si="45"/>
        <v>0.26910000000000001</v>
      </c>
      <c r="AH88" s="9">
        <f t="shared" si="46"/>
        <v>0.22723009828009827</v>
      </c>
      <c r="AI88">
        <f t="shared" si="61"/>
        <v>0.30510000000000004</v>
      </c>
      <c r="AJ88" s="109">
        <f t="shared" si="62"/>
        <v>5.2039661834244386</v>
      </c>
      <c r="AK88" s="111">
        <f t="shared" si="63"/>
        <v>159.97500000000002</v>
      </c>
      <c r="AL88" s="10">
        <f t="shared" si="64"/>
        <v>0.96849498272288714</v>
      </c>
      <c r="AM88">
        <f t="shared" si="65"/>
        <v>129.45753422910414</v>
      </c>
      <c r="AN88">
        <f t="shared" si="66"/>
        <v>41.51591965807944</v>
      </c>
      <c r="AO88" s="10"/>
      <c r="AP88">
        <f t="shared" si="67"/>
        <v>96.849498272288713</v>
      </c>
      <c r="AZ88" s="31"/>
      <c r="BA88" s="32"/>
    </row>
    <row r="89" spans="1:53">
      <c r="G89">
        <v>80</v>
      </c>
      <c r="H89">
        <f t="shared" si="35"/>
        <v>24</v>
      </c>
      <c r="I89">
        <f t="shared" si="36"/>
        <v>0.56835010060362179</v>
      </c>
      <c r="J89">
        <f t="shared" si="37"/>
        <v>9.7670639219935023</v>
      </c>
      <c r="K89">
        <f t="shared" si="47"/>
        <v>24.165049723475132</v>
      </c>
      <c r="L89">
        <f t="shared" si="38"/>
        <v>0.18969972312322597</v>
      </c>
      <c r="N89" s="48">
        <f t="shared" si="48"/>
        <v>0.18969972312322597</v>
      </c>
      <c r="O89" s="9">
        <f t="shared" si="49"/>
        <v>2.8195084922776155</v>
      </c>
      <c r="P89" s="9">
        <f t="shared" si="39"/>
        <v>1.2321923613939668E-2</v>
      </c>
      <c r="Q89" s="9">
        <f t="shared" si="50"/>
        <v>1.2321923613939668E-2</v>
      </c>
      <c r="R89">
        <f t="shared" si="51"/>
        <v>18.217788831241137</v>
      </c>
      <c r="S89" s="114">
        <f t="shared" si="40"/>
        <v>0.66377565979938857</v>
      </c>
      <c r="T89" s="110">
        <f t="shared" si="52"/>
        <v>0.66377565979938857</v>
      </c>
      <c r="U89">
        <f t="shared" si="53"/>
        <v>18.217788831241137</v>
      </c>
      <c r="V89">
        <f t="shared" si="41"/>
        <v>1.2943625366088076</v>
      </c>
      <c r="W89">
        <f t="shared" si="54"/>
        <v>0.68144539069359089</v>
      </c>
      <c r="X89">
        <f t="shared" si="55"/>
        <v>0</v>
      </c>
      <c r="Y89">
        <f t="shared" si="56"/>
        <v>2.6659487697080997</v>
      </c>
      <c r="Z89">
        <f t="shared" si="57"/>
        <v>15.87645420861759</v>
      </c>
      <c r="AA89">
        <f t="shared" si="42"/>
        <v>0.22685561841449803</v>
      </c>
      <c r="AB89">
        <f t="shared" si="58"/>
        <v>0.5782483098591551</v>
      </c>
      <c r="AC89">
        <f t="shared" si="43"/>
        <v>0.84336850502542382</v>
      </c>
      <c r="AD89">
        <f t="shared" si="59"/>
        <v>0</v>
      </c>
      <c r="AE89">
        <f t="shared" si="60"/>
        <v>0.63461112000000008</v>
      </c>
      <c r="AF89">
        <f t="shared" si="44"/>
        <v>3.6000000000000004E-2</v>
      </c>
      <c r="AG89">
        <f t="shared" si="45"/>
        <v>0.26910000000000001</v>
      </c>
      <c r="AH89" s="9">
        <f t="shared" si="46"/>
        <v>0.22723009828009827</v>
      </c>
      <c r="AI89">
        <f t="shared" si="61"/>
        <v>0.30510000000000004</v>
      </c>
      <c r="AJ89" s="109">
        <f t="shared" si="62"/>
        <v>5.3148257012700784</v>
      </c>
      <c r="AK89" s="111">
        <f t="shared" si="63"/>
        <v>162</v>
      </c>
      <c r="AL89" s="10">
        <f t="shared" si="64"/>
        <v>0.96823458005592788</v>
      </c>
      <c r="AM89">
        <f t="shared" si="65"/>
        <v>133.297438485405</v>
      </c>
      <c r="AN89">
        <f t="shared" si="66"/>
        <v>42.168425251271188</v>
      </c>
      <c r="AO89" s="10"/>
      <c r="AP89">
        <f t="shared" si="67"/>
        <v>96.823458005592784</v>
      </c>
      <c r="AZ89" s="31"/>
      <c r="BA89" s="32"/>
    </row>
    <row r="90" spans="1:53">
      <c r="G90">
        <v>81</v>
      </c>
      <c r="H90">
        <f t="shared" si="35"/>
        <v>24.3</v>
      </c>
      <c r="I90">
        <f t="shared" si="36"/>
        <v>0.56842367381844705</v>
      </c>
      <c r="J90">
        <f t="shared" si="37"/>
        <v>9.7683282734757704</v>
      </c>
      <c r="K90">
        <f t="shared" si="47"/>
        <v>24.463067805126137</v>
      </c>
      <c r="L90">
        <f t="shared" si="38"/>
        <v>0.19448080645821961</v>
      </c>
      <c r="N90" s="48">
        <f t="shared" si="48"/>
        <v>0.19448080645821961</v>
      </c>
      <c r="O90" s="9">
        <f t="shared" si="49"/>
        <v>2.8198734791119344</v>
      </c>
      <c r="P90" s="9">
        <f t="shared" si="39"/>
        <v>1.232511397920821E-2</v>
      </c>
      <c r="Q90" s="9">
        <f t="shared" si="50"/>
        <v>1.232511397920821E-2</v>
      </c>
      <c r="R90">
        <f t="shared" si="51"/>
        <v>18.443655331070037</v>
      </c>
      <c r="S90" s="114">
        <f t="shared" si="40"/>
        <v>0.6803368439426164</v>
      </c>
      <c r="T90" s="110">
        <f t="shared" si="52"/>
        <v>0.6803368439426164</v>
      </c>
      <c r="U90">
        <f t="shared" si="53"/>
        <v>18.443655331070037</v>
      </c>
      <c r="V90">
        <f t="shared" si="41"/>
        <v>1.3266568456881018</v>
      </c>
      <c r="W90">
        <f t="shared" si="54"/>
        <v>0.68996345807726078</v>
      </c>
      <c r="X90">
        <f t="shared" si="55"/>
        <v>0</v>
      </c>
      <c r="Y90">
        <f t="shared" si="56"/>
        <v>2.7449386281787795</v>
      </c>
      <c r="Z90">
        <f t="shared" si="57"/>
        <v>16.070882504296108</v>
      </c>
      <c r="AA90">
        <f t="shared" si="42"/>
        <v>0.23244593802020166</v>
      </c>
      <c r="AB90">
        <f t="shared" si="58"/>
        <v>0.58426696601749251</v>
      </c>
      <c r="AC90">
        <f t="shared" si="43"/>
        <v>0.85653239944440385</v>
      </c>
      <c r="AD90">
        <f t="shared" si="59"/>
        <v>0</v>
      </c>
      <c r="AE90">
        <f t="shared" si="60"/>
        <v>0.63454875900000007</v>
      </c>
      <c r="AF90">
        <f t="shared" si="44"/>
        <v>3.6000000000000004E-2</v>
      </c>
      <c r="AG90">
        <f t="shared" si="45"/>
        <v>0.26910000000000001</v>
      </c>
      <c r="AH90" s="9">
        <f t="shared" si="46"/>
        <v>0.22723009828009827</v>
      </c>
      <c r="AI90">
        <f t="shared" si="61"/>
        <v>0.30510000000000004</v>
      </c>
      <c r="AJ90" s="115">
        <f t="shared" si="62"/>
        <v>5.4282625510032281</v>
      </c>
      <c r="AK90" s="111">
        <f t="shared" si="63"/>
        <v>164.02500000000001</v>
      </c>
      <c r="AL90" s="10">
        <f t="shared" si="64"/>
        <v>0.96796601924752323</v>
      </c>
      <c r="AM90">
        <f t="shared" si="65"/>
        <v>137.24693140893896</v>
      </c>
      <c r="AN90">
        <f t="shared" si="66"/>
        <v>42.826619972220193</v>
      </c>
      <c r="AO90" s="10"/>
      <c r="AP90">
        <f t="shared" si="67"/>
        <v>96.796601924752323</v>
      </c>
      <c r="AZ90" s="31"/>
      <c r="BA90" s="32"/>
    </row>
    <row r="91" spans="1:53">
      <c r="G91">
        <v>82</v>
      </c>
      <c r="H91">
        <f t="shared" si="35"/>
        <v>24.599999999999998</v>
      </c>
      <c r="I91">
        <f t="shared" si="36"/>
        <v>0.56849725813754592</v>
      </c>
      <c r="J91">
        <f t="shared" si="37"/>
        <v>9.7695928157843426</v>
      </c>
      <c r="K91">
        <f t="shared" si="47"/>
        <v>24.761133764743459</v>
      </c>
      <c r="L91">
        <f t="shared" si="38"/>
        <v>0.19932494541470733</v>
      </c>
      <c r="N91" s="48">
        <f t="shared" si="48"/>
        <v>0.19932494541470733</v>
      </c>
      <c r="O91" s="9">
        <f t="shared" si="49"/>
        <v>2.8202385210330623</v>
      </c>
      <c r="P91" s="9">
        <f t="shared" si="39"/>
        <v>1.2328305239054069E-2</v>
      </c>
      <c r="Q91" s="9">
        <f t="shared" si="50"/>
        <v>1.2328305239054069E-2</v>
      </c>
      <c r="R91">
        <f t="shared" si="51"/>
        <v>18.669587117510499</v>
      </c>
      <c r="S91" s="114">
        <f t="shared" si="40"/>
        <v>0.69710696627662805</v>
      </c>
      <c r="T91" s="110">
        <f t="shared" si="52"/>
        <v>0.69710696627662805</v>
      </c>
      <c r="U91">
        <f t="shared" si="53"/>
        <v>18.669587117510499</v>
      </c>
      <c r="V91">
        <f t="shared" si="41"/>
        <v>1.3593585842394245</v>
      </c>
      <c r="W91">
        <f t="shared" si="54"/>
        <v>0.69848152546093067</v>
      </c>
      <c r="X91">
        <f t="shared" si="55"/>
        <v>0</v>
      </c>
      <c r="Y91">
        <f t="shared" si="56"/>
        <v>2.8262054329105717</v>
      </c>
      <c r="Z91">
        <f t="shared" si="57"/>
        <v>16.265308548478401</v>
      </c>
      <c r="AA91">
        <f t="shared" si="42"/>
        <v>0.2381042359594841</v>
      </c>
      <c r="AB91">
        <f t="shared" si="58"/>
        <v>0.59028562408600127</v>
      </c>
      <c r="AC91">
        <f t="shared" si="43"/>
        <v>0.86981099660042571</v>
      </c>
      <c r="AD91">
        <f t="shared" si="59"/>
        <v>0</v>
      </c>
      <c r="AE91">
        <f t="shared" si="60"/>
        <v>0.63448639800000006</v>
      </c>
      <c r="AF91">
        <f t="shared" si="44"/>
        <v>3.6000000000000004E-2</v>
      </c>
      <c r="AG91">
        <f t="shared" si="45"/>
        <v>0.26910000000000001</v>
      </c>
      <c r="AH91" s="9">
        <f t="shared" si="46"/>
        <v>0.22723009828009827</v>
      </c>
      <c r="AI91">
        <f t="shared" si="61"/>
        <v>0.30510000000000004</v>
      </c>
      <c r="AJ91" s="109">
        <f t="shared" si="62"/>
        <v>5.5443630444413872</v>
      </c>
      <c r="AK91" s="111">
        <f t="shared" si="63"/>
        <v>166.04999999999998</v>
      </c>
      <c r="AL91" s="10">
        <f t="shared" si="64"/>
        <v>0.96768913065631745</v>
      </c>
      <c r="AM91">
        <f t="shared" si="65"/>
        <v>141.31027164552859</v>
      </c>
      <c r="AN91">
        <f t="shared" si="66"/>
        <v>43.490549830021287</v>
      </c>
      <c r="AO91" s="10"/>
      <c r="AP91">
        <f t="shared" si="67"/>
        <v>96.76891306563175</v>
      </c>
      <c r="AZ91" s="31"/>
      <c r="BA91" s="32"/>
    </row>
    <row r="92" spans="1:53">
      <c r="G92">
        <v>83</v>
      </c>
      <c r="H92">
        <f t="shared" si="35"/>
        <v>24.9</v>
      </c>
      <c r="I92">
        <f t="shared" si="36"/>
        <v>0.5685708535634324</v>
      </c>
      <c r="J92">
        <f t="shared" si="37"/>
        <v>9.7708575489624234</v>
      </c>
      <c r="K92">
        <f t="shared" si="47"/>
        <v>25.059245893884679</v>
      </c>
      <c r="L92">
        <f t="shared" si="38"/>
        <v>0.20423228026532</v>
      </c>
      <c r="N92" s="48">
        <f t="shared" si="48"/>
        <v>0.20423228026532</v>
      </c>
      <c r="O92" s="9">
        <f t="shared" si="49"/>
        <v>2.8206036180534713</v>
      </c>
      <c r="P92" s="9">
        <f t="shared" si="39"/>
        <v>1.2331497393773315E-2</v>
      </c>
      <c r="Q92" s="9">
        <f t="shared" si="50"/>
        <v>1.2331497393773315E-2</v>
      </c>
      <c r="R92">
        <f t="shared" si="51"/>
        <v>18.895582913126201</v>
      </c>
      <c r="S92" s="114">
        <f t="shared" si="40"/>
        <v>0.71408610725365373</v>
      </c>
      <c r="T92" s="110">
        <f t="shared" si="52"/>
        <v>0.71408610725365373</v>
      </c>
      <c r="U92">
        <f t="shared" si="53"/>
        <v>18.895582913126201</v>
      </c>
      <c r="V92">
        <f t="shared" si="41"/>
        <v>1.3924679091446246</v>
      </c>
      <c r="W92">
        <f t="shared" si="54"/>
        <v>0.70699959284460046</v>
      </c>
      <c r="X92">
        <f t="shared" si="55"/>
        <v>0</v>
      </c>
      <c r="Y92">
        <f t="shared" si="56"/>
        <v>2.9098389828757201</v>
      </c>
      <c r="Z92">
        <f t="shared" si="57"/>
        <v>16.459731199000469</v>
      </c>
      <c r="AA92">
        <f t="shared" si="42"/>
        <v>0.2438304760290145</v>
      </c>
      <c r="AB92">
        <f t="shared" si="58"/>
        <v>0.59630428406511393</v>
      </c>
      <c r="AC92">
        <f t="shared" si="43"/>
        <v>0.88320523044844013</v>
      </c>
      <c r="AD92">
        <f t="shared" si="59"/>
        <v>0</v>
      </c>
      <c r="AE92">
        <f t="shared" si="60"/>
        <v>0.63442403700000005</v>
      </c>
      <c r="AF92">
        <f t="shared" si="44"/>
        <v>3.6000000000000004E-2</v>
      </c>
      <c r="AG92">
        <f t="shared" si="45"/>
        <v>0.26910000000000001</v>
      </c>
      <c r="AH92" s="9">
        <f t="shared" si="46"/>
        <v>0.22723009828009827</v>
      </c>
      <c r="AI92">
        <f t="shared" si="61"/>
        <v>0.30510000000000004</v>
      </c>
      <c r="AJ92" s="109">
        <f t="shared" si="62"/>
        <v>5.6632181352369075</v>
      </c>
      <c r="AK92" s="111">
        <f t="shared" si="63"/>
        <v>168.07499999999999</v>
      </c>
      <c r="AL92" s="10">
        <f t="shared" si="64"/>
        <v>0.96740372845985623</v>
      </c>
      <c r="AM92">
        <f t="shared" si="65"/>
        <v>145.491949143786</v>
      </c>
      <c r="AN92">
        <f t="shared" si="66"/>
        <v>44.160261522422005</v>
      </c>
      <c r="AO92" s="10"/>
      <c r="AP92">
        <f t="shared" si="67"/>
        <v>96.740372845985618</v>
      </c>
      <c r="AZ92" s="31"/>
      <c r="BA92" s="32"/>
    </row>
    <row r="93" spans="1:53">
      <c r="G93">
        <v>84</v>
      </c>
      <c r="H93">
        <f t="shared" si="35"/>
        <v>25.2</v>
      </c>
      <c r="I93">
        <f t="shared" si="36"/>
        <v>0.56864446009862146</v>
      </c>
      <c r="J93">
        <f t="shared" si="37"/>
        <v>9.7721224730532352</v>
      </c>
      <c r="K93">
        <f t="shared" si="47"/>
        <v>25.357402564189467</v>
      </c>
      <c r="L93">
        <f t="shared" si="38"/>
        <v>0.20920295327476621</v>
      </c>
      <c r="N93" s="48">
        <f t="shared" si="48"/>
        <v>0.20920295327476621</v>
      </c>
      <c r="O93" s="9">
        <f t="shared" si="49"/>
        <v>2.8209687701856385</v>
      </c>
      <c r="P93" s="9">
        <f t="shared" si="39"/>
        <v>1.2334690443662144E-2</v>
      </c>
      <c r="Q93" s="9">
        <f t="shared" si="50"/>
        <v>1.2334690443662144E-2</v>
      </c>
      <c r="R93">
        <f t="shared" si="51"/>
        <v>19.121641500538228</v>
      </c>
      <c r="S93" s="114">
        <f t="shared" si="40"/>
        <v>0.7312743473502118</v>
      </c>
      <c r="T93" s="110">
        <f t="shared" si="52"/>
        <v>0.7312743473502118</v>
      </c>
      <c r="U93">
        <f t="shared" si="53"/>
        <v>19.121641500538228</v>
      </c>
      <c r="V93">
        <f t="shared" si="41"/>
        <v>1.425984977332913</v>
      </c>
      <c r="W93">
        <f t="shared" si="54"/>
        <v>0.71551766022827046</v>
      </c>
      <c r="X93">
        <f t="shared" si="55"/>
        <v>0</v>
      </c>
      <c r="Y93">
        <f t="shared" si="56"/>
        <v>2.9959340181551619</v>
      </c>
      <c r="Z93">
        <f t="shared" si="57"/>
        <v>16.654149366667056</v>
      </c>
      <c r="AA93">
        <f t="shared" si="42"/>
        <v>0.24962462201453103</v>
      </c>
      <c r="AB93">
        <f t="shared" si="58"/>
        <v>0.60232294595526303</v>
      </c>
      <c r="AC93">
        <f t="shared" si="43"/>
        <v>0.89671604892315537</v>
      </c>
      <c r="AD93">
        <f t="shared" si="59"/>
        <v>0</v>
      </c>
      <c r="AE93">
        <f t="shared" si="60"/>
        <v>0.63436167600000004</v>
      </c>
      <c r="AF93">
        <f t="shared" si="44"/>
        <v>3.6000000000000004E-2</v>
      </c>
      <c r="AG93">
        <f t="shared" si="45"/>
        <v>0.26910000000000001</v>
      </c>
      <c r="AH93" s="9">
        <f t="shared" si="46"/>
        <v>0.22723009828009827</v>
      </c>
      <c r="AI93">
        <f t="shared" si="61"/>
        <v>0.30510000000000004</v>
      </c>
      <c r="AJ93" s="109">
        <f t="shared" si="62"/>
        <v>5.7849237341469584</v>
      </c>
      <c r="AK93" s="111">
        <f t="shared" si="63"/>
        <v>170.1</v>
      </c>
      <c r="AL93" s="10">
        <f t="shared" si="64"/>
        <v>0.96710961001472207</v>
      </c>
      <c r="AM93">
        <f t="shared" si="65"/>
        <v>149.79670090775809</v>
      </c>
      <c r="AN93">
        <f t="shared" si="66"/>
        <v>44.835802446157771</v>
      </c>
      <c r="AO93" s="10"/>
      <c r="AP93">
        <f t="shared" si="67"/>
        <v>96.710961001472214</v>
      </c>
      <c r="AZ93" s="31"/>
      <c r="BA93" s="32"/>
    </row>
    <row r="94" spans="1:53">
      <c r="G94">
        <v>85</v>
      </c>
      <c r="H94">
        <f t="shared" si="35"/>
        <v>25.5</v>
      </c>
      <c r="I94">
        <f t="shared" si="36"/>
        <v>0.56871807774562833</v>
      </c>
      <c r="J94">
        <f t="shared" si="37"/>
        <v>9.7733875880999985</v>
      </c>
      <c r="K94">
        <f t="shared" si="47"/>
        <v>25.655602222755732</v>
      </c>
      <c r="L94">
        <f t="shared" si="38"/>
        <v>0.21423710871035245</v>
      </c>
      <c r="N94" s="48">
        <f t="shared" si="48"/>
        <v>0.21423710871035245</v>
      </c>
      <c r="O94" s="9">
        <f t="shared" si="49"/>
        <v>2.8213339774420407</v>
      </c>
      <c r="P94" s="9">
        <f t="shared" si="39"/>
        <v>1.2337884389016835E-2</v>
      </c>
      <c r="Q94" s="9">
        <f t="shared" si="50"/>
        <v>1.2337884389016835E-2</v>
      </c>
      <c r="R94">
        <f t="shared" si="51"/>
        <v>19.347761718957543</v>
      </c>
      <c r="S94" s="114">
        <f t="shared" si="40"/>
        <v>0.7486717670671178</v>
      </c>
      <c r="T94" s="110">
        <f t="shared" si="52"/>
        <v>0.7486717670671178</v>
      </c>
      <c r="U94">
        <f t="shared" si="53"/>
        <v>19.347761718957543</v>
      </c>
      <c r="V94">
        <f t="shared" si="41"/>
        <v>1.4599099457808797</v>
      </c>
      <c r="W94">
        <f t="shared" si="54"/>
        <v>0.72403572761194035</v>
      </c>
      <c r="X94">
        <f t="shared" si="55"/>
        <v>0</v>
      </c>
      <c r="Y94">
        <f t="shared" si="56"/>
        <v>3.0845905611779116</v>
      </c>
      <c r="Z94">
        <f t="shared" si="57"/>
        <v>16.848562012192907</v>
      </c>
      <c r="AA94">
        <f t="shared" si="42"/>
        <v>0.25548663769083896</v>
      </c>
      <c r="AB94">
        <f t="shared" si="58"/>
        <v>0.60834160975688112</v>
      </c>
      <c r="AC94">
        <f t="shared" si="43"/>
        <v>0.9103444141500886</v>
      </c>
      <c r="AD94">
        <f t="shared" si="59"/>
        <v>0</v>
      </c>
      <c r="AE94">
        <f t="shared" si="60"/>
        <v>0.63429931500000014</v>
      </c>
      <c r="AF94">
        <f t="shared" si="44"/>
        <v>3.6000000000000004E-2</v>
      </c>
      <c r="AG94">
        <f t="shared" si="45"/>
        <v>0.26910000000000001</v>
      </c>
      <c r="AH94" s="9">
        <f t="shared" si="46"/>
        <v>0.22723009828009827</v>
      </c>
      <c r="AI94">
        <f t="shared" si="61"/>
        <v>0.30510000000000004</v>
      </c>
      <c r="AJ94" s="109">
        <f t="shared" si="62"/>
        <v>5.9095810504944879</v>
      </c>
      <c r="AK94" s="111">
        <f t="shared" si="63"/>
        <v>172.125</v>
      </c>
      <c r="AL94" s="10">
        <f t="shared" si="64"/>
        <v>0.96680655513313785</v>
      </c>
      <c r="AM94">
        <f t="shared" si="65"/>
        <v>154.2295280588956</v>
      </c>
      <c r="AN94">
        <f t="shared" si="66"/>
        <v>45.517220707504428</v>
      </c>
      <c r="AO94" s="10"/>
      <c r="AP94">
        <f t="shared" si="67"/>
        <v>96.680655513313781</v>
      </c>
      <c r="AZ94" s="31"/>
      <c r="BA94" s="32"/>
    </row>
    <row r="95" spans="1:53">
      <c r="G95">
        <v>86</v>
      </c>
      <c r="H95">
        <f t="shared" si="35"/>
        <v>25.8</v>
      </c>
      <c r="I95">
        <f t="shared" si="36"/>
        <v>0.56879170650696997</v>
      </c>
      <c r="J95">
        <f t="shared" si="37"/>
        <v>9.7746528941459676</v>
      </c>
      <c r="K95">
        <f t="shared" si="47"/>
        <v>25.95384338783153</v>
      </c>
      <c r="L95">
        <f t="shared" si="38"/>
        <v>0.21933489285266833</v>
      </c>
      <c r="N95" s="48">
        <f t="shared" si="48"/>
        <v>0.21933489285266833</v>
      </c>
      <c r="O95" s="9">
        <f t="shared" si="49"/>
        <v>2.8216992398351648</v>
      </c>
      <c r="P95" s="9">
        <f t="shared" si="39"/>
        <v>1.2341079230133839E-2</v>
      </c>
      <c r="Q95" s="9">
        <f t="shared" si="50"/>
        <v>1.2341079230133839E-2</v>
      </c>
      <c r="R95">
        <f t="shared" si="51"/>
        <v>19.573942460954264</v>
      </c>
      <c r="S95" s="114">
        <f t="shared" si="40"/>
        <v>0.76627844692949654</v>
      </c>
      <c r="T95" s="110">
        <f t="shared" si="52"/>
        <v>0.76627844692949654</v>
      </c>
      <c r="U95">
        <f t="shared" si="53"/>
        <v>19.573942460954264</v>
      </c>
      <c r="V95">
        <f t="shared" si="41"/>
        <v>1.4942429715125183</v>
      </c>
      <c r="W95">
        <f t="shared" si="54"/>
        <v>0.73255379499561024</v>
      </c>
      <c r="X95">
        <f t="shared" si="55"/>
        <v>0</v>
      </c>
      <c r="Y95">
        <f t="shared" si="56"/>
        <v>3.1759142867194847</v>
      </c>
      <c r="Z95">
        <f t="shared" si="57"/>
        <v>17.042968143352791</v>
      </c>
      <c r="AA95">
        <f t="shared" si="42"/>
        <v>0.26141648682180429</v>
      </c>
      <c r="AB95">
        <f t="shared" si="58"/>
        <v>0.61436027547040117</v>
      </c>
      <c r="AC95">
        <f t="shared" si="43"/>
        <v>0.92409130266105288</v>
      </c>
      <c r="AD95">
        <f t="shared" si="59"/>
        <v>0</v>
      </c>
      <c r="AE95">
        <f t="shared" si="60"/>
        <v>0.63423695400000013</v>
      </c>
      <c r="AF95">
        <f t="shared" si="44"/>
        <v>3.6000000000000004E-2</v>
      </c>
      <c r="AG95">
        <f t="shared" si="45"/>
        <v>0.26910000000000001</v>
      </c>
      <c r="AH95" s="9">
        <f t="shared" si="46"/>
        <v>0.22723009828009827</v>
      </c>
      <c r="AI95">
        <f t="shared" si="61"/>
        <v>0.30510000000000004</v>
      </c>
      <c r="AJ95" s="109">
        <f t="shared" si="62"/>
        <v>6.0372969623928361</v>
      </c>
      <c r="AK95" s="111">
        <f t="shared" si="63"/>
        <v>174.15</v>
      </c>
      <c r="AL95" s="10">
        <f t="shared" si="64"/>
        <v>0.96649432527059387</v>
      </c>
      <c r="AM95">
        <f t="shared" si="65"/>
        <v>158.79571433597422</v>
      </c>
      <c r="AN95">
        <f t="shared" si="66"/>
        <v>46.204565133052647</v>
      </c>
      <c r="AO95" s="10"/>
      <c r="AP95">
        <f t="shared" si="67"/>
        <v>96.649432527059389</v>
      </c>
      <c r="AZ95" s="31"/>
      <c r="BA95" s="32"/>
    </row>
    <row r="96" spans="1:53">
      <c r="G96">
        <v>87</v>
      </c>
      <c r="H96">
        <f t="shared" si="35"/>
        <v>26.1</v>
      </c>
      <c r="I96">
        <f t="shared" si="36"/>
        <v>0.56886534638516317</v>
      </c>
      <c r="J96">
        <f t="shared" si="37"/>
        <v>9.775918391234395</v>
      </c>
      <c r="K96">
        <f t="shared" si="47"/>
        <v>26.25212464479792</v>
      </c>
      <c r="L96">
        <f t="shared" si="38"/>
        <v>0.22449645400643867</v>
      </c>
      <c r="N96" s="48">
        <f t="shared" si="48"/>
        <v>0.22449645400643867</v>
      </c>
      <c r="O96" s="9">
        <f t="shared" si="49"/>
        <v>2.8220645573774958</v>
      </c>
      <c r="P96" s="9">
        <f t="shared" si="39"/>
        <v>1.2344274967309674E-2</v>
      </c>
      <c r="Q96" s="9">
        <f t="shared" si="50"/>
        <v>1.2344274967309674E-2</v>
      </c>
      <c r="R96">
        <f t="shared" si="51"/>
        <v>19.800182669445082</v>
      </c>
      <c r="S96" s="114">
        <f t="shared" si="40"/>
        <v>0.78409446748678668</v>
      </c>
      <c r="T96" s="110">
        <f t="shared" si="52"/>
        <v>0.78409446748678668</v>
      </c>
      <c r="U96">
        <f t="shared" si="53"/>
        <v>19.800182669445082</v>
      </c>
      <c r="V96">
        <f t="shared" si="41"/>
        <v>1.528984211599234</v>
      </c>
      <c r="W96">
        <f t="shared" si="54"/>
        <v>0.74107186237928024</v>
      </c>
      <c r="X96">
        <f t="shared" si="55"/>
        <v>0</v>
      </c>
      <c r="Y96">
        <f t="shared" si="56"/>
        <v>3.2700169235248837</v>
      </c>
      <c r="Z96">
        <f t="shared" si="57"/>
        <v>17.237366812324119</v>
      </c>
      <c r="AA96">
        <f t="shared" si="42"/>
        <v>0.26741413316035162</v>
      </c>
      <c r="AB96">
        <f t="shared" si="58"/>
        <v>0.62037894309625641</v>
      </c>
      <c r="AC96">
        <f t="shared" si="43"/>
        <v>0.93795770561418601</v>
      </c>
      <c r="AD96">
        <f t="shared" si="59"/>
        <v>0</v>
      </c>
      <c r="AE96">
        <f t="shared" si="60"/>
        <v>0.63417459300000012</v>
      </c>
      <c r="AF96">
        <f t="shared" si="44"/>
        <v>3.6000000000000004E-2</v>
      </c>
      <c r="AG96">
        <f t="shared" si="45"/>
        <v>0.26910000000000001</v>
      </c>
      <c r="AH96" s="9">
        <f t="shared" si="46"/>
        <v>0.22723009828009827</v>
      </c>
      <c r="AI96">
        <f t="shared" si="61"/>
        <v>0.30510000000000004</v>
      </c>
      <c r="AJ96" s="109">
        <f t="shared" si="62"/>
        <v>6.1681844185996049</v>
      </c>
      <c r="AK96" s="111">
        <f t="shared" si="63"/>
        <v>176.17500000000001</v>
      </c>
      <c r="AL96" s="10">
        <f t="shared" si="64"/>
        <v>0.96617266261820078</v>
      </c>
      <c r="AM96">
        <f t="shared" si="65"/>
        <v>163.50084617624418</v>
      </c>
      <c r="AN96">
        <f t="shared" si="66"/>
        <v>46.897885280709303</v>
      </c>
      <c r="AO96" s="10"/>
      <c r="AP96">
        <f t="shared" si="67"/>
        <v>96.617266261820077</v>
      </c>
      <c r="AZ96" s="31"/>
      <c r="BA96" s="32"/>
    </row>
    <row r="97" spans="7:53">
      <c r="G97">
        <v>88</v>
      </c>
      <c r="H97">
        <f t="shared" si="35"/>
        <v>26.4</v>
      </c>
      <c r="I97">
        <f t="shared" si="36"/>
        <v>0.56893899738272602</v>
      </c>
      <c r="J97">
        <f t="shared" si="37"/>
        <v>9.7771840794085509</v>
      </c>
      <c r="K97">
        <f t="shared" si="47"/>
        <v>26.55044464242021</v>
      </c>
      <c r="L97">
        <f t="shared" si="38"/>
        <v>0.22972194251154462</v>
      </c>
      <c r="N97" s="48">
        <f t="shared" si="48"/>
        <v>0.22972194251154462</v>
      </c>
      <c r="O97" s="9">
        <f t="shared" si="49"/>
        <v>2.8224299300815252</v>
      </c>
      <c r="P97" s="9">
        <f t="shared" si="39"/>
        <v>1.2347471600841004E-2</v>
      </c>
      <c r="Q97" s="9">
        <f t="shared" si="50"/>
        <v>1.2347471600841004E-2</v>
      </c>
      <c r="R97">
        <f t="shared" si="51"/>
        <v>20.026481334882</v>
      </c>
      <c r="S97" s="114">
        <f t="shared" si="40"/>
        <v>0.80211990931275423</v>
      </c>
      <c r="T97" s="110">
        <f t="shared" si="52"/>
        <v>0.80211990931275423</v>
      </c>
      <c r="U97">
        <f t="shared" si="53"/>
        <v>20.026481334882</v>
      </c>
      <c r="V97">
        <f t="shared" si="41"/>
        <v>1.5641338231598707</v>
      </c>
      <c r="W97">
        <f t="shared" si="54"/>
        <v>0.74958992976294991</v>
      </c>
      <c r="X97">
        <f t="shared" si="55"/>
        <v>0</v>
      </c>
      <c r="Y97">
        <f t="shared" si="56"/>
        <v>3.3670166907529091</v>
      </c>
      <c r="Z97">
        <f t="shared" si="57"/>
        <v>17.431757113207002</v>
      </c>
      <c r="AA97">
        <f t="shared" si="42"/>
        <v>0.27347954044845862</v>
      </c>
      <c r="AB97">
        <f t="shared" si="58"/>
        <v>0.6263976126348797</v>
      </c>
      <c r="AC97">
        <f t="shared" si="43"/>
        <v>0.95194462901861621</v>
      </c>
      <c r="AD97">
        <f t="shared" si="59"/>
        <v>0</v>
      </c>
      <c r="AE97">
        <f t="shared" si="60"/>
        <v>0.63411223200000011</v>
      </c>
      <c r="AF97">
        <f t="shared" si="44"/>
        <v>3.6000000000000004E-2</v>
      </c>
      <c r="AG97">
        <f t="shared" si="45"/>
        <v>0.26910000000000001</v>
      </c>
      <c r="AH97" s="9">
        <f t="shared" si="46"/>
        <v>0.22723009828009827</v>
      </c>
      <c r="AI97">
        <f t="shared" si="61"/>
        <v>0.30510000000000004</v>
      </c>
      <c r="AJ97" s="109">
        <f t="shared" si="62"/>
        <v>6.3023628751966649</v>
      </c>
      <c r="AK97" s="111">
        <f t="shared" si="63"/>
        <v>178.2</v>
      </c>
      <c r="AL97" s="10">
        <f t="shared" si="64"/>
        <v>0.96584128909254241</v>
      </c>
      <c r="AM97">
        <f t="shared" si="65"/>
        <v>168.35083453764545</v>
      </c>
      <c r="AN97">
        <f t="shared" si="66"/>
        <v>47.597231450930813</v>
      </c>
      <c r="AO97" s="10"/>
      <c r="AP97">
        <f t="shared" si="67"/>
        <v>96.584128909254247</v>
      </c>
      <c r="AZ97" s="31"/>
      <c r="BA97" s="32"/>
    </row>
    <row r="98" spans="7:53">
      <c r="G98">
        <v>89</v>
      </c>
      <c r="H98">
        <f t="shared" si="35"/>
        <v>26.7</v>
      </c>
      <c r="I98">
        <f t="shared" si="36"/>
        <v>0.56901265950217694</v>
      </c>
      <c r="J98">
        <f t="shared" si="37"/>
        <v>9.7784499587117164</v>
      </c>
      <c r="K98">
        <f t="shared" si="47"/>
        <v>26.848802089346911</v>
      </c>
      <c r="L98">
        <f t="shared" si="38"/>
        <v>0.235011510754214</v>
      </c>
      <c r="N98" s="48">
        <f t="shared" si="48"/>
        <v>0.235011510754214</v>
      </c>
      <c r="O98" s="9">
        <f t="shared" si="49"/>
        <v>2.8227953579597473</v>
      </c>
      <c r="P98" s="9">
        <f t="shared" si="39"/>
        <v>1.2350669131024601E-2</v>
      </c>
      <c r="Q98" s="9">
        <f t="shared" si="50"/>
        <v>1.2350669131024601E-2</v>
      </c>
      <c r="R98">
        <f t="shared" si="51"/>
        <v>20.252837492626789</v>
      </c>
      <c r="S98" s="114">
        <f t="shared" si="40"/>
        <v>0.82035485300549871</v>
      </c>
      <c r="T98" s="110">
        <f t="shared" si="52"/>
        <v>0.82035485300549871</v>
      </c>
      <c r="U98">
        <f t="shared" si="53"/>
        <v>20.252837492626789</v>
      </c>
      <c r="V98">
        <f t="shared" si="41"/>
        <v>1.5996919633607225</v>
      </c>
      <c r="W98">
        <f t="shared" si="54"/>
        <v>0.75810799714661992</v>
      </c>
      <c r="X98">
        <f t="shared" si="55"/>
        <v>0</v>
      </c>
      <c r="Y98">
        <f t="shared" si="56"/>
        <v>3.4670387728132028</v>
      </c>
      <c r="Z98">
        <f t="shared" si="57"/>
        <v>17.626138179708274</v>
      </c>
      <c r="AA98">
        <f t="shared" si="42"/>
        <v>0.27961267241715276</v>
      </c>
      <c r="AB98">
        <f t="shared" si="58"/>
        <v>0.63241628408670436</v>
      </c>
      <c r="AC98">
        <f t="shared" si="43"/>
        <v>0.96605309396387673</v>
      </c>
      <c r="AD98">
        <f t="shared" si="59"/>
        <v>0</v>
      </c>
      <c r="AE98">
        <f t="shared" si="60"/>
        <v>0.6340498710000001</v>
      </c>
      <c r="AF98">
        <f t="shared" si="44"/>
        <v>3.6000000000000004E-2</v>
      </c>
      <c r="AG98">
        <f t="shared" si="45"/>
        <v>0.26910000000000001</v>
      </c>
      <c r="AH98" s="9">
        <f t="shared" si="46"/>
        <v>0.22723009828009827</v>
      </c>
      <c r="AI98">
        <f t="shared" si="61"/>
        <v>0.30510000000000004</v>
      </c>
      <c r="AJ98" s="109">
        <f t="shared" si="62"/>
        <v>6.4399587706678174</v>
      </c>
      <c r="AK98" s="111">
        <f t="shared" si="63"/>
        <v>180.22499999999999</v>
      </c>
      <c r="AL98" s="10">
        <f t="shared" si="64"/>
        <v>0.9654999052147768</v>
      </c>
      <c r="AM98">
        <f t="shared" si="65"/>
        <v>173.35193864066014</v>
      </c>
      <c r="AN98">
        <f t="shared" si="66"/>
        <v>48.302654698193834</v>
      </c>
      <c r="AO98" s="10"/>
      <c r="AP98">
        <f t="shared" si="67"/>
        <v>96.549990521477682</v>
      </c>
      <c r="AZ98" s="31"/>
      <c r="BA98" s="32"/>
    </row>
    <row r="99" spans="7:53">
      <c r="G99">
        <v>90</v>
      </c>
      <c r="H99">
        <f t="shared" si="35"/>
        <v>27</v>
      </c>
      <c r="I99">
        <f t="shared" si="36"/>
        <v>0.56908633274603571</v>
      </c>
      <c r="J99">
        <f t="shared" si="37"/>
        <v>9.7797160291871936</v>
      </c>
      <c r="K99">
        <f t="shared" si="47"/>
        <v>27.1471957508376</v>
      </c>
      <c r="L99">
        <f t="shared" si="38"/>
        <v>0.24036531317838392</v>
      </c>
      <c r="N99" s="48">
        <f t="shared" si="48"/>
        <v>0.24036531317838392</v>
      </c>
      <c r="O99" s="9">
        <f t="shared" si="49"/>
        <v>2.8231608410246625</v>
      </c>
      <c r="P99" s="9">
        <f t="shared" si="39"/>
        <v>1.2353867558157374E-2</v>
      </c>
      <c r="Q99" s="9">
        <f t="shared" si="50"/>
        <v>1.2353867558157374E-2</v>
      </c>
      <c r="R99">
        <f t="shared" si="51"/>
        <v>20.479250220497143</v>
      </c>
      <c r="S99" s="114">
        <f t="shared" si="40"/>
        <v>0.8387993791874645</v>
      </c>
      <c r="T99" s="110">
        <f t="shared" si="52"/>
        <v>0.8387993791874645</v>
      </c>
      <c r="U99">
        <f t="shared" si="53"/>
        <v>20.479250220497143</v>
      </c>
      <c r="V99">
        <f t="shared" si="41"/>
        <v>1.6356587894155556</v>
      </c>
      <c r="W99">
        <f t="shared" si="54"/>
        <v>0.76662606453028981</v>
      </c>
      <c r="X99">
        <f t="shared" si="55"/>
        <v>0</v>
      </c>
      <c r="Y99">
        <f t="shared" si="56"/>
        <v>3.5702158365924586</v>
      </c>
      <c r="Z99">
        <f t="shared" si="57"/>
        <v>17.820509182976863</v>
      </c>
      <c r="AA99">
        <f t="shared" si="42"/>
        <v>0.28581349278650642</v>
      </c>
      <c r="AB99">
        <f t="shared" si="58"/>
        <v>0.63843495745216394</v>
      </c>
      <c r="AC99">
        <f t="shared" si="43"/>
        <v>0.98028413685416949</v>
      </c>
      <c r="AD99">
        <f t="shared" si="59"/>
        <v>0</v>
      </c>
      <c r="AE99">
        <f t="shared" si="60"/>
        <v>0.63398751000000009</v>
      </c>
      <c r="AF99">
        <f t="shared" si="44"/>
        <v>3.6000000000000004E-2</v>
      </c>
      <c r="AG99">
        <f t="shared" si="45"/>
        <v>0.26910000000000001</v>
      </c>
      <c r="AH99" s="9">
        <f t="shared" si="46"/>
        <v>0.22723009828009827</v>
      </c>
      <c r="AI99">
        <f t="shared" si="61"/>
        <v>0.30510000000000004</v>
      </c>
      <c r="AJ99" s="109">
        <f t="shared" si="62"/>
        <v>6.5811060433706343</v>
      </c>
      <c r="AK99" s="111">
        <f t="shared" si="63"/>
        <v>182.25</v>
      </c>
      <c r="AL99" s="10">
        <f t="shared" si="64"/>
        <v>0.96514818886958653</v>
      </c>
      <c r="AM99">
        <f t="shared" si="65"/>
        <v>178.51079182962292</v>
      </c>
      <c r="AN99">
        <f t="shared" si="66"/>
        <v>49.014206842708475</v>
      </c>
      <c r="AO99" s="10"/>
      <c r="AP99">
        <f t="shared" si="67"/>
        <v>96.514818886958651</v>
      </c>
      <c r="AZ99" s="31"/>
      <c r="BA99" s="32"/>
    </row>
    <row r="100" spans="7:53">
      <c r="G100">
        <v>91</v>
      </c>
      <c r="H100">
        <f t="shared" si="35"/>
        <v>27.3</v>
      </c>
      <c r="I100">
        <f t="shared" si="36"/>
        <v>0.56916001711682229</v>
      </c>
      <c r="J100">
        <f t="shared" si="37"/>
        <v>9.7809822908782902</v>
      </c>
      <c r="K100">
        <f t="shared" si="47"/>
        <v>27.445624445702446</v>
      </c>
      <c r="L100">
        <f t="shared" si="38"/>
        <v>0.245783506297236</v>
      </c>
      <c r="N100" s="48">
        <f t="shared" si="48"/>
        <v>0.245783506297236</v>
      </c>
      <c r="O100" s="9">
        <f t="shared" si="49"/>
        <v>2.8235263792887717</v>
      </c>
      <c r="P100" s="9">
        <f t="shared" si="39"/>
        <v>1.235706688253632E-2</v>
      </c>
      <c r="Q100" s="9">
        <f t="shared" si="50"/>
        <v>1.235706688253632E-2</v>
      </c>
      <c r="R100">
        <f t="shared" si="51"/>
        <v>20.705718636471531</v>
      </c>
      <c r="S100" s="114">
        <f t="shared" si="40"/>
        <v>0.85745356850544896</v>
      </c>
      <c r="T100" s="110">
        <f t="shared" si="52"/>
        <v>0.85745356850544896</v>
      </c>
      <c r="U100">
        <f t="shared" si="53"/>
        <v>20.705718636471531</v>
      </c>
      <c r="V100">
        <f t="shared" si="41"/>
        <v>1.6720344585856255</v>
      </c>
      <c r="W100">
        <f t="shared" si="54"/>
        <v>0.7751441319139597</v>
      </c>
      <c r="X100">
        <f t="shared" si="55"/>
        <v>0</v>
      </c>
      <c r="Y100">
        <f t="shared" si="56"/>
        <v>3.6766885955488928</v>
      </c>
      <c r="Z100">
        <f t="shared" si="57"/>
        <v>18.014869329579255</v>
      </c>
      <c r="AA100">
        <f t="shared" si="42"/>
        <v>0.29208196526563379</v>
      </c>
      <c r="AB100">
        <f t="shared" si="58"/>
        <v>0.64445363273169176</v>
      </c>
      <c r="AC100">
        <f t="shared" si="43"/>
        <v>0.99463880964759344</v>
      </c>
      <c r="AD100">
        <f t="shared" si="59"/>
        <v>0</v>
      </c>
      <c r="AE100">
        <f t="shared" si="60"/>
        <v>0.63392514900000008</v>
      </c>
      <c r="AF100">
        <f t="shared" si="44"/>
        <v>3.6000000000000004E-2</v>
      </c>
      <c r="AG100">
        <f t="shared" si="45"/>
        <v>0.26910000000000001</v>
      </c>
      <c r="AH100" s="9">
        <f t="shared" si="46"/>
        <v>0.22723009828009827</v>
      </c>
      <c r="AI100">
        <f t="shared" si="61"/>
        <v>0.30510000000000004</v>
      </c>
      <c r="AJ100" s="109">
        <f t="shared" si="62"/>
        <v>6.7259466958817082</v>
      </c>
      <c r="AK100" s="111">
        <f t="shared" si="63"/>
        <v>184.27500000000001</v>
      </c>
      <c r="AL100" s="10">
        <f t="shared" si="64"/>
        <v>0.96478579393330977</v>
      </c>
      <c r="AM100">
        <f t="shared" si="65"/>
        <v>183.83442977744465</v>
      </c>
      <c r="AN100">
        <f t="shared" si="66"/>
        <v>49.73194048237967</v>
      </c>
      <c r="AO100" s="10"/>
      <c r="AP100">
        <f t="shared" si="67"/>
        <v>96.478579393330975</v>
      </c>
      <c r="AZ100" s="31"/>
      <c r="BA100" s="32"/>
    </row>
    <row r="101" spans="7:53">
      <c r="G101">
        <v>92</v>
      </c>
      <c r="H101">
        <f t="shared" si="35"/>
        <v>27.6</v>
      </c>
      <c r="I101">
        <f t="shared" si="36"/>
        <v>0.5692337126170578</v>
      </c>
      <c r="J101">
        <f t="shared" si="37"/>
        <v>9.7822487438283279</v>
      </c>
      <c r="K101">
        <f t="shared" si="47"/>
        <v>27.744087043437641</v>
      </c>
      <c r="L101">
        <f t="shared" si="38"/>
        <v>0.25126624870490694</v>
      </c>
      <c r="N101" s="48">
        <f t="shared" si="48"/>
        <v>0.25126624870490694</v>
      </c>
      <c r="O101" s="9">
        <f t="shared" si="49"/>
        <v>2.8238919727645819</v>
      </c>
      <c r="P101" s="9">
        <f t="shared" si="39"/>
        <v>1.2360267104458575E-2</v>
      </c>
      <c r="Q101" s="9">
        <f t="shared" si="50"/>
        <v>1.2360267104458575E-2</v>
      </c>
      <c r="R101">
        <f t="shared" si="51"/>
        <v>20.932241896540972</v>
      </c>
      <c r="S101" s="114">
        <f t="shared" si="40"/>
        <v>0.8763175016306104</v>
      </c>
      <c r="T101" s="110">
        <f t="shared" si="52"/>
        <v>0.8763175016306104</v>
      </c>
      <c r="U101">
        <f t="shared" si="53"/>
        <v>20.932241896540972</v>
      </c>
      <c r="V101">
        <f t="shared" si="41"/>
        <v>1.7088191281796903</v>
      </c>
      <c r="W101">
        <f t="shared" si="54"/>
        <v>0.7836621992976297</v>
      </c>
      <c r="X101">
        <f t="shared" si="55"/>
        <v>0</v>
      </c>
      <c r="Y101">
        <f t="shared" si="56"/>
        <v>3.7866064257033085</v>
      </c>
      <c r="Z101">
        <f t="shared" si="57"/>
        <v>18.209217859604493</v>
      </c>
      <c r="AA101">
        <f t="shared" si="42"/>
        <v>0.2984180535526853</v>
      </c>
      <c r="AB101">
        <f t="shared" si="58"/>
        <v>0.65047230992572169</v>
      </c>
      <c r="AC101">
        <f t="shared" si="43"/>
        <v>1.0091181801004476</v>
      </c>
      <c r="AD101">
        <f t="shared" si="59"/>
        <v>0</v>
      </c>
      <c r="AE101">
        <f t="shared" si="60"/>
        <v>0.63386278800000007</v>
      </c>
      <c r="AF101">
        <f t="shared" si="44"/>
        <v>3.6000000000000004E-2</v>
      </c>
      <c r="AG101">
        <f t="shared" si="45"/>
        <v>0.26910000000000001</v>
      </c>
      <c r="AH101" s="9">
        <f t="shared" si="46"/>
        <v>0.22723009828009827</v>
      </c>
      <c r="AI101">
        <f t="shared" si="61"/>
        <v>0.30510000000000004</v>
      </c>
      <c r="AJ101" s="109">
        <f t="shared" si="62"/>
        <v>6.8746314112437323</v>
      </c>
      <c r="AK101" s="111">
        <f t="shared" si="63"/>
        <v>186.3</v>
      </c>
      <c r="AL101" s="10">
        <f t="shared" si="64"/>
        <v>0.96441234875914661</v>
      </c>
      <c r="AM101">
        <f t="shared" si="65"/>
        <v>189.33032128516544</v>
      </c>
      <c r="AN101">
        <f t="shared" si="66"/>
        <v>50.455909005022384</v>
      </c>
      <c r="AO101" s="10"/>
      <c r="AP101">
        <f t="shared" si="67"/>
        <v>96.44123487591466</v>
      </c>
      <c r="AZ101" s="31"/>
      <c r="BA101" s="32"/>
    </row>
    <row r="102" spans="7:53">
      <c r="G102">
        <v>93</v>
      </c>
      <c r="H102">
        <f t="shared" si="35"/>
        <v>27.900000000000002</v>
      </c>
      <c r="I102">
        <f t="shared" si="36"/>
        <v>0.56930741924926365</v>
      </c>
      <c r="J102">
        <f t="shared" si="37"/>
        <v>9.7835153880806374</v>
      </c>
      <c r="K102">
        <f t="shared" si="47"/>
        <v>28.04258246154232</v>
      </c>
      <c r="L102">
        <f t="shared" si="38"/>
        <v>0.25681370108837548</v>
      </c>
      <c r="N102" s="48">
        <f t="shared" si="48"/>
        <v>0.25681370108837548</v>
      </c>
      <c r="O102" s="9">
        <f t="shared" si="49"/>
        <v>2.8242576214646014</v>
      </c>
      <c r="P102" s="9">
        <f t="shared" si="39"/>
        <v>1.2363468224221375E-2</v>
      </c>
      <c r="Q102" s="9">
        <f t="shared" si="50"/>
        <v>1.2363468224221375E-2</v>
      </c>
      <c r="R102">
        <f t="shared" si="51"/>
        <v>21.158819192696928</v>
      </c>
      <c r="S102" s="114">
        <f t="shared" si="40"/>
        <v>0.89539125925847973</v>
      </c>
      <c r="T102" s="110">
        <f t="shared" si="52"/>
        <v>0.89539125925847973</v>
      </c>
      <c r="U102">
        <f t="shared" si="53"/>
        <v>21.158819192696928</v>
      </c>
      <c r="V102">
        <f t="shared" si="41"/>
        <v>1.7460129555540354</v>
      </c>
      <c r="W102">
        <f t="shared" si="54"/>
        <v>0.79218026668129937</v>
      </c>
      <c r="X102">
        <f t="shared" si="55"/>
        <v>0</v>
      </c>
      <c r="Y102">
        <f t="shared" si="56"/>
        <v>3.9001280391813862</v>
      </c>
      <c r="Z102">
        <f t="shared" si="57"/>
        <v>18.403554044889294</v>
      </c>
      <c r="AA102">
        <f t="shared" si="42"/>
        <v>0.30482172133484498</v>
      </c>
      <c r="AB102">
        <f t="shared" si="58"/>
        <v>0.65649098903468728</v>
      </c>
      <c r="AC102">
        <f t="shared" si="43"/>
        <v>1.0237233320167287</v>
      </c>
      <c r="AD102">
        <f t="shared" si="59"/>
        <v>0</v>
      </c>
      <c r="AE102">
        <f t="shared" si="60"/>
        <v>0.63380042700000006</v>
      </c>
      <c r="AF102">
        <f t="shared" si="44"/>
        <v>3.6000000000000004E-2</v>
      </c>
      <c r="AG102">
        <f t="shared" si="45"/>
        <v>0.26910000000000001</v>
      </c>
      <c r="AH102" s="9">
        <f t="shared" si="46"/>
        <v>0.22723009828009827</v>
      </c>
      <c r="AI102">
        <f t="shared" si="61"/>
        <v>0.30510000000000004</v>
      </c>
      <c r="AJ102" s="109">
        <f t="shared" si="62"/>
        <v>7.0273202267691905</v>
      </c>
      <c r="AK102" s="111">
        <f t="shared" si="63"/>
        <v>188.32500000000002</v>
      </c>
      <c r="AL102" s="10">
        <f t="shared" si="64"/>
        <v>0.96402745450572735</v>
      </c>
      <c r="AM102">
        <f t="shared" si="65"/>
        <v>195.00640195906931</v>
      </c>
      <c r="AN102">
        <f t="shared" si="66"/>
        <v>51.186166600836437</v>
      </c>
      <c r="AO102" s="10"/>
      <c r="AP102">
        <f t="shared" si="67"/>
        <v>96.402745450572738</v>
      </c>
      <c r="AZ102" s="31"/>
      <c r="BA102" s="32"/>
    </row>
    <row r="103" spans="7:53">
      <c r="G103">
        <v>94</v>
      </c>
      <c r="H103">
        <f t="shared" si="35"/>
        <v>28.2</v>
      </c>
      <c r="I103">
        <f t="shared" si="36"/>
        <v>0.5693811370159626</v>
      </c>
      <c r="J103">
        <f t="shared" si="37"/>
        <v>9.7847822236785742</v>
      </c>
      <c r="K103">
        <f t="shared" si="47"/>
        <v>28.341109663003692</v>
      </c>
      <c r="L103">
        <f t="shared" si="38"/>
        <v>0.26242602623952765</v>
      </c>
      <c r="N103" s="48">
        <f t="shared" si="48"/>
        <v>0.26242602623952765</v>
      </c>
      <c r="O103" s="9">
        <f t="shared" si="49"/>
        <v>2.8246233254013449</v>
      </c>
      <c r="P103" s="9">
        <f t="shared" si="39"/>
        <v>1.2366670242122095E-2</v>
      </c>
      <c r="Q103" s="9">
        <f t="shared" si="50"/>
        <v>1.2366670242122095E-2</v>
      </c>
      <c r="R103">
        <f t="shared" si="51"/>
        <v>21.385449751045318</v>
      </c>
      <c r="S103" s="114">
        <f t="shared" si="40"/>
        <v>0.9146749221089685</v>
      </c>
      <c r="T103" s="110">
        <f t="shared" si="52"/>
        <v>0.9146749221089685</v>
      </c>
      <c r="U103">
        <f t="shared" si="53"/>
        <v>21.385449751045318</v>
      </c>
      <c r="V103">
        <f t="shared" si="41"/>
        <v>1.7836160981124884</v>
      </c>
      <c r="W103">
        <f t="shared" si="54"/>
        <v>0.80069833406496926</v>
      </c>
      <c r="X103">
        <f t="shared" si="55"/>
        <v>0</v>
      </c>
      <c r="Y103">
        <f t="shared" si="56"/>
        <v>4.0174222216770694</v>
      </c>
      <c r="Z103">
        <f t="shared" si="57"/>
        <v>18.597877187354392</v>
      </c>
      <c r="AA103">
        <f t="shared" si="42"/>
        <v>0.31129293228832522</v>
      </c>
      <c r="AB103">
        <f t="shared" si="58"/>
        <v>0.66250967005902262</v>
      </c>
      <c r="AC103">
        <f t="shared" si="43"/>
        <v>1.0384553655029387</v>
      </c>
      <c r="AD103">
        <f t="shared" si="59"/>
        <v>0</v>
      </c>
      <c r="AE103">
        <f t="shared" si="60"/>
        <v>0.63373806600000004</v>
      </c>
      <c r="AF103">
        <f t="shared" si="44"/>
        <v>3.6000000000000004E-2</v>
      </c>
      <c r="AG103">
        <f t="shared" si="45"/>
        <v>0.26910000000000001</v>
      </c>
      <c r="AH103" s="9">
        <f t="shared" si="46"/>
        <v>0.22723009828009827</v>
      </c>
      <c r="AI103">
        <f t="shared" si="61"/>
        <v>0.30510000000000004</v>
      </c>
      <c r="AJ103" s="109">
        <f t="shared" si="62"/>
        <v>7.1841832717706273</v>
      </c>
      <c r="AK103" s="111">
        <f t="shared" si="63"/>
        <v>190.35</v>
      </c>
      <c r="AL103" s="10">
        <f t="shared" si="64"/>
        <v>0.9636306832935011</v>
      </c>
      <c r="AM103">
        <f t="shared" si="65"/>
        <v>200.87111108385346</v>
      </c>
      <c r="AN103">
        <f t="shared" si="66"/>
        <v>51.922768275146936</v>
      </c>
      <c r="AO103" s="10"/>
      <c r="AP103">
        <f t="shared" si="67"/>
        <v>96.363068329350114</v>
      </c>
      <c r="AZ103" s="31"/>
      <c r="BA103" s="32"/>
    </row>
    <row r="104" spans="7:53">
      <c r="G104">
        <v>95</v>
      </c>
      <c r="H104">
        <f t="shared" si="35"/>
        <v>28.5</v>
      </c>
      <c r="I104">
        <f t="shared" si="36"/>
        <v>0.56945486591967764</v>
      </c>
      <c r="J104">
        <f t="shared" si="37"/>
        <v>9.7860492506654939</v>
      </c>
      <c r="K104">
        <f t="shared" si="47"/>
        <v>28.639667653938261</v>
      </c>
      <c r="L104">
        <f t="shared" si="38"/>
        <v>0.26810338906740178</v>
      </c>
      <c r="N104" s="48">
        <f t="shared" si="48"/>
        <v>0.26810338906740178</v>
      </c>
      <c r="O104" s="9">
        <f t="shared" si="49"/>
        <v>2.8249890845873296</v>
      </c>
      <c r="P104" s="9">
        <f t="shared" si="39"/>
        <v>1.2369873158458215E-2</v>
      </c>
      <c r="Q104" s="9">
        <f t="shared" si="50"/>
        <v>1.2369873158458215E-2</v>
      </c>
      <c r="R104">
        <f t="shared" si="51"/>
        <v>21.612132830037602</v>
      </c>
      <c r="S104" s="114">
        <f t="shared" si="40"/>
        <v>0.93416857092637828</v>
      </c>
      <c r="T104" s="110">
        <f t="shared" si="52"/>
        <v>0.93416857092637828</v>
      </c>
      <c r="U104">
        <f t="shared" si="53"/>
        <v>21.612132830037602</v>
      </c>
      <c r="V104">
        <f t="shared" si="41"/>
        <v>1.8216287133064375</v>
      </c>
      <c r="W104">
        <f t="shared" si="54"/>
        <v>0.80921640144863916</v>
      </c>
      <c r="X104">
        <f t="shared" si="55"/>
        <v>0</v>
      </c>
      <c r="Y104">
        <f t="shared" si="56"/>
        <v>4.1386686410257729</v>
      </c>
      <c r="Z104">
        <f t="shared" si="57"/>
        <v>18.79218661744418</v>
      </c>
      <c r="AA104">
        <f t="shared" si="42"/>
        <v>0.31783165007836328</v>
      </c>
      <c r="AB104">
        <f t="shared" si="58"/>
        <v>0.6685283529991618</v>
      </c>
      <c r="AC104">
        <f t="shared" si="43"/>
        <v>1.0533153972283305</v>
      </c>
      <c r="AD104">
        <f t="shared" si="59"/>
        <v>0</v>
      </c>
      <c r="AE104">
        <f t="shared" si="60"/>
        <v>0.63367570500000003</v>
      </c>
      <c r="AF104">
        <f t="shared" si="44"/>
        <v>3.6000000000000004E-2</v>
      </c>
      <c r="AG104">
        <f t="shared" si="45"/>
        <v>0.26910000000000001</v>
      </c>
      <c r="AH104" s="9">
        <f t="shared" si="46"/>
        <v>0.22723009828009827</v>
      </c>
      <c r="AI104">
        <f t="shared" si="61"/>
        <v>0.30510000000000004</v>
      </c>
      <c r="AJ104" s="109">
        <f t="shared" si="62"/>
        <v>7.3454015764063421</v>
      </c>
      <c r="AK104" s="111">
        <f t="shared" si="63"/>
        <v>192.375</v>
      </c>
      <c r="AL104" s="10">
        <f t="shared" si="64"/>
        <v>0.96322157617134452</v>
      </c>
      <c r="AM104">
        <f t="shared" si="65"/>
        <v>206.93343205128863</v>
      </c>
      <c r="AN104">
        <f t="shared" si="66"/>
        <v>52.665769861416521</v>
      </c>
      <c r="AO104" s="10"/>
      <c r="AP104">
        <f t="shared" si="67"/>
        <v>96.322157617134451</v>
      </c>
      <c r="AZ104" s="31"/>
      <c r="BA104" s="32"/>
    </row>
    <row r="105" spans="7:53">
      <c r="G105">
        <v>96</v>
      </c>
      <c r="H105">
        <f t="shared" si="35"/>
        <v>28.799999999999997</v>
      </c>
      <c r="I105">
        <f t="shared" si="36"/>
        <v>0.5695286059629332</v>
      </c>
      <c r="J105">
        <f t="shared" si="37"/>
        <v>9.7873164690847787</v>
      </c>
      <c r="K105">
        <f t="shared" si="47"/>
        <v>28.938255481377958</v>
      </c>
      <c r="L105">
        <f t="shared" si="38"/>
        <v>0.27384595661061523</v>
      </c>
      <c r="N105" s="48">
        <f t="shared" si="48"/>
        <v>0.27384595661061523</v>
      </c>
      <c r="O105" s="9">
        <f t="shared" si="49"/>
        <v>2.8253548990350774</v>
      </c>
      <c r="P105" s="9">
        <f t="shared" si="39"/>
        <v>1.2373076973527344E-2</v>
      </c>
      <c r="Q105" s="9">
        <f t="shared" si="50"/>
        <v>1.2373076973527344E-2</v>
      </c>
      <c r="R105">
        <f t="shared" si="51"/>
        <v>21.838867718810537</v>
      </c>
      <c r="S105" s="114">
        <f t="shared" si="40"/>
        <v>0.95387228647940991</v>
      </c>
      <c r="T105" s="110">
        <f t="shared" si="52"/>
        <v>0.95387228647940991</v>
      </c>
      <c r="U105">
        <f t="shared" si="53"/>
        <v>21.838867718810537</v>
      </c>
      <c r="V105">
        <f t="shared" si="41"/>
        <v>1.8600509586348493</v>
      </c>
      <c r="W105">
        <f t="shared" si="54"/>
        <v>0.81773446883230894</v>
      </c>
      <c r="X105">
        <f t="shared" si="55"/>
        <v>0</v>
      </c>
      <c r="Y105">
        <f t="shared" si="56"/>
        <v>4.2640587350152366</v>
      </c>
      <c r="Z105">
        <f t="shared" si="57"/>
        <v>18.986481692662188</v>
      </c>
      <c r="AA105">
        <f t="shared" si="42"/>
        <v>0.3244378383592168</v>
      </c>
      <c r="AB105">
        <f t="shared" si="58"/>
        <v>0.6745470378555386</v>
      </c>
      <c r="AC105">
        <f t="shared" si="43"/>
        <v>1.0683045606907129</v>
      </c>
      <c r="AD105">
        <f t="shared" si="59"/>
        <v>0</v>
      </c>
      <c r="AE105">
        <f t="shared" si="60"/>
        <v>0.63361334400000002</v>
      </c>
      <c r="AF105">
        <f t="shared" si="44"/>
        <v>3.6000000000000004E-2</v>
      </c>
      <c r="AG105">
        <f t="shared" si="45"/>
        <v>0.26910000000000001</v>
      </c>
      <c r="AH105" s="9">
        <f t="shared" si="46"/>
        <v>0.22723009828009827</v>
      </c>
      <c r="AI105">
        <f t="shared" si="61"/>
        <v>0.30510000000000004</v>
      </c>
      <c r="AJ105" s="109">
        <f t="shared" si="62"/>
        <v>7.5111679597695025</v>
      </c>
      <c r="AK105" s="111">
        <f t="shared" si="63"/>
        <v>194.39999999999998</v>
      </c>
      <c r="AL105" s="10">
        <f t="shared" si="64"/>
        <v>0.96279964087342562</v>
      </c>
      <c r="AM105">
        <f t="shared" si="65"/>
        <v>213.20293675076184</v>
      </c>
      <c r="AN105">
        <f t="shared" si="66"/>
        <v>53.415228034535644</v>
      </c>
      <c r="AO105" s="10"/>
      <c r="AP105">
        <f t="shared" si="67"/>
        <v>96.279964087342563</v>
      </c>
      <c r="AZ105" s="31"/>
      <c r="BA105" s="32"/>
    </row>
    <row r="106" spans="7:53">
      <c r="G106">
        <v>97</v>
      </c>
      <c r="H106">
        <f t="shared" si="35"/>
        <v>29.099999999999998</v>
      </c>
      <c r="I106">
        <f t="shared" si="36"/>
        <v>0.56960235714825358</v>
      </c>
      <c r="J106">
        <f t="shared" si="37"/>
        <v>9.788583878979809</v>
      </c>
      <c r="K106">
        <f t="shared" si="47"/>
        <v>29.236872231190961</v>
      </c>
      <c r="L106">
        <f t="shared" si="38"/>
        <v>0.27965389804997504</v>
      </c>
      <c r="N106" s="48">
        <f t="shared" si="48"/>
        <v>0.27965389804997504</v>
      </c>
      <c r="O106" s="9">
        <f t="shared" si="49"/>
        <v>2.8257207687571122</v>
      </c>
      <c r="P106" s="9">
        <f t="shared" si="39"/>
        <v>1.2376281687627191E-2</v>
      </c>
      <c r="Q106" s="9">
        <f t="shared" si="50"/>
        <v>1.2376281687627191E-2</v>
      </c>
      <c r="R106">
        <f t="shared" si="51"/>
        <v>22.065653735626906</v>
      </c>
      <c r="S106" s="114">
        <f t="shared" si="40"/>
        <v>0.97378614956117138</v>
      </c>
      <c r="T106" s="110">
        <f t="shared" si="52"/>
        <v>0.97378614956117138</v>
      </c>
      <c r="U106">
        <f t="shared" si="53"/>
        <v>22.065653735626906</v>
      </c>
      <c r="V106">
        <f t="shared" si="41"/>
        <v>1.898882991644284</v>
      </c>
      <c r="W106">
        <f t="shared" si="54"/>
        <v>0.82625253621597894</v>
      </c>
      <c r="X106">
        <f t="shared" si="55"/>
        <v>0</v>
      </c>
      <c r="Y106">
        <f t="shared" si="56"/>
        <v>4.3937966876412586</v>
      </c>
      <c r="Z106">
        <f t="shared" si="57"/>
        <v>19.180761796195675</v>
      </c>
      <c r="AA106">
        <f t="shared" si="42"/>
        <v>0.33111146077415959</v>
      </c>
      <c r="AB106">
        <f t="shared" si="58"/>
        <v>0.680565724628588</v>
      </c>
      <c r="AC106">
        <f>(AB106+AA106*(1+RdsonBotTc*Ta-RdsonBotTc*25))/(1-AA106*RdsonBotTc*ThetaJaBot)</f>
        <v>1.083424006487951</v>
      </c>
      <c r="AD106">
        <f t="shared" si="59"/>
        <v>0</v>
      </c>
      <c r="AE106">
        <f t="shared" si="60"/>
        <v>0.63355098300000001</v>
      </c>
      <c r="AF106">
        <f t="shared" si="44"/>
        <v>3.6000000000000004E-2</v>
      </c>
      <c r="AG106">
        <f t="shared" si="45"/>
        <v>0.26910000000000001</v>
      </c>
      <c r="AH106" s="9">
        <f t="shared" si="46"/>
        <v>0.22723009828009827</v>
      </c>
      <c r="AI106">
        <f t="shared" si="61"/>
        <v>0.30510000000000004</v>
      </c>
      <c r="AJ106" s="109">
        <f t="shared" si="62"/>
        <v>7.6816880064279838</v>
      </c>
      <c r="AK106" s="111">
        <f t="shared" si="63"/>
        <v>196.42499999999998</v>
      </c>
      <c r="AL106" s="10">
        <f t="shared" si="64"/>
        <v>0.9623643493436822</v>
      </c>
      <c r="AM106">
        <f t="shared" si="65"/>
        <v>219.68983438206294</v>
      </c>
      <c r="AN106">
        <f t="shared" si="66"/>
        <v>54.171200324397553</v>
      </c>
      <c r="AO106" s="10"/>
      <c r="AP106">
        <f t="shared" si="67"/>
        <v>96.236434934368219</v>
      </c>
      <c r="AZ106" s="31"/>
      <c r="BA106" s="32"/>
    </row>
    <row r="107" spans="7:53">
      <c r="G107">
        <v>98</v>
      </c>
      <c r="H107">
        <f t="shared" si="35"/>
        <v>29.4</v>
      </c>
      <c r="I107">
        <f t="shared" si="36"/>
        <v>0.56967611947816454</v>
      </c>
      <c r="J107">
        <f t="shared" si="37"/>
        <v>9.7898514803939918</v>
      </c>
      <c r="K107">
        <f t="shared" si="47"/>
        <v>29.535517026127728</v>
      </c>
      <c r="L107">
        <f t="shared" si="38"/>
        <v>0.28552738472127354</v>
      </c>
      <c r="N107" s="48">
        <f t="shared" si="48"/>
        <v>0.28552738472127354</v>
      </c>
      <c r="O107" s="9">
        <f t="shared" si="49"/>
        <v>2.8260866937659639</v>
      </c>
      <c r="P107" s="9">
        <f t="shared" si="39"/>
        <v>1.2379487301055607E-2</v>
      </c>
      <c r="Q107" s="9">
        <f t="shared" si="50"/>
        <v>1.2379487301055607E-2</v>
      </c>
      <c r="R107">
        <f t="shared" si="51"/>
        <v>22.292490226410202</v>
      </c>
      <c r="S107" s="114">
        <f t="shared" si="40"/>
        <v>0.99391024098918879</v>
      </c>
      <c r="T107" s="110">
        <f t="shared" si="52"/>
        <v>0.99391024098918879</v>
      </c>
      <c r="U107">
        <f t="shared" si="53"/>
        <v>22.292490226410202</v>
      </c>
      <c r="V107">
        <f t="shared" si="41"/>
        <v>1.938124969928918</v>
      </c>
      <c r="W107">
        <f t="shared" si="54"/>
        <v>0.83477060359964872</v>
      </c>
      <c r="X107">
        <f t="shared" si="55"/>
        <v>0</v>
      </c>
      <c r="Y107">
        <f t="shared" si="56"/>
        <v>4.528100504258977</v>
      </c>
      <c r="Z107">
        <f t="shared" si="57"/>
        <v>19.375026335623044</v>
      </c>
      <c r="AA107">
        <f t="shared" si="42"/>
        <v>0.33785248095547787</v>
      </c>
      <c r="AB107">
        <f t="shared" si="58"/>
        <v>0.68658441331874398</v>
      </c>
      <c r="AC107">
        <f>(AB107+AA107*(1+RdsonBotTc*Ta-RdsonBotTc*25))/(1-AA107*RdsonBotTc*ThetaJaBot)</f>
        <v>1.0986749025952891</v>
      </c>
      <c r="AD107">
        <f t="shared" si="59"/>
        <v>0</v>
      </c>
      <c r="AE107">
        <f t="shared" si="60"/>
        <v>0.633488622</v>
      </c>
      <c r="AF107">
        <f t="shared" si="44"/>
        <v>3.6000000000000004E-2</v>
      </c>
      <c r="AG107">
        <f t="shared" si="45"/>
        <v>0.26910000000000001</v>
      </c>
      <c r="AH107" s="9">
        <f t="shared" si="46"/>
        <v>0.22723009828009827</v>
      </c>
      <c r="AI107">
        <f t="shared" si="61"/>
        <v>0.30510000000000004</v>
      </c>
      <c r="AJ107" s="109">
        <f t="shared" si="62"/>
        <v>7.8571811418657838</v>
      </c>
      <c r="AK107" s="111">
        <f t="shared" si="63"/>
        <v>198.45</v>
      </c>
      <c r="AL107" s="10">
        <f t="shared" si="64"/>
        <v>0.96191513500219439</v>
      </c>
      <c r="AM107">
        <f t="shared" si="65"/>
        <v>226.40502521294886</v>
      </c>
      <c r="AN107">
        <f t="shared" si="66"/>
        <v>54.933745129764453</v>
      </c>
      <c r="AO107" s="10"/>
      <c r="AP107">
        <f t="shared" si="67"/>
        <v>96.191513500219443</v>
      </c>
      <c r="AZ107" s="31"/>
      <c r="BA107" s="32"/>
    </row>
    <row r="108" spans="7:53">
      <c r="G108">
        <v>99</v>
      </c>
      <c r="H108">
        <f t="shared" si="35"/>
        <v>29.7</v>
      </c>
      <c r="I108">
        <f t="shared" si="36"/>
        <v>0.56974989295519229</v>
      </c>
      <c r="J108">
        <f t="shared" si="37"/>
        <v>9.7911192733707377</v>
      </c>
      <c r="K108">
        <f t="shared" si="47"/>
        <v>29.834189023983559</v>
      </c>
      <c r="L108">
        <f t="shared" si="38"/>
        <v>0.29146659012827114</v>
      </c>
      <c r="N108" s="48">
        <f t="shared" si="48"/>
        <v>0.29146659012827114</v>
      </c>
      <c r="O108" s="9">
        <f t="shared" si="49"/>
        <v>2.8264526740741642</v>
      </c>
      <c r="P108" s="9">
        <f t="shared" si="39"/>
        <v>1.238269381411054E-2</v>
      </c>
      <c r="Q108" s="9">
        <f t="shared" si="50"/>
        <v>1.238269381411054E-2</v>
      </c>
      <c r="R108">
        <f t="shared" si="51"/>
        <v>22.519376563366663</v>
      </c>
      <c r="S108" s="114">
        <f t="shared" si="40"/>
        <v>1.0142446416054156</v>
      </c>
      <c r="T108" s="110">
        <f t="shared" si="52"/>
        <v>1.0142446416054156</v>
      </c>
      <c r="U108">
        <f t="shared" si="53"/>
        <v>22.519376563366663</v>
      </c>
      <c r="V108">
        <f t="shared" si="41"/>
        <v>1.9777770511305601</v>
      </c>
      <c r="W108">
        <f t="shared" si="54"/>
        <v>0.84328867098331872</v>
      </c>
      <c r="X108">
        <f t="shared" si="55"/>
        <v>0</v>
      </c>
      <c r="Y108">
        <f t="shared" si="56"/>
        <v>4.6672031975159047</v>
      </c>
      <c r="Z108">
        <f t="shared" si="57"/>
        <v>19.569274741698354</v>
      </c>
      <c r="AA108">
        <f t="shared" si="42"/>
        <v>0.34466086252446587</v>
      </c>
      <c r="AB108">
        <f t="shared" si="58"/>
        <v>0.69260310392644109</v>
      </c>
      <c r="AC108">
        <f>(AB108+AA108*(1+RdsonBotTc*Ta-RdsonBotTc*25))/(1-AA108*RdsonBotTc*ThetaJaBot)</f>
        <v>1.114058434648638</v>
      </c>
      <c r="AD108">
        <f t="shared" si="59"/>
        <v>0</v>
      </c>
      <c r="AE108">
        <f t="shared" si="60"/>
        <v>0.63342626099999999</v>
      </c>
      <c r="AF108">
        <f t="shared" si="44"/>
        <v>3.6000000000000004E-2</v>
      </c>
      <c r="AG108">
        <f t="shared" si="45"/>
        <v>0.26910000000000001</v>
      </c>
      <c r="AH108" s="9">
        <f t="shared" si="46"/>
        <v>0.22723009828009827</v>
      </c>
      <c r="AI108">
        <f t="shared" si="61"/>
        <v>0.30510000000000004</v>
      </c>
      <c r="AJ108" s="109">
        <f t="shared" si="62"/>
        <v>8.0378818187123411</v>
      </c>
      <c r="AK108" s="111">
        <f t="shared" si="63"/>
        <v>200.47499999999999</v>
      </c>
      <c r="AL108" s="10">
        <f t="shared" si="64"/>
        <v>0.96145138972420541</v>
      </c>
      <c r="AM108">
        <f t="shared" si="65"/>
        <v>233.36015987579523</v>
      </c>
      <c r="AN108">
        <f t="shared" si="66"/>
        <v>55.702921732431896</v>
      </c>
      <c r="AO108" s="10"/>
      <c r="AP108">
        <f t="shared" si="67"/>
        <v>96.14513897242054</v>
      </c>
      <c r="AZ108" s="31"/>
      <c r="BA108" s="32"/>
    </row>
    <row r="109" spans="7:53">
      <c r="G109">
        <v>100</v>
      </c>
      <c r="H109">
        <f t="shared" si="35"/>
        <v>30</v>
      </c>
      <c r="I109">
        <f t="shared" si="36"/>
        <v>0.56982367758186403</v>
      </c>
      <c r="J109">
        <f t="shared" si="37"/>
        <v>9.7923872579534752</v>
      </c>
      <c r="K109">
        <f t="shared" si="47"/>
        <v>30.132887415869682</v>
      </c>
      <c r="L109">
        <f t="shared" si="38"/>
        <v>0.29747168995586826</v>
      </c>
      <c r="N109" s="48">
        <f t="shared" si="48"/>
        <v>0.29747168995586826</v>
      </c>
      <c r="O109" s="9">
        <f t="shared" si="49"/>
        <v>2.8268187096942503</v>
      </c>
      <c r="P109" s="9">
        <f t="shared" si="39"/>
        <v>1.2385901227090072E-2</v>
      </c>
      <c r="Q109" s="9">
        <f t="shared" si="50"/>
        <v>1.2385901227090072E-2</v>
      </c>
      <c r="R109">
        <f t="shared" si="51"/>
        <v>22.746312143688705</v>
      </c>
      <c r="S109" s="114">
        <f t="shared" si="40"/>
        <v>1.0347894322762403</v>
      </c>
      <c r="T109" s="110">
        <f t="shared" si="52"/>
        <v>1.0347894322762403</v>
      </c>
      <c r="U109">
        <f t="shared" si="53"/>
        <v>22.746312143688705</v>
      </c>
      <c r="V109">
        <f t="shared" si="41"/>
        <v>2.0178393929386687</v>
      </c>
      <c r="W109">
        <f t="shared" si="54"/>
        <v>0.85180673836698861</v>
      </c>
      <c r="X109">
        <f t="shared" si="55"/>
        <v>0</v>
      </c>
      <c r="Y109">
        <f t="shared" si="56"/>
        <v>4.8113540976142328</v>
      </c>
      <c r="Z109">
        <f t="shared" si="57"/>
        <v>19.763506467207613</v>
      </c>
      <c r="AA109">
        <f t="shared" si="42"/>
        <v>0.35153656909142139</v>
      </c>
      <c r="AB109">
        <f t="shared" si="58"/>
        <v>0.69862179645211442</v>
      </c>
      <c r="AC109">
        <f>(AB109+AA109*(1+RdsonBotTc*Ta-RdsonBotTc*25))/(1-AA109*RdsonBotTc*ThetaJaBot)</f>
        <v>1.1295758062339689</v>
      </c>
      <c r="AD109">
        <f t="shared" si="59"/>
        <v>0</v>
      </c>
      <c r="AE109">
        <f t="shared" si="60"/>
        <v>0.63336390000000009</v>
      </c>
      <c r="AF109">
        <f t="shared" si="44"/>
        <v>3.6000000000000004E-2</v>
      </c>
      <c r="AG109">
        <f t="shared" si="45"/>
        <v>0.26910000000000001</v>
      </c>
      <c r="AH109" s="9">
        <f t="shared" si="46"/>
        <v>0.22723009828009827</v>
      </c>
      <c r="AI109">
        <f t="shared" si="61"/>
        <v>0.30510000000000004</v>
      </c>
      <c r="AJ109" s="109">
        <f t="shared" si="62"/>
        <v>8.2240408273073999</v>
      </c>
      <c r="AK109" s="111">
        <f t="shared" si="63"/>
        <v>202.5</v>
      </c>
      <c r="AL109" s="10">
        <f t="shared" si="64"/>
        <v>0.96097246049848128</v>
      </c>
      <c r="AM109">
        <f t="shared" si="65"/>
        <v>240.56770488071163</v>
      </c>
      <c r="AN109">
        <f t="shared" si="66"/>
        <v>56.478790311698447</v>
      </c>
      <c r="AO109" s="10"/>
      <c r="AP109">
        <f t="shared" si="67"/>
        <v>96.097246049848124</v>
      </c>
      <c r="AZ109" s="31"/>
      <c r="BA109" s="32"/>
    </row>
  </sheetData>
  <sheetProtection selectLockedCells="1"/>
  <mergeCells count="2">
    <mergeCell ref="A1:D4"/>
    <mergeCell ref="A6:D7"/>
  </mergeCells>
  <phoneticPr fontId="5" type="noConversion"/>
  <pageMargins left="0.75" right="0.75" top="1" bottom="1" header="0.5" footer="0.5"/>
  <pageSetup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E7"/>
  <sheetViews>
    <sheetView workbookViewId="0">
      <selection activeCell="M42" sqref="M42"/>
    </sheetView>
  </sheetViews>
  <sheetFormatPr baseColWidth="10" defaultColWidth="8.83203125" defaultRowHeight="13"/>
  <cols>
    <col min="1" max="1" width="18.5" customWidth="1"/>
    <col min="2" max="2" width="9.33203125" customWidth="1"/>
    <col min="4" max="4" width="11.1640625" customWidth="1"/>
  </cols>
  <sheetData>
    <row r="1" spans="1:5">
      <c r="C1" t="s">
        <v>362</v>
      </c>
      <c r="D1" t="s">
        <v>361</v>
      </c>
    </row>
    <row r="2" spans="1:5">
      <c r="A2" t="s">
        <v>359</v>
      </c>
      <c r="B2" s="85">
        <v>85</v>
      </c>
      <c r="C2" t="s">
        <v>360</v>
      </c>
      <c r="D2">
        <f>B2*1000000</f>
        <v>85000000</v>
      </c>
      <c r="E2" t="s">
        <v>10</v>
      </c>
    </row>
    <row r="3" spans="1:5">
      <c r="A3" t="s">
        <v>363</v>
      </c>
      <c r="B3" s="85">
        <v>3000</v>
      </c>
      <c r="C3" t="s">
        <v>53</v>
      </c>
      <c r="D3">
        <f>B3*0.000000000001</f>
        <v>3E-9</v>
      </c>
      <c r="E3" t="s">
        <v>34</v>
      </c>
    </row>
    <row r="4" spans="1:5">
      <c r="A4" t="s">
        <v>365</v>
      </c>
      <c r="B4" s="86">
        <f>1000000000*1/((D2*2*3.14159)^2*D3)</f>
        <v>1.1686430773614742</v>
      </c>
      <c r="C4" t="s">
        <v>366</v>
      </c>
      <c r="D4">
        <f>B4/1000000000</f>
        <v>1.1686430773614743E-9</v>
      </c>
      <c r="E4" t="s">
        <v>24</v>
      </c>
    </row>
    <row r="5" spans="1:5">
      <c r="A5" t="s">
        <v>364</v>
      </c>
      <c r="B5">
        <f>4*B3</f>
        <v>12000</v>
      </c>
      <c r="C5" t="s">
        <v>53</v>
      </c>
      <c r="D5">
        <f>B5*0.000000000001</f>
        <v>1.2E-8</v>
      </c>
      <c r="E5" t="s">
        <v>34</v>
      </c>
    </row>
    <row r="6" spans="1:5">
      <c r="A6" t="s">
        <v>367</v>
      </c>
      <c r="B6" s="4">
        <f>SQRT(D4/D3)</f>
        <v>0.62413755891936573</v>
      </c>
      <c r="C6" s="4" t="s">
        <v>280</v>
      </c>
      <c r="D6" s="4">
        <f>B6</f>
        <v>0.62413755891936573</v>
      </c>
      <c r="E6" t="s">
        <v>280</v>
      </c>
    </row>
    <row r="7" spans="1:5">
      <c r="B7" s="4"/>
      <c r="C7" s="4"/>
      <c r="D7" s="4"/>
    </row>
  </sheetData>
  <phoneticPr fontId="5"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3:E16"/>
  <sheetViews>
    <sheetView workbookViewId="0"/>
  </sheetViews>
  <sheetFormatPr baseColWidth="10" defaultColWidth="8.83203125" defaultRowHeight="13"/>
  <sheetData>
    <row r="3" spans="1:5">
      <c r="A3" t="s">
        <v>306</v>
      </c>
      <c r="B3">
        <f>Iripple1</f>
        <v>9.6802782324058931</v>
      </c>
    </row>
    <row r="4" spans="1:5">
      <c r="A4" t="s">
        <v>7</v>
      </c>
      <c r="B4">
        <f>Fsw</f>
        <v>650000</v>
      </c>
    </row>
    <row r="6" spans="1:5">
      <c r="A6" t="s">
        <v>285</v>
      </c>
      <c r="B6" s="69">
        <v>0.5</v>
      </c>
      <c r="C6" t="s">
        <v>134</v>
      </c>
      <c r="D6">
        <f>B6/1000</f>
        <v>5.0000000000000001E-4</v>
      </c>
      <c r="E6" t="s">
        <v>25</v>
      </c>
    </row>
    <row r="7" spans="1:5">
      <c r="A7" t="s">
        <v>304</v>
      </c>
      <c r="B7" s="69">
        <v>20</v>
      </c>
      <c r="C7" t="s">
        <v>30</v>
      </c>
      <c r="D7">
        <f>B7/1000000</f>
        <v>2.0000000000000002E-5</v>
      </c>
      <c r="E7" t="s">
        <v>34</v>
      </c>
    </row>
    <row r="9" spans="1:5">
      <c r="A9" t="s">
        <v>286</v>
      </c>
      <c r="B9" s="69">
        <v>20</v>
      </c>
      <c r="C9" t="s">
        <v>134</v>
      </c>
      <c r="D9">
        <f>B9/1000</f>
        <v>0.02</v>
      </c>
      <c r="E9" t="s">
        <v>25</v>
      </c>
    </row>
    <row r="10" spans="1:5">
      <c r="A10" t="s">
        <v>305</v>
      </c>
      <c r="B10" s="69">
        <v>68</v>
      </c>
      <c r="C10" t="s">
        <v>30</v>
      </c>
      <c r="D10">
        <f>B10/1000000</f>
        <v>6.7999999999999999E-5</v>
      </c>
      <c r="E10" t="s">
        <v>34</v>
      </c>
    </row>
    <row r="12" spans="1:5">
      <c r="A12" t="s">
        <v>308</v>
      </c>
      <c r="B12">
        <f>(D7/(D7+D10))*SQRT((D9*D10*B4)^2+1)/SQRT((((D6+D9)*D7*D10/(D10+D7))*B4)^2+1)</f>
        <v>0.29710914785048442</v>
      </c>
      <c r="C12" t="s">
        <v>307</v>
      </c>
    </row>
    <row r="13" spans="1:5">
      <c r="A13" t="s">
        <v>309</v>
      </c>
      <c r="B13">
        <f>1-B12</f>
        <v>0.70289085214951563</v>
      </c>
      <c r="C13" t="s">
        <v>307</v>
      </c>
    </row>
    <row r="15" spans="1:5">
      <c r="A15" t="s">
        <v>308</v>
      </c>
      <c r="B15">
        <f>B12*(Iripple1/(2*SQRT(3)))</f>
        <v>0.8302583284559153</v>
      </c>
      <c r="C15" t="s">
        <v>2</v>
      </c>
    </row>
    <row r="16" spans="1:5">
      <c r="A16" t="s">
        <v>309</v>
      </c>
      <c r="B16">
        <f>B13*(Iripple1/(2*SQRT(3)))</f>
        <v>1.9641972931990934</v>
      </c>
      <c r="C16" t="s">
        <v>2</v>
      </c>
    </row>
  </sheetData>
  <phoneticPr fontId="5"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9</vt:i4>
      </vt:variant>
      <vt:variant>
        <vt:lpstr>Named Ranges</vt:lpstr>
      </vt:variant>
      <vt:variant>
        <vt:i4>136</vt:i4>
      </vt:variant>
    </vt:vector>
  </HeadingPairs>
  <TitlesOfParts>
    <vt:vector size="145" baseType="lpstr">
      <vt:lpstr>Design Regulator</vt:lpstr>
      <vt:lpstr>BOM &amp; Schematic</vt:lpstr>
      <vt:lpstr>EVMs</vt:lpstr>
      <vt:lpstr>Variable Management</vt:lpstr>
      <vt:lpstr>Standard Value Calculator</vt:lpstr>
      <vt:lpstr>Bode Plots Calculations</vt:lpstr>
      <vt:lpstr>Power Calculations</vt:lpstr>
      <vt:lpstr>Snubber</vt:lpstr>
      <vt:lpstr>Parralell Output Caps</vt:lpstr>
      <vt:lpstr>_Don1</vt:lpstr>
      <vt:lpstr>_Don2</vt:lpstr>
      <vt:lpstr>_Ren1</vt:lpstr>
      <vt:lpstr>_Rfb1</vt:lpstr>
      <vt:lpstr>_Rfb2</vt:lpstr>
      <vt:lpstr>_Rs1</vt:lpstr>
      <vt:lpstr>_Rs2</vt:lpstr>
      <vt:lpstr>_Rs3</vt:lpstr>
      <vt:lpstr>Cb</vt:lpstr>
      <vt:lpstr>Cby</vt:lpstr>
      <vt:lpstr>Cc1ea</vt:lpstr>
      <vt:lpstr>Cc1ea_u</vt:lpstr>
      <vt:lpstr>Cc2ea</vt:lpstr>
      <vt:lpstr>Cc2ea_u</vt:lpstr>
      <vt:lpstr>Cc3ea</vt:lpstr>
      <vt:lpstr>Cc3ea_u</vt:lpstr>
      <vt:lpstr>Cdd</vt:lpstr>
      <vt:lpstr>Cin</vt:lpstr>
      <vt:lpstr>CinEsrMax</vt:lpstr>
      <vt:lpstr>Cout</vt:lpstr>
      <vt:lpstr>CoutEsr</vt:lpstr>
      <vt:lpstr>Coutmin</vt:lpstr>
      <vt:lpstr>Cs</vt:lpstr>
      <vt:lpstr>Csb</vt:lpstr>
      <vt:lpstr>Csby</vt:lpstr>
      <vt:lpstr>Csideal</vt:lpstr>
      <vt:lpstr>Css</vt:lpstr>
      <vt:lpstr>Css_u</vt:lpstr>
      <vt:lpstr>Deadtime</vt:lpstr>
      <vt:lpstr>Doff1</vt:lpstr>
      <vt:lpstr>Doff2</vt:lpstr>
      <vt:lpstr>Eadcg</vt:lpstr>
      <vt:lpstr>Fcross</vt:lpstr>
      <vt:lpstr>Fesr</vt:lpstr>
      <vt:lpstr>Fo</vt:lpstr>
      <vt:lpstr>Fp1_u</vt:lpstr>
      <vt:lpstr>Fp2_u</vt:lpstr>
      <vt:lpstr>Fsw</vt:lpstr>
      <vt:lpstr>Fz1_u</vt:lpstr>
      <vt:lpstr>Fz2_u</vt:lpstr>
      <vt:lpstr>GBP</vt:lpstr>
      <vt:lpstr>GmTop</vt:lpstr>
      <vt:lpstr>Icinrms</vt:lpstr>
      <vt:lpstr>Icoutrms</vt:lpstr>
      <vt:lpstr>Ics</vt:lpstr>
      <vt:lpstr>ILimit</vt:lpstr>
      <vt:lpstr>Ilimit2</vt:lpstr>
      <vt:lpstr>Iout</vt:lpstr>
      <vt:lpstr>Ipp</vt:lpstr>
      <vt:lpstr>Iq</vt:lpstr>
      <vt:lpstr>Ireverse</vt:lpstr>
      <vt:lpstr>Iripple1</vt:lpstr>
      <vt:lpstr>Iss</vt:lpstr>
      <vt:lpstr>Iuvlo_hys</vt:lpstr>
      <vt:lpstr>Iuvlo1</vt:lpstr>
      <vt:lpstr>Iuvlo2</vt:lpstr>
      <vt:lpstr>Kmidband</vt:lpstr>
      <vt:lpstr>Lout1</vt:lpstr>
      <vt:lpstr>Lout2</vt:lpstr>
      <vt:lpstr>Ltc</vt:lpstr>
      <vt:lpstr>Pi</vt:lpstr>
      <vt:lpstr>'BOM &amp; Schematic'!Print_Area</vt:lpstr>
      <vt:lpstr>'Design Regulator'!Print_Area</vt:lpstr>
      <vt:lpstr>Q</vt:lpstr>
      <vt:lpstr>QgBot</vt:lpstr>
      <vt:lpstr>QgdTop</vt:lpstr>
      <vt:lpstr>QgsTop</vt:lpstr>
      <vt:lpstr>QgTop</vt:lpstr>
      <vt:lpstr>QrrBot</vt:lpstr>
      <vt:lpstr>QrrSky</vt:lpstr>
      <vt:lpstr>Rcea1</vt:lpstr>
      <vt:lpstr>Rcea1_u</vt:lpstr>
      <vt:lpstr>Rcea2</vt:lpstr>
      <vt:lpstr>Rcea2_u</vt:lpstr>
      <vt:lpstr>RCinEsr</vt:lpstr>
      <vt:lpstr>RCoutEsr</vt:lpstr>
      <vt:lpstr>Rdcr</vt:lpstr>
      <vt:lpstr>RdsonBot</vt:lpstr>
      <vt:lpstr>RdsonBotTc</vt:lpstr>
      <vt:lpstr>RdsonDRB</vt:lpstr>
      <vt:lpstr>RdsonDRB2</vt:lpstr>
      <vt:lpstr>RdsonDRT</vt:lpstr>
      <vt:lpstr>RdsonDRT2</vt:lpstr>
      <vt:lpstr>RdsonTop</vt:lpstr>
      <vt:lpstr>RdsonTopTc</vt:lpstr>
      <vt:lpstr>Resrmax</vt:lpstr>
      <vt:lpstr>Rfadj</vt:lpstr>
      <vt:lpstr>Rfb2_u</vt:lpstr>
      <vt:lpstr>Rfets</vt:lpstr>
      <vt:lpstr>RGateBot</vt:lpstr>
      <vt:lpstr>RGateTop</vt:lpstr>
      <vt:lpstr>Rh</vt:lpstr>
      <vt:lpstr>Rl</vt:lpstr>
      <vt:lpstr>Ro</vt:lpstr>
      <vt:lpstr>Rotp</vt:lpstr>
      <vt:lpstr>Rotp_exact</vt:lpstr>
      <vt:lpstr>Rotp_ideal</vt:lpstr>
      <vt:lpstr>Rotpideal</vt:lpstr>
      <vt:lpstr>Rpg</vt:lpstr>
      <vt:lpstr>Rs</vt:lpstr>
      <vt:lpstr>Rsb</vt:lpstr>
      <vt:lpstr>Rset</vt:lpstr>
      <vt:lpstr>Rsetideal</vt:lpstr>
      <vt:lpstr>Rsideal</vt:lpstr>
      <vt:lpstr>Ruvlo1</vt:lpstr>
      <vt:lpstr>Ruvlo2</vt:lpstr>
      <vt:lpstr>Ta</vt:lpstr>
      <vt:lpstr>Tf</vt:lpstr>
      <vt:lpstr>ThetaCa</vt:lpstr>
      <vt:lpstr>ThetaJaBot</vt:lpstr>
      <vt:lpstr>ThetaJaCtrl</vt:lpstr>
      <vt:lpstr>ThetaJaTop</vt:lpstr>
      <vt:lpstr>TL</vt:lpstr>
      <vt:lpstr>Totp</vt:lpstr>
      <vt:lpstr>Tr</vt:lpstr>
      <vt:lpstr>TrrBot</vt:lpstr>
      <vt:lpstr>Tss</vt:lpstr>
      <vt:lpstr>Vdd</vt:lpstr>
      <vt:lpstr>VfdSky</vt:lpstr>
      <vt:lpstr>Vin</vt:lpstr>
      <vt:lpstr>Vinripple1</vt:lpstr>
      <vt:lpstr>Vinripple2</vt:lpstr>
      <vt:lpstr>VINuvlo_off</vt:lpstr>
      <vt:lpstr>VINuvlo_on</vt:lpstr>
      <vt:lpstr>Vout</vt:lpstr>
      <vt:lpstr>Vramp</vt:lpstr>
      <vt:lpstr>Vref</vt:lpstr>
      <vt:lpstr>Vripple1</vt:lpstr>
      <vt:lpstr>Vripple2</vt:lpstr>
      <vt:lpstr>VsdBot</vt:lpstr>
      <vt:lpstr>VsdTop</vt:lpstr>
      <vt:lpstr>VspTop</vt:lpstr>
      <vt:lpstr>VthTop</vt:lpstr>
      <vt:lpstr>Vuvlo_hys</vt:lpstr>
      <vt:lpstr>Vuvlo_off</vt:lpstr>
      <vt:lpstr>Vuvlo_on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LM27403 Design Tool</dc:title>
  <dc:creator>Timothy Hegarty</dc:creator>
  <cp:keywords>LM27403, PWM controller, voltage mode, PCB layout</cp:keywords>
  <cp:lastModifiedBy>john stefanopoulos</cp:lastModifiedBy>
  <cp:lastPrinted>2013-09-01T00:28:24Z</cp:lastPrinted>
  <dcterms:created xsi:type="dcterms:W3CDTF">1996-10-14T23:33:28Z</dcterms:created>
  <dcterms:modified xsi:type="dcterms:W3CDTF">2018-08-27T19:01:33Z</dcterms:modified>
</cp:coreProperties>
</file>