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ith/Documents/Electric Fire Design/FidoLight/"/>
    </mc:Choice>
  </mc:AlternateContent>
  <xr:revisionPtr revIDLastSave="0" documentId="13_ncr:1_{88375553-F27F-8D45-AFCF-845E74D5D7C4}" xr6:coauthVersionLast="47" xr6:coauthVersionMax="47" xr10:uidLastSave="{00000000-0000-0000-0000-000000000000}"/>
  <bookViews>
    <workbookView xWindow="0" yWindow="0" windowWidth="33600" windowHeight="21000" xr2:uid="{0AC34F32-3C86-F84E-A5B5-B19C20762A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C40" i="1"/>
  <c r="E39" i="1"/>
  <c r="C39" i="1"/>
  <c r="C38" i="1" l="1"/>
  <c r="D38" i="1"/>
  <c r="E38" i="1"/>
  <c r="C36" i="1"/>
  <c r="D36" i="1"/>
  <c r="E36" i="1"/>
  <c r="D35" i="1"/>
  <c r="E35" i="1"/>
  <c r="C35" i="1"/>
  <c r="D31" i="1"/>
  <c r="E31" i="1"/>
  <c r="C31" i="1"/>
  <c r="D30" i="1"/>
  <c r="E30" i="1"/>
  <c r="C30" i="1"/>
  <c r="D29" i="1"/>
  <c r="E29" i="1"/>
  <c r="C29" i="1"/>
  <c r="C13" i="1"/>
  <c r="C6" i="1"/>
  <c r="D22" i="1"/>
  <c r="E22" i="1"/>
  <c r="C22" i="1"/>
  <c r="C18" i="1"/>
  <c r="D18" i="1"/>
  <c r="D16" i="1"/>
  <c r="D13" i="1"/>
  <c r="D6" i="1"/>
  <c r="D17" i="1" s="1"/>
  <c r="D26" i="1" s="1"/>
  <c r="E18" i="1"/>
  <c r="E16" i="1"/>
  <c r="E13" i="1"/>
  <c r="E6" i="1"/>
  <c r="E8" i="1" s="1"/>
  <c r="C16" i="1"/>
  <c r="C21" i="1" l="1"/>
  <c r="D23" i="1"/>
  <c r="D33" i="1" s="1"/>
  <c r="D32" i="1"/>
  <c r="D21" i="1"/>
  <c r="D8" i="1"/>
  <c r="E17" i="1"/>
  <c r="E23" i="1" s="1"/>
  <c r="E33" i="1" s="1"/>
  <c r="C17" i="1"/>
  <c r="D37" i="1" l="1"/>
  <c r="C26" i="1"/>
  <c r="C32" i="1" s="1"/>
  <c r="C37" i="1" s="1"/>
  <c r="C23" i="1"/>
  <c r="C33" i="1" s="1"/>
  <c r="E26" i="1"/>
  <c r="E32" i="1" s="1"/>
  <c r="E37" i="1" s="1"/>
  <c r="E21" i="1"/>
  <c r="C8" i="1"/>
  <c r="D39" i="1" l="1"/>
  <c r="D40" i="1" s="1"/>
</calcChain>
</file>

<file path=xl/sharedStrings.xml><?xml version="1.0" encoding="utf-8"?>
<sst xmlns="http://schemas.openxmlformats.org/spreadsheetml/2006/main" count="71" uniqueCount="71">
  <si>
    <t>Vin</t>
  </si>
  <si>
    <t>Vout</t>
  </si>
  <si>
    <t>Iout</t>
  </si>
  <si>
    <t>Rdson</t>
  </si>
  <si>
    <t>Fsw</t>
  </si>
  <si>
    <t>L</t>
  </si>
  <si>
    <t>Vd1</t>
  </si>
  <si>
    <t>Vd2</t>
  </si>
  <si>
    <t>D(est)</t>
  </si>
  <si>
    <t>Vfb</t>
  </si>
  <si>
    <t>R1(calc)</t>
  </si>
  <si>
    <t>R1(act)</t>
  </si>
  <si>
    <t>Vf</t>
  </si>
  <si>
    <t>Vext</t>
  </si>
  <si>
    <t>Vdrv</t>
  </si>
  <si>
    <t>D(acc)</t>
  </si>
  <si>
    <t>r(max)</t>
  </si>
  <si>
    <t>Ilpk</t>
  </si>
  <si>
    <t>Input voltage</t>
  </si>
  <si>
    <t>LED forward voltage (Red=2.25v, Blu/Wht=3.1v, Grn=3.3v)</t>
  </si>
  <si>
    <t>Voltage applied to LED anode</t>
  </si>
  <si>
    <t>LED forward current</t>
  </si>
  <si>
    <t>Estimated duty cycle</t>
  </si>
  <si>
    <t>Forward voltage drop of catch diode</t>
  </si>
  <si>
    <t>Forward voltage drop of boost diode</t>
  </si>
  <si>
    <t>Internal  switch FET resistance (0.7Ω max)</t>
  </si>
  <si>
    <t>Fixed reference voltage at feedback (FB) pin</t>
  </si>
  <si>
    <t>Ideal sense resistor value to achieve Iout</t>
  </si>
  <si>
    <t>Actual sense resistor value used in circuit</t>
  </si>
  <si>
    <t>External boost supply voltage</t>
  </si>
  <si>
    <t>Gate drive voltage (max 5.5v)</t>
  </si>
  <si>
    <t>More accurate calculation of duty cycle</t>
  </si>
  <si>
    <t>Output current ripple ratio (max recommended)</t>
  </si>
  <si>
    <t>Ripple ratio target (use to find value of L)</t>
  </si>
  <si>
    <t>Switching frequency</t>
  </si>
  <si>
    <t>r(tgt)</t>
  </si>
  <si>
    <t>Required inductor value based on r(tgt)</t>
  </si>
  <si>
    <t>Peak inductor current (with ripple)</t>
  </si>
  <si>
    <t>Fido v2</t>
  </si>
  <si>
    <t>P(cond)</t>
  </si>
  <si>
    <t>Conducted power loss (W)</t>
  </si>
  <si>
    <t>Trise</t>
  </si>
  <si>
    <t>Rise time at SW pin (measured)</t>
  </si>
  <si>
    <t>Tfall</t>
  </si>
  <si>
    <t>Fall time at SW pin (measured)</t>
  </si>
  <si>
    <t>Component Selection</t>
  </si>
  <si>
    <t>Power Dissipation</t>
  </si>
  <si>
    <t>P(sw)</t>
  </si>
  <si>
    <t>Switching power loss (W)</t>
  </si>
  <si>
    <t>P(q)</t>
  </si>
  <si>
    <t>Internal power consumption</t>
  </si>
  <si>
    <t>P(g)</t>
  </si>
  <si>
    <t>Gate charge loss</t>
  </si>
  <si>
    <t>P(tot)</t>
  </si>
  <si>
    <t>Total internal power dissipation (W)</t>
  </si>
  <si>
    <t>I(d1)</t>
  </si>
  <si>
    <t>Average current through catch diode</t>
  </si>
  <si>
    <t>P(d1)</t>
  </si>
  <si>
    <t>P(L)</t>
  </si>
  <si>
    <t>Average inductor power dissipation</t>
  </si>
  <si>
    <t>Average catch diode power dissipation</t>
  </si>
  <si>
    <t>R(L)</t>
  </si>
  <si>
    <t>Inductor DC resistance</t>
  </si>
  <si>
    <t>P(ckt)</t>
  </si>
  <si>
    <t>P(sens)</t>
  </si>
  <si>
    <t>Sense resistor power dissipation</t>
  </si>
  <si>
    <t>P(led)</t>
  </si>
  <si>
    <t>Circuit efficiency</t>
  </si>
  <si>
    <t>Power delivered to LED (W)</t>
  </si>
  <si>
    <t>Total driver circuit power dissipation</t>
  </si>
  <si>
    <t>Total power consumption 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</si>
</sst>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11" fontId="0" fillId="0" borderId="0" xfId="0" applyNumberFormat="1"/>
    <xf numFmtId="2" fontId="0" fillId="0" borderId="0" xfId="0" applyNumberFormat="1"/>
    <xf numFmtId="164" fontId="0" fillId="2" borderId="0" xfId="0" applyNumberFormat="1" applyFill="1"/>
    <xf numFmtId="0" fontId="0" fillId="2" borderId="0" xfId="0" applyFill="1"/>
    <xf numFmtId="11" fontId="0" fillId="3" borderId="0" xfId="0" applyNumberFormat="1" applyFill="1"/>
    <xf numFmtId="0" fontId="1" fillId="0" borderId="0" xfId="0" applyFont="1"/>
    <xf numFmtId="0" fontId="0" fillId="4" borderId="0" xfId="0" applyFill="1"/>
    <xf numFmtId="11" fontId="0" fillId="2" borderId="0" xfId="0" applyNumberFormat="1" applyFill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7168-9DFB-0845-824D-9AB67EB61D6B}">
  <dimension ref="B2:G40"/>
  <sheetViews>
    <sheetView tabSelected="1" topLeftCell="A9" zoomScale="125" workbookViewId="0">
      <selection activeCell="E43" sqref="E43"/>
    </sheetView>
  </sheetViews>
  <sheetFormatPr baseColWidth="10" defaultRowHeight="16" x14ac:dyDescent="0.2"/>
  <cols>
    <col min="3" max="3" width="15.6640625" bestFit="1" customWidth="1"/>
    <col min="4" max="4" width="15.6640625" customWidth="1"/>
    <col min="5" max="5" width="12.6640625" customWidth="1"/>
    <col min="6" max="6" width="4.5" customWidth="1"/>
    <col min="7" max="7" width="13.1640625" bestFit="1" customWidth="1"/>
  </cols>
  <sheetData>
    <row r="2" spans="2:7" x14ac:dyDescent="0.2">
      <c r="B2" s="7" t="s">
        <v>38</v>
      </c>
    </row>
    <row r="3" spans="2:7" x14ac:dyDescent="0.2">
      <c r="B3" s="7" t="s">
        <v>45</v>
      </c>
      <c r="C3" s="7"/>
    </row>
    <row r="4" spans="2:7" x14ac:dyDescent="0.2">
      <c r="B4" t="s">
        <v>0</v>
      </c>
      <c r="C4" s="8">
        <v>12</v>
      </c>
      <c r="D4" s="8">
        <v>12</v>
      </c>
      <c r="E4" s="8">
        <v>12</v>
      </c>
      <c r="G4" t="s">
        <v>18</v>
      </c>
    </row>
    <row r="5" spans="2:7" x14ac:dyDescent="0.2">
      <c r="B5" t="s">
        <v>12</v>
      </c>
      <c r="C5" s="5">
        <v>3.3</v>
      </c>
      <c r="D5" s="5">
        <v>3.3</v>
      </c>
      <c r="E5" s="5">
        <v>3.3</v>
      </c>
      <c r="G5" t="s">
        <v>19</v>
      </c>
    </row>
    <row r="6" spans="2:7" x14ac:dyDescent="0.2">
      <c r="B6" t="s">
        <v>1</v>
      </c>
      <c r="C6" s="3">
        <f>C5+C12</f>
        <v>3.5049999999999999</v>
      </c>
      <c r="D6" s="3">
        <f>D5+D12</f>
        <v>3.5049999999999999</v>
      </c>
      <c r="E6" s="3">
        <f>E5+E12</f>
        <v>3.5049999999999999</v>
      </c>
      <c r="G6" t="s">
        <v>20</v>
      </c>
    </row>
    <row r="7" spans="2:7" x14ac:dyDescent="0.2">
      <c r="B7" t="s">
        <v>2</v>
      </c>
      <c r="C7" s="5">
        <v>0.33</v>
      </c>
      <c r="D7" s="5">
        <v>0.66</v>
      </c>
      <c r="E7" s="5">
        <v>1</v>
      </c>
      <c r="G7" t="s">
        <v>21</v>
      </c>
    </row>
    <row r="8" spans="2:7" x14ac:dyDescent="0.2">
      <c r="B8" t="s">
        <v>8</v>
      </c>
      <c r="C8" s="3">
        <f>C6/C4</f>
        <v>0.29208333333333331</v>
      </c>
      <c r="D8" s="3">
        <f>D6/D4</f>
        <v>0.29208333333333331</v>
      </c>
      <c r="E8" s="3">
        <f>E6/E4</f>
        <v>0.29208333333333331</v>
      </c>
      <c r="G8" t="s">
        <v>22</v>
      </c>
    </row>
    <row r="9" spans="2:7" x14ac:dyDescent="0.2">
      <c r="B9" t="s">
        <v>6</v>
      </c>
      <c r="C9" s="8">
        <v>0.37</v>
      </c>
      <c r="D9" s="8">
        <v>0.37</v>
      </c>
      <c r="E9" s="8">
        <v>0.37</v>
      </c>
      <c r="G9" t="s">
        <v>23</v>
      </c>
    </row>
    <row r="10" spans="2:7" x14ac:dyDescent="0.2">
      <c r="B10" t="s">
        <v>7</v>
      </c>
      <c r="C10" s="8">
        <v>0.35</v>
      </c>
      <c r="D10" s="8">
        <v>0.35</v>
      </c>
      <c r="E10" s="8">
        <v>0.35</v>
      </c>
      <c r="G10" t="s">
        <v>24</v>
      </c>
    </row>
    <row r="11" spans="2:7" x14ac:dyDescent="0.2">
      <c r="B11" t="s">
        <v>3</v>
      </c>
      <c r="C11">
        <v>0.36</v>
      </c>
      <c r="D11">
        <v>0.36</v>
      </c>
      <c r="E11">
        <v>0.36</v>
      </c>
      <c r="G11" t="s">
        <v>25</v>
      </c>
    </row>
    <row r="12" spans="2:7" x14ac:dyDescent="0.2">
      <c r="B12" t="s">
        <v>9</v>
      </c>
      <c r="C12">
        <v>0.20499999999999999</v>
      </c>
      <c r="D12">
        <v>0.20499999999999999</v>
      </c>
      <c r="E12">
        <v>0.20499999999999999</v>
      </c>
      <c r="G12" t="s">
        <v>26</v>
      </c>
    </row>
    <row r="13" spans="2:7" x14ac:dyDescent="0.2">
      <c r="B13" t="s">
        <v>10</v>
      </c>
      <c r="C13" s="1">
        <f>C12/C7</f>
        <v>0.6212121212121211</v>
      </c>
      <c r="D13" s="1">
        <f>D12/D7</f>
        <v>0.31060606060606055</v>
      </c>
      <c r="E13" s="1">
        <f>E12/E7</f>
        <v>0.20499999999999999</v>
      </c>
      <c r="G13" t="s">
        <v>27</v>
      </c>
    </row>
    <row r="14" spans="2:7" x14ac:dyDescent="0.2">
      <c r="B14" t="s">
        <v>11</v>
      </c>
      <c r="C14" s="5">
        <v>0.62</v>
      </c>
      <c r="D14" s="5">
        <v>0.3</v>
      </c>
      <c r="E14" s="5">
        <v>0.2</v>
      </c>
      <c r="G14" t="s">
        <v>28</v>
      </c>
    </row>
    <row r="15" spans="2:7" x14ac:dyDescent="0.2">
      <c r="B15" t="s">
        <v>13</v>
      </c>
      <c r="C15" s="8">
        <v>5</v>
      </c>
      <c r="D15" s="8">
        <v>5</v>
      </c>
      <c r="E15" s="8">
        <v>5</v>
      </c>
      <c r="G15" t="s">
        <v>29</v>
      </c>
    </row>
    <row r="16" spans="2:7" x14ac:dyDescent="0.2">
      <c r="B16" t="s">
        <v>14</v>
      </c>
      <c r="C16">
        <f>C15-C10+C9</f>
        <v>5.0200000000000005</v>
      </c>
      <c r="D16">
        <f>D15-D10+D9</f>
        <v>5.0200000000000005</v>
      </c>
      <c r="E16">
        <f>E15-E10+E9</f>
        <v>5.0200000000000005</v>
      </c>
      <c r="G16" t="s">
        <v>30</v>
      </c>
    </row>
    <row r="17" spans="2:7" x14ac:dyDescent="0.2">
      <c r="B17" t="s">
        <v>15</v>
      </c>
      <c r="C17" s="3">
        <f>(C6+C9)/(C4+C9-C7*C11)</f>
        <v>0.31629554655870445</v>
      </c>
      <c r="D17" s="3">
        <f>(D6+D9)/(D4+D9-D7*D11)</f>
        <v>0.31939270053740398</v>
      </c>
      <c r="E17" s="3">
        <f>(E6+E9)/(E4+E9-E7*E11)</f>
        <v>0.32264779350541217</v>
      </c>
      <c r="G17" t="s">
        <v>31</v>
      </c>
    </row>
    <row r="18" spans="2:7" x14ac:dyDescent="0.2">
      <c r="B18" t="s">
        <v>16</v>
      </c>
      <c r="C18" s="1">
        <f>0.387*POWER(C7, -0.3667)</f>
        <v>0.58112813659061735</v>
      </c>
      <c r="D18" s="1">
        <f>0.387*POWER(D7, -0.3667)</f>
        <v>0.45069651909235087</v>
      </c>
      <c r="E18" s="1">
        <f>0.387*POWER(E7, -0.3667)</f>
        <v>0.38700000000000001</v>
      </c>
      <c r="G18" t="s">
        <v>32</v>
      </c>
    </row>
    <row r="19" spans="2:7" x14ac:dyDescent="0.2">
      <c r="B19" t="s">
        <v>35</v>
      </c>
      <c r="C19" s="4">
        <v>0.73</v>
      </c>
      <c r="D19" s="4">
        <v>0.36499999999999999</v>
      </c>
      <c r="E19" s="4">
        <v>0.24</v>
      </c>
      <c r="G19" t="s">
        <v>33</v>
      </c>
    </row>
    <row r="20" spans="2:7" x14ac:dyDescent="0.2">
      <c r="B20" t="s">
        <v>4</v>
      </c>
      <c r="C20" s="2">
        <v>1600000</v>
      </c>
      <c r="D20" s="2">
        <v>1600000</v>
      </c>
      <c r="E20" s="2">
        <v>1600000</v>
      </c>
      <c r="G20" t="s">
        <v>34</v>
      </c>
    </row>
    <row r="21" spans="2:7" x14ac:dyDescent="0.2">
      <c r="B21" t="s">
        <v>5</v>
      </c>
      <c r="C21" s="6">
        <f>((C6+C9)/(C7*C19*C20))*(1-C17)</f>
        <v>6.8735854013206202E-6</v>
      </c>
      <c r="D21" s="6">
        <f t="shared" ref="D21:E21" si="0">((D6+D9)/(D7*D19*D20))*(1-D17)</f>
        <v>6.8424483328600022E-6</v>
      </c>
      <c r="E21" s="6">
        <f t="shared" si="0"/>
        <v>6.8352598962669998E-6</v>
      </c>
      <c r="G21" t="s">
        <v>36</v>
      </c>
    </row>
    <row r="22" spans="2:7" x14ac:dyDescent="0.2">
      <c r="B22" t="s">
        <v>17</v>
      </c>
      <c r="C22">
        <f>C7*(1+C19/2)</f>
        <v>0.45045000000000002</v>
      </c>
      <c r="D22">
        <f t="shared" ref="D22:E22" si="1">D7*(1+D19/2)</f>
        <v>0.78045000000000009</v>
      </c>
      <c r="E22">
        <f t="shared" si="1"/>
        <v>1.1200000000000001</v>
      </c>
      <c r="G22" t="s">
        <v>37</v>
      </c>
    </row>
    <row r="23" spans="2:7" x14ac:dyDescent="0.2">
      <c r="B23" t="s">
        <v>55</v>
      </c>
      <c r="C23" s="3">
        <f>C7*(1-C17)</f>
        <v>0.22562246963562752</v>
      </c>
      <c r="D23" s="3">
        <f t="shared" ref="D23:E23" si="2">D7*(1-D17)</f>
        <v>0.44920081764531339</v>
      </c>
      <c r="E23" s="3">
        <f t="shared" si="2"/>
        <v>0.67735220649458783</v>
      </c>
      <c r="G23" t="s">
        <v>56</v>
      </c>
    </row>
    <row r="25" spans="2:7" x14ac:dyDescent="0.2">
      <c r="B25" s="7" t="s">
        <v>46</v>
      </c>
    </row>
    <row r="26" spans="2:7" x14ac:dyDescent="0.2">
      <c r="B26" t="s">
        <v>39</v>
      </c>
      <c r="C26" s="1">
        <f>POWER(C7, 2) * C11 * C17</f>
        <v>1.240005060728745E-2</v>
      </c>
      <c r="D26" s="1">
        <f t="shared" ref="D26:E26" si="3">POWER(D7, 2) * D11 * D17</f>
        <v>5.0085885727473543E-2</v>
      </c>
      <c r="E26" s="1">
        <f t="shared" si="3"/>
        <v>0.11615320566194838</v>
      </c>
      <c r="G26" t="s">
        <v>40</v>
      </c>
    </row>
    <row r="27" spans="2:7" x14ac:dyDescent="0.2">
      <c r="B27" t="s">
        <v>41</v>
      </c>
      <c r="C27" s="9">
        <v>3.2999999999999998E-8</v>
      </c>
      <c r="D27" s="9">
        <v>3.2999999999999998E-8</v>
      </c>
      <c r="E27" s="9">
        <v>3.2999999999999998E-8</v>
      </c>
      <c r="G27" t="s">
        <v>42</v>
      </c>
    </row>
    <row r="28" spans="2:7" x14ac:dyDescent="0.2">
      <c r="B28" t="s">
        <v>43</v>
      </c>
      <c r="C28" s="9">
        <v>2.7999999999999999E-8</v>
      </c>
      <c r="D28" s="9">
        <v>2.7999999999999999E-8</v>
      </c>
      <c r="E28" s="9">
        <v>2.7999999999999999E-8</v>
      </c>
      <c r="G28" t="s">
        <v>44</v>
      </c>
    </row>
    <row r="29" spans="2:7" x14ac:dyDescent="0.2">
      <c r="B29" t="s">
        <v>47</v>
      </c>
      <c r="C29" s="2">
        <f>0.5*C4*C7*C20*(C27+C28)</f>
        <v>0.193248</v>
      </c>
      <c r="D29" s="2">
        <f t="shared" ref="D29:E29" si="4">0.5*D4*D7*D20*(D27+D28)</f>
        <v>0.38649600000000001</v>
      </c>
      <c r="E29" s="2">
        <f t="shared" si="4"/>
        <v>0.58560000000000001</v>
      </c>
      <c r="G29" t="s">
        <v>48</v>
      </c>
    </row>
    <row r="30" spans="2:7" x14ac:dyDescent="0.2">
      <c r="B30" t="s">
        <v>49</v>
      </c>
      <c r="C30">
        <f>C4*0.0018</f>
        <v>2.1600000000000001E-2</v>
      </c>
      <c r="D30">
        <f t="shared" ref="D30:E30" si="5">D4*0.0018</f>
        <v>2.1600000000000001E-2</v>
      </c>
      <c r="E30">
        <f t="shared" si="5"/>
        <v>2.1600000000000001E-2</v>
      </c>
      <c r="G30" t="s">
        <v>50</v>
      </c>
    </row>
    <row r="31" spans="2:7" x14ac:dyDescent="0.2">
      <c r="B31" t="s">
        <v>51</v>
      </c>
      <c r="C31" s="2">
        <f>C20*C4*0.0000000014</f>
        <v>2.6879999999999998E-2</v>
      </c>
      <c r="D31" s="2">
        <f t="shared" ref="D31:E31" si="6">D20*D4*0.0000000014</f>
        <v>2.6879999999999998E-2</v>
      </c>
      <c r="E31" s="2">
        <f t="shared" si="6"/>
        <v>2.6879999999999998E-2</v>
      </c>
      <c r="G31" t="s">
        <v>52</v>
      </c>
    </row>
    <row r="32" spans="2:7" x14ac:dyDescent="0.2">
      <c r="B32" t="s">
        <v>53</v>
      </c>
      <c r="C32" s="6">
        <f>C26+C29+C30+C31</f>
        <v>0.25412805060728744</v>
      </c>
      <c r="D32" s="6">
        <f t="shared" ref="D32" si="7">D26+D29+D30+D31</f>
        <v>0.48506188572747355</v>
      </c>
      <c r="E32" s="6">
        <f>E26+E29+E30+E31</f>
        <v>0.7502332056619484</v>
      </c>
      <c r="G32" t="s">
        <v>54</v>
      </c>
    </row>
    <row r="33" spans="2:7" x14ac:dyDescent="0.2">
      <c r="B33" t="s">
        <v>57</v>
      </c>
      <c r="C33" s="1">
        <f>C9*C23</f>
        <v>8.3480313765182182E-2</v>
      </c>
      <c r="D33" s="1">
        <f t="shared" ref="D33:E33" si="8">D9*D23</f>
        <v>0.16620430252876595</v>
      </c>
      <c r="E33" s="1">
        <f t="shared" si="8"/>
        <v>0.25062031640299748</v>
      </c>
      <c r="G33" t="s">
        <v>60</v>
      </c>
    </row>
    <row r="34" spans="2:7" x14ac:dyDescent="0.2">
      <c r="B34" t="s">
        <v>61</v>
      </c>
      <c r="C34" s="4">
        <v>0.09</v>
      </c>
      <c r="D34" s="4">
        <v>0.09</v>
      </c>
      <c r="E34" s="4">
        <v>0.09</v>
      </c>
      <c r="G34" t="s">
        <v>62</v>
      </c>
    </row>
    <row r="35" spans="2:7" x14ac:dyDescent="0.2">
      <c r="B35" t="s">
        <v>58</v>
      </c>
      <c r="C35" s="1">
        <f>POWER(C7, 2)*C34</f>
        <v>9.8010000000000007E-3</v>
      </c>
      <c r="D35" s="1">
        <f t="shared" ref="D35:E35" si="9">POWER(D7, 2)*D34</f>
        <v>3.9204000000000003E-2</v>
      </c>
      <c r="E35" s="1">
        <f t="shared" si="9"/>
        <v>0.09</v>
      </c>
      <c r="G35" t="s">
        <v>59</v>
      </c>
    </row>
    <row r="36" spans="2:7" x14ac:dyDescent="0.2">
      <c r="B36" t="s">
        <v>64</v>
      </c>
      <c r="C36" s="1">
        <f t="shared" ref="C36:D36" si="10">POWER(C7, 2)*C14</f>
        <v>6.7518000000000009E-2</v>
      </c>
      <c r="D36" s="1">
        <f t="shared" si="10"/>
        <v>0.13068000000000002</v>
      </c>
      <c r="E36" s="1">
        <f>POWER(E7, 2)*E14</f>
        <v>0.2</v>
      </c>
      <c r="G36" t="s">
        <v>65</v>
      </c>
    </row>
    <row r="37" spans="2:7" x14ac:dyDescent="0.2">
      <c r="B37" t="s">
        <v>63</v>
      </c>
      <c r="C37" s="2">
        <f t="shared" ref="C37:D37" si="11">C32+C33+C35</f>
        <v>0.34740936437246961</v>
      </c>
      <c r="D37" s="2">
        <f t="shared" si="11"/>
        <v>0.69047018825623951</v>
      </c>
      <c r="E37" s="2">
        <f>E32+E33+E35+E36</f>
        <v>1.290853522064946</v>
      </c>
      <c r="G37" t="s">
        <v>69</v>
      </c>
    </row>
    <row r="38" spans="2:7" x14ac:dyDescent="0.2">
      <c r="B38" t="s">
        <v>66</v>
      </c>
      <c r="C38">
        <f t="shared" ref="C38:D38" si="12">C5*C7</f>
        <v>1.089</v>
      </c>
      <c r="D38">
        <f t="shared" si="12"/>
        <v>2.1779999999999999</v>
      </c>
      <c r="E38">
        <f>E5*E7</f>
        <v>3.3</v>
      </c>
      <c r="G38" t="s">
        <v>68</v>
      </c>
    </row>
    <row r="39" spans="2:7" x14ac:dyDescent="0.2">
      <c r="C39" s="2">
        <f>C37+C38</f>
        <v>1.4364093643724696</v>
      </c>
      <c r="D39" s="2">
        <f>D37+D38</f>
        <v>2.8684701882562393</v>
      </c>
      <c r="E39" s="2">
        <f>E37+E38</f>
        <v>4.590853522064946</v>
      </c>
      <c r="G39" t="s">
        <v>70</v>
      </c>
    </row>
    <row r="40" spans="2:7" x14ac:dyDescent="0.2">
      <c r="C40" s="10">
        <f>1-(C37/C39)</f>
        <v>0.75814042083731203</v>
      </c>
      <c r="D40" s="10">
        <f>1-(D37/D39)</f>
        <v>0.7592897457735196</v>
      </c>
      <c r="E40" s="10">
        <f>1-(E37/E39)</f>
        <v>0.71882058186767728</v>
      </c>
      <c r="G4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Williamson</dc:creator>
  <cp:lastModifiedBy>Keith Williamson</cp:lastModifiedBy>
  <dcterms:created xsi:type="dcterms:W3CDTF">2021-04-19T20:46:02Z</dcterms:created>
  <dcterms:modified xsi:type="dcterms:W3CDTF">2021-09-29T04:15:44Z</dcterms:modified>
</cp:coreProperties>
</file>