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Instructions" sheetId="1" r:id="rId1"/>
    <sheet name="Calculations" sheetId="2" r:id="rId2"/>
  </sheets>
  <definedNames>
    <definedName name="_xlnm.Print_Area" localSheetId="1">'Calculations'!$A$1:$O$92</definedName>
    <definedName name="_xlnm.Print_Area" localSheetId="0">'Instructions'!$A$1:$M$101</definedName>
  </definedNames>
  <calcPr fullCalcOnLoad="1"/>
</workbook>
</file>

<file path=xl/comments2.xml><?xml version="1.0" encoding="utf-8"?>
<comments xmlns="http://schemas.openxmlformats.org/spreadsheetml/2006/main">
  <authors>
    <author>dmorgan</author>
    <author>bdemsc</author>
  </authors>
  <commentList>
    <comment ref="F13" authorId="0">
      <text>
        <r>
          <rPr>
            <b/>
            <sz val="8"/>
            <rFont val="Tahoma"/>
            <family val="0"/>
          </rPr>
          <t>Vout must be no less than 2.5V and no more than 70V.</t>
        </r>
      </text>
    </comment>
    <comment ref="F14" authorId="0">
      <text>
        <r>
          <rPr>
            <b/>
            <sz val="8"/>
            <rFont val="Tahoma"/>
            <family val="0"/>
          </rPr>
          <t>The minimum allowed input voltage is 6V.</t>
        </r>
      </text>
    </comment>
    <comment ref="F15" authorId="0">
      <text>
        <r>
          <rPr>
            <b/>
            <sz val="8"/>
            <rFont val="Tahoma"/>
            <family val="0"/>
          </rPr>
          <t>This is the nominal input voltage for the majority of the circuit's operation, and must be in between the minimum and maximum input voltages.</t>
        </r>
      </text>
    </comment>
    <comment ref="F16" authorId="0">
      <text>
        <r>
          <rPr>
            <b/>
            <sz val="8"/>
            <rFont val="Tahoma"/>
            <family val="0"/>
          </rPr>
          <t>The maximum allowed input voltage is 75V.</t>
        </r>
      </text>
    </comment>
    <comment ref="F17" authorId="0">
      <text>
        <r>
          <rPr>
            <b/>
            <sz val="8"/>
            <rFont val="Tahoma"/>
            <family val="0"/>
          </rPr>
          <t>Typically the maximum allowed load current should not exceed 1A, but may be higher with the proper choice of inductor and frequency. See the datasheet for a method to increase the current limit threshold.</t>
        </r>
      </text>
    </comment>
    <comment ref="F21" authorId="0">
      <text>
        <r>
          <rPr>
            <b/>
            <sz val="8"/>
            <rFont val="Tahoma"/>
            <family val="0"/>
          </rPr>
          <t xml:space="preserve">Insert a value between 1k and 10k ohms. </t>
        </r>
      </text>
    </comment>
    <comment ref="F23" authorId="0">
      <text>
        <r>
          <rPr>
            <b/>
            <sz val="8"/>
            <rFont val="Tahoma"/>
            <family val="0"/>
          </rPr>
          <t>Choose from a list of standard value resistors.</t>
        </r>
      </text>
    </comment>
    <comment ref="F27" authorId="0">
      <text>
        <r>
          <rPr>
            <b/>
            <sz val="8"/>
            <rFont val="Tahoma"/>
            <family val="0"/>
          </rPr>
          <t>This value is calculated based on a minimum on-time of 150 ns, a minimum off-time of 300 ns, and the maximum and minimum input voltages listed in Step 1.</t>
        </r>
      </text>
    </comment>
    <comment ref="F28" authorId="0">
      <text>
        <r>
          <rPr>
            <b/>
            <sz val="8"/>
            <rFont val="Tahoma"/>
            <family val="0"/>
          </rPr>
          <t>Enter a value less than the maximum allowed frequency. A higher frequency results in errors at the input voltage extremes.</t>
        </r>
      </text>
    </comment>
    <comment ref="F30" authorId="0">
      <text>
        <r>
          <rPr>
            <b/>
            <sz val="8"/>
            <rFont val="Tahoma"/>
            <family val="0"/>
          </rPr>
          <t>Select a value equal to, or as close as possible to the recommended value.</t>
        </r>
      </text>
    </comment>
    <comment ref="F34" authorId="0">
      <text>
        <r>
          <rPr>
            <b/>
            <sz val="8"/>
            <rFont val="Tahoma"/>
            <family val="0"/>
          </rPr>
          <t>This recommendation is based on a ripple current equal to 20% of the Maximum Load Current, at the Nominal Input Voltage.</t>
        </r>
      </text>
    </comment>
    <comment ref="F35" authorId="0">
      <text>
        <r>
          <rPr>
            <b/>
            <sz val="8"/>
            <rFont val="Tahoma"/>
            <family val="0"/>
          </rPr>
          <t>Generally the selected value should be equal to, or larger, than the recommended value A smaller value for L1 results in higher ripple current, and therefore a higher load current at current limit.</t>
        </r>
      </text>
    </comment>
    <comment ref="F50" authorId="0">
      <text>
        <r>
          <rPr>
            <b/>
            <sz val="8"/>
            <rFont val="Tahoma"/>
            <family val="0"/>
          </rPr>
          <t>Select a value equal to, or as close as possible, to the recommended value.</t>
        </r>
      </text>
    </comment>
    <comment ref="F56" authorId="0">
      <text>
        <r>
          <rPr>
            <b/>
            <sz val="8"/>
            <rFont val="Tahoma"/>
            <family val="0"/>
          </rPr>
          <t>Select a value equal to, or greater, than the minimum recommended value.</t>
        </r>
      </text>
    </comment>
    <comment ref="F54" authorId="0">
      <text>
        <r>
          <rPr>
            <b/>
            <sz val="8"/>
            <rFont val="Tahoma"/>
            <family val="0"/>
          </rPr>
          <t>Refer to the three schematics at right to select the appropriate configuration. See the Instructions Worksheet for additional information.</t>
        </r>
      </text>
    </comment>
    <comment ref="F64" authorId="0">
      <text>
        <r>
          <rPr>
            <b/>
            <sz val="8"/>
            <rFont val="Tahoma"/>
            <family val="0"/>
          </rPr>
          <t>Select a value equal to or greater than the recommended minimum value. Other system considerations may affect the choice of value for Cout.</t>
        </r>
      </text>
    </comment>
    <comment ref="F63" authorId="0">
      <text>
        <r>
          <rPr>
            <b/>
            <sz val="8"/>
            <rFont val="Tahoma"/>
            <family val="0"/>
          </rPr>
          <t>This value is calculated based on 10 mV ripple voltage across a ceramic capacitor.</t>
        </r>
      </text>
    </comment>
    <comment ref="F58" authorId="0">
      <text>
        <r>
          <rPr>
            <b/>
            <sz val="8"/>
            <rFont val="Tahoma"/>
            <family val="0"/>
          </rPr>
          <t>Select the next larger standard value capacitor for Cff.</t>
        </r>
      </text>
    </comment>
    <comment ref="F61" authorId="0">
      <text>
        <r>
          <rPr>
            <b/>
            <sz val="8"/>
            <rFont val="Tahoma"/>
            <family val="0"/>
          </rPr>
          <t>Select a value equal to, or smaller, than the maximum recommended value for RA.</t>
        </r>
      </text>
    </comment>
    <comment ref="F65" authorId="0">
      <text>
        <r>
          <rPr>
            <b/>
            <sz val="8"/>
            <rFont val="Tahoma"/>
            <family val="0"/>
          </rPr>
          <t>For Type 1 and Type 2 configurations the maximum ripple voltage at Vout occurs at the maximum input voltage, and depends on the selected value for R3.
For Type 3 configuration, the ripple voltage depends on the value of Cout, and the capacitor type, as well as the ripple current.</t>
        </r>
      </text>
    </comment>
    <comment ref="F43" authorId="0">
      <text>
        <r>
          <rPr>
            <b/>
            <sz val="8"/>
            <rFont val="Tahoma"/>
            <family val="0"/>
          </rPr>
          <t>This calculation uses the minimum current limit threshold specification in the datasheet.</t>
        </r>
      </text>
    </comment>
    <comment ref="F44" authorId="0">
      <text>
        <r>
          <rPr>
            <b/>
            <sz val="8"/>
            <rFont val="Tahoma"/>
            <family val="0"/>
          </rPr>
          <t>This calculation uses the typical current limit threshold specification in the datasheet.</t>
        </r>
      </text>
    </comment>
    <comment ref="F45" authorId="0">
      <text>
        <r>
          <rPr>
            <b/>
            <sz val="8"/>
            <rFont val="Tahoma"/>
            <family val="0"/>
          </rPr>
          <t>This calculation uses the maximum current limit threshold specification in the datasheet.</t>
        </r>
      </text>
    </comment>
    <comment ref="F68" authorId="0">
      <text>
        <r>
          <rPr>
            <b/>
            <sz val="8"/>
            <rFont val="Tahoma"/>
            <family val="0"/>
          </rPr>
          <t>This value is calculated based on a maximum input ripple of 0.5 Vp-p.</t>
        </r>
      </text>
    </comment>
    <comment ref="F69" authorId="0">
      <text>
        <r>
          <rPr>
            <b/>
            <sz val="8"/>
            <rFont val="Tahoma"/>
            <family val="0"/>
          </rPr>
          <t>Select a value equal to or larger than the minimum recommended value.</t>
        </r>
      </text>
    </comment>
    <comment ref="F39" authorId="0">
      <text>
        <r>
          <rPr>
            <b/>
            <sz val="8"/>
            <rFont val="Tahoma"/>
            <family val="0"/>
          </rPr>
          <t>This is the peak current at max load current. Ensure the selected inductor is rated for at least this current, although it should be rated for the Peak Current when in Current Limit (next line).</t>
        </r>
      </text>
    </comment>
    <comment ref="F48" authorId="0">
      <text>
        <r>
          <rPr>
            <b/>
            <sz val="8"/>
            <rFont val="Tahoma"/>
            <family val="0"/>
          </rPr>
          <t>Enter the desired soft-start time.</t>
        </r>
      </text>
    </comment>
    <comment ref="F36" authorId="0">
      <text>
        <r>
          <rPr>
            <b/>
            <sz val="8"/>
            <rFont val="Tahoma"/>
            <family val="0"/>
          </rPr>
          <t>The Minimum Ripple Current Amplitude occurs at the minimum input voltage.</t>
        </r>
      </text>
    </comment>
    <comment ref="F38" authorId="0">
      <text>
        <r>
          <rPr>
            <b/>
            <sz val="8"/>
            <rFont val="Tahoma"/>
            <family val="0"/>
          </rPr>
          <t>The Maximum Ripple Current Amplitude occurs at the maximum input voltage.</t>
        </r>
      </text>
    </comment>
    <comment ref="F37" authorId="0">
      <text>
        <r>
          <rPr>
            <b/>
            <sz val="8"/>
            <rFont val="Tahoma"/>
            <family val="0"/>
          </rPr>
          <t>This is calculated at the nominal input voltage.</t>
        </r>
      </text>
    </comment>
    <comment ref="F40" authorId="1">
      <text>
        <r>
          <rPr>
            <b/>
            <sz val="8"/>
            <rFont val="Tahoma"/>
            <family val="0"/>
          </rPr>
          <t>This peak current is calculated using the maximum current limit specification and the maximum ripple current. To prevent current runaway the inductor should be rated for this current.</t>
        </r>
      </text>
    </comment>
    <comment ref="F24" authorId="1">
      <text>
        <r>
          <rPr>
            <b/>
            <sz val="8"/>
            <rFont val="Tahoma"/>
            <family val="0"/>
          </rPr>
          <t>This value, based on the selected values for Rfb1 and Rfb2, is used in the remaining calculations below.</t>
        </r>
      </text>
    </comment>
  </commentList>
</comments>
</file>

<file path=xl/sharedStrings.xml><?xml version="1.0" encoding="utf-8"?>
<sst xmlns="http://schemas.openxmlformats.org/spreadsheetml/2006/main" count="178" uniqueCount="139">
  <si>
    <t>Enter Values in Blue Shaded Cells</t>
  </si>
  <si>
    <t>Step 1. General Requirements</t>
  </si>
  <si>
    <t>Desired Nominal Switching Frequency</t>
  </si>
  <si>
    <r>
      <t>Desired Output Voltage: V</t>
    </r>
    <r>
      <rPr>
        <vertAlign val="subscript"/>
        <sz val="10"/>
        <rFont val="Arial"/>
        <family val="2"/>
      </rPr>
      <t>OUT</t>
    </r>
  </si>
  <si>
    <r>
      <t>Minimum Input Voltage: V</t>
    </r>
    <r>
      <rPr>
        <vertAlign val="subscript"/>
        <sz val="10"/>
        <rFont val="Arial"/>
        <family val="2"/>
      </rPr>
      <t>IN</t>
    </r>
    <r>
      <rPr>
        <sz val="10"/>
        <rFont val="Arial"/>
        <family val="0"/>
      </rPr>
      <t>(min)</t>
    </r>
  </si>
  <si>
    <r>
      <t>Maximum Input Voltage: V</t>
    </r>
    <r>
      <rPr>
        <vertAlign val="subscript"/>
        <sz val="10"/>
        <rFont val="Arial"/>
        <family val="2"/>
      </rPr>
      <t>IN</t>
    </r>
    <r>
      <rPr>
        <sz val="10"/>
        <rFont val="Arial"/>
        <family val="0"/>
      </rPr>
      <t>(max)</t>
    </r>
  </si>
  <si>
    <t>Volts</t>
  </si>
  <si>
    <t>kHz</t>
  </si>
  <si>
    <t>Min vin = f14</t>
  </si>
  <si>
    <t>Nom vin = f15</t>
  </si>
  <si>
    <t>Max vin = f16</t>
  </si>
  <si>
    <t>Max Io = f17</t>
  </si>
  <si>
    <t>Max Fs at Max Vin =</t>
  </si>
  <si>
    <t>Max Fs at Min Vin =</t>
  </si>
  <si>
    <t>Smaller Fs =</t>
  </si>
  <si>
    <t>Step 2. Feedback Resistors</t>
  </si>
  <si>
    <r>
      <t>R</t>
    </r>
    <r>
      <rPr>
        <vertAlign val="subscript"/>
        <sz val="10"/>
        <rFont val="Arial"/>
        <family val="2"/>
      </rPr>
      <t>FB2</t>
    </r>
    <r>
      <rPr>
        <sz val="10"/>
        <rFont val="Arial"/>
        <family val="0"/>
      </rPr>
      <t>/R</t>
    </r>
    <r>
      <rPr>
        <vertAlign val="subscript"/>
        <sz val="10"/>
        <rFont val="Arial"/>
        <family val="2"/>
      </rPr>
      <t>FB1</t>
    </r>
    <r>
      <rPr>
        <sz val="10"/>
        <rFont val="Arial"/>
        <family val="0"/>
      </rPr>
      <t xml:space="preserve"> = </t>
    </r>
  </si>
  <si>
    <r>
      <t>Select the value for R</t>
    </r>
    <r>
      <rPr>
        <vertAlign val="subscript"/>
        <sz val="10"/>
        <rFont val="Arial"/>
        <family val="2"/>
      </rPr>
      <t>FB1</t>
    </r>
  </si>
  <si>
    <t>kohms</t>
  </si>
  <si>
    <r>
      <t>Recommended value for R</t>
    </r>
    <r>
      <rPr>
        <vertAlign val="subscript"/>
        <sz val="10"/>
        <rFont val="Arial"/>
        <family val="2"/>
      </rPr>
      <t>FB2</t>
    </r>
  </si>
  <si>
    <t>Recommended Rfb2 =</t>
  </si>
  <si>
    <r>
      <t>Select the value for R</t>
    </r>
    <r>
      <rPr>
        <vertAlign val="subscript"/>
        <sz val="10"/>
        <rFont val="Arial"/>
        <family val="2"/>
      </rPr>
      <t>FB2</t>
    </r>
  </si>
  <si>
    <r>
      <t>Resulting actual V</t>
    </r>
    <r>
      <rPr>
        <vertAlign val="subscript"/>
        <sz val="10"/>
        <rFont val="Arial"/>
        <family val="2"/>
      </rPr>
      <t>OUT</t>
    </r>
  </si>
  <si>
    <t>Actual Vout =</t>
  </si>
  <si>
    <t>Step 3. Switching Frequency</t>
  </si>
  <si>
    <t>Desired Fs = f28</t>
  </si>
  <si>
    <t>Nominal frequency =</t>
  </si>
  <si>
    <t>Step 4. Inductor Value</t>
  </si>
  <si>
    <t>uH</t>
  </si>
  <si>
    <t>Max CL =</t>
  </si>
  <si>
    <t>Select the value for L1</t>
  </si>
  <si>
    <t>Maximum Load Current: Io(max)</t>
  </si>
  <si>
    <t>Ior at Max Vin =</t>
  </si>
  <si>
    <t>Ior at Nom Vin =</t>
  </si>
  <si>
    <t>Ior at Min Vin =</t>
  </si>
  <si>
    <r>
      <t>Nominal Input Voltage: V</t>
    </r>
    <r>
      <rPr>
        <vertAlign val="subscript"/>
        <sz val="10"/>
        <rFont val="Arial"/>
        <family val="2"/>
      </rPr>
      <t>IN</t>
    </r>
    <r>
      <rPr>
        <sz val="10"/>
        <rFont val="Arial"/>
        <family val="0"/>
      </rPr>
      <t>(nom)</t>
    </r>
  </si>
  <si>
    <t>mAp-p</t>
  </si>
  <si>
    <t>Io at CL(min) =</t>
  </si>
  <si>
    <t>Io at CL(nom) =</t>
  </si>
  <si>
    <t>Io at CL(max) =</t>
  </si>
  <si>
    <t>Type 1</t>
  </si>
  <si>
    <t>Type 2</t>
  </si>
  <si>
    <t>Type 3</t>
  </si>
  <si>
    <t>Min R3 for Type 1 =</t>
  </si>
  <si>
    <t>Min. Vout Ripple for Type 1 =</t>
  </si>
  <si>
    <t>uF</t>
  </si>
  <si>
    <r>
      <t>Select the value for C</t>
    </r>
    <r>
      <rPr>
        <vertAlign val="subscript"/>
        <sz val="10"/>
        <rFont val="Arial"/>
        <family val="2"/>
      </rPr>
      <t>OUT</t>
    </r>
  </si>
  <si>
    <t>Min Cff =</t>
  </si>
  <si>
    <t>Va =</t>
  </si>
  <si>
    <t>RA x CA =</t>
  </si>
  <si>
    <t>mVp-p</t>
  </si>
  <si>
    <r>
      <t>Maximum Ripple Voltage at V</t>
    </r>
    <r>
      <rPr>
        <vertAlign val="subscript"/>
        <sz val="10"/>
        <rFont val="Arial"/>
        <family val="2"/>
      </rPr>
      <t>OUT</t>
    </r>
  </si>
  <si>
    <r>
      <t>Minimum Recommended Value for C</t>
    </r>
    <r>
      <rPr>
        <vertAlign val="subscript"/>
        <sz val="10"/>
        <rFont val="Arial"/>
        <family val="2"/>
      </rPr>
      <t>IN</t>
    </r>
  </si>
  <si>
    <r>
      <t>Select the value for C</t>
    </r>
    <r>
      <rPr>
        <vertAlign val="subscript"/>
        <sz val="10"/>
        <rFont val="Arial"/>
        <family val="2"/>
      </rPr>
      <t>IN</t>
    </r>
  </si>
  <si>
    <t>Step 5. Current Limit</t>
  </si>
  <si>
    <t>Step 8. Input Capacitor</t>
  </si>
  <si>
    <r>
      <t>R</t>
    </r>
    <r>
      <rPr>
        <vertAlign val="subscript"/>
        <sz val="10"/>
        <rFont val="Arial"/>
        <family val="2"/>
      </rPr>
      <t>FB2</t>
    </r>
    <r>
      <rPr>
        <sz val="10"/>
        <rFont val="Arial"/>
        <family val="0"/>
      </rPr>
      <t xml:space="preserve"> =</t>
    </r>
  </si>
  <si>
    <t>L1 =</t>
  </si>
  <si>
    <t>Output Ripple Configuration =</t>
  </si>
  <si>
    <r>
      <t>C</t>
    </r>
    <r>
      <rPr>
        <vertAlign val="subscript"/>
        <sz val="10"/>
        <rFont val="Arial"/>
        <family val="2"/>
      </rPr>
      <t>OUT</t>
    </r>
    <r>
      <rPr>
        <sz val="10"/>
        <rFont val="Arial"/>
        <family val="0"/>
      </rPr>
      <t xml:space="preserve"> =</t>
    </r>
  </si>
  <si>
    <r>
      <t>C</t>
    </r>
    <r>
      <rPr>
        <vertAlign val="subscript"/>
        <sz val="10"/>
        <rFont val="Arial"/>
        <family val="2"/>
      </rPr>
      <t>IN</t>
    </r>
    <r>
      <rPr>
        <sz val="10"/>
        <rFont val="Arial"/>
        <family val="0"/>
      </rPr>
      <t xml:space="preserve"> =</t>
    </r>
  </si>
  <si>
    <r>
      <t>C</t>
    </r>
    <r>
      <rPr>
        <vertAlign val="subscript"/>
        <sz val="10"/>
        <rFont val="Arial"/>
        <family val="2"/>
      </rPr>
      <t>BYP</t>
    </r>
    <r>
      <rPr>
        <sz val="10"/>
        <rFont val="Arial"/>
        <family val="0"/>
      </rPr>
      <t xml:space="preserve"> =</t>
    </r>
  </si>
  <si>
    <r>
      <t>C</t>
    </r>
    <r>
      <rPr>
        <vertAlign val="subscript"/>
        <sz val="10"/>
        <rFont val="Arial"/>
        <family val="2"/>
      </rPr>
      <t>VCC</t>
    </r>
    <r>
      <rPr>
        <sz val="10"/>
        <rFont val="Arial"/>
        <family val="0"/>
      </rPr>
      <t xml:space="preserve"> =</t>
    </r>
  </si>
  <si>
    <r>
      <t>C</t>
    </r>
    <r>
      <rPr>
        <vertAlign val="subscript"/>
        <sz val="10"/>
        <rFont val="Arial"/>
        <family val="2"/>
      </rPr>
      <t>BST</t>
    </r>
    <r>
      <rPr>
        <sz val="10"/>
        <rFont val="Arial"/>
        <family val="0"/>
      </rPr>
      <t xml:space="preserve"> =</t>
    </r>
  </si>
  <si>
    <t>Nominal Switching Frequency =</t>
  </si>
  <si>
    <r>
      <t>V</t>
    </r>
    <r>
      <rPr>
        <vertAlign val="subscript"/>
        <sz val="10"/>
        <rFont val="Arial"/>
        <family val="2"/>
      </rPr>
      <t>OUT</t>
    </r>
    <r>
      <rPr>
        <sz val="10"/>
        <rFont val="Arial"/>
        <family val="0"/>
      </rPr>
      <t xml:space="preserve"> =</t>
    </r>
  </si>
  <si>
    <t>Notes:</t>
  </si>
  <si>
    <r>
      <t>1) Values shown for C</t>
    </r>
    <r>
      <rPr>
        <vertAlign val="subscript"/>
        <sz val="10"/>
        <rFont val="Arial"/>
        <family val="2"/>
      </rPr>
      <t>BYP</t>
    </r>
    <r>
      <rPr>
        <sz val="10"/>
        <rFont val="Arial"/>
        <family val="0"/>
      </rPr>
      <t>, C</t>
    </r>
    <r>
      <rPr>
        <vertAlign val="subscript"/>
        <sz val="10"/>
        <rFont val="Arial"/>
        <family val="2"/>
      </rPr>
      <t>VCC</t>
    </r>
    <r>
      <rPr>
        <sz val="10"/>
        <rFont val="Arial"/>
        <family val="0"/>
      </rPr>
      <t>, and C</t>
    </r>
    <r>
      <rPr>
        <vertAlign val="subscript"/>
        <sz val="10"/>
        <rFont val="Arial"/>
        <family val="2"/>
      </rPr>
      <t>BST</t>
    </r>
    <r>
      <rPr>
        <sz val="10"/>
        <rFont val="Arial"/>
        <family val="0"/>
      </rPr>
      <t xml:space="preserve"> are default values, and do not require calculation.</t>
    </r>
  </si>
  <si>
    <t>Min R3 for Type 2 =</t>
  </si>
  <si>
    <t>R3 for Type 1 or Type 2 =</t>
  </si>
  <si>
    <t>V1.0</t>
  </si>
  <si>
    <t>These two resistors set</t>
  </si>
  <si>
    <t>the output voltage.</t>
  </si>
  <si>
    <t>Sets the switching frequency.</t>
  </si>
  <si>
    <t>Determines the ripple current.</t>
  </si>
  <si>
    <r>
      <t>Affects the amount of ripple at V</t>
    </r>
    <r>
      <rPr>
        <vertAlign val="subscript"/>
        <sz val="10"/>
        <rFont val="Arial"/>
        <family val="2"/>
      </rPr>
      <t>OUT</t>
    </r>
    <r>
      <rPr>
        <sz val="10"/>
        <rFont val="Arial"/>
        <family val="0"/>
      </rPr>
      <t>.</t>
    </r>
  </si>
  <si>
    <t>Select the Output Ripple Configuration Type</t>
  </si>
  <si>
    <t>Component Calculator</t>
  </si>
  <si>
    <t>START WITH STEP 1, AND THEN WORK DOWN ON THE</t>
  </si>
  <si>
    <t>CALCULATIONS WORKSHEET.</t>
  </si>
  <si>
    <t>Step 7. Output Ripple Configuration</t>
  </si>
  <si>
    <r>
      <t xml:space="preserve">Step 9. Summary                               </t>
    </r>
    <r>
      <rPr>
        <sz val="10"/>
        <rFont val="Arial"/>
        <family val="2"/>
      </rPr>
      <t>R</t>
    </r>
    <r>
      <rPr>
        <vertAlign val="subscript"/>
        <sz val="10"/>
        <rFont val="Arial"/>
        <family val="2"/>
      </rPr>
      <t>FB1</t>
    </r>
    <r>
      <rPr>
        <sz val="10"/>
        <rFont val="Arial"/>
        <family val="2"/>
      </rPr>
      <t xml:space="preserve"> =</t>
    </r>
  </si>
  <si>
    <t>Maximum Allowed Switching Frequency</t>
  </si>
  <si>
    <t>Resulting Nominal Frequency</t>
  </si>
  <si>
    <t>Minimum Recommended Value for L1</t>
  </si>
  <si>
    <t>Minimum Ripple Current Amplitude</t>
  </si>
  <si>
    <t>Nominal Ripple Current Amplitude</t>
  </si>
  <si>
    <t>Maximum Ripple Current Amplitude</t>
  </si>
  <si>
    <t>Load Current at Current Limit - Minimum</t>
  </si>
  <si>
    <t>Load Current at Current Limit - Typical</t>
  </si>
  <si>
    <t>Load Current at Current Limit - Maximum</t>
  </si>
  <si>
    <r>
      <t>Minimum Recommended Value for C</t>
    </r>
    <r>
      <rPr>
        <vertAlign val="subscript"/>
        <sz val="10"/>
        <rFont val="Arial"/>
        <family val="2"/>
      </rPr>
      <t>OUT</t>
    </r>
  </si>
  <si>
    <t>See Note 1.</t>
  </si>
  <si>
    <t>Peak Current in L1 at Io(max)</t>
  </si>
  <si>
    <t>Peak current at Io(max) =</t>
  </si>
  <si>
    <t>Calculated Values are in the White Cells.</t>
  </si>
  <si>
    <t>Ignore Cells with Gray shading.</t>
  </si>
  <si>
    <r>
      <t>Recommended value for R</t>
    </r>
    <r>
      <rPr>
        <vertAlign val="subscript"/>
        <sz val="10"/>
        <rFont val="Arial"/>
        <family val="2"/>
      </rPr>
      <t>ON</t>
    </r>
  </si>
  <si>
    <r>
      <t>Select the value for R</t>
    </r>
    <r>
      <rPr>
        <vertAlign val="subscript"/>
        <sz val="10"/>
        <rFont val="Arial"/>
        <family val="2"/>
      </rPr>
      <t>ON</t>
    </r>
  </si>
  <si>
    <r>
      <t>R</t>
    </r>
    <r>
      <rPr>
        <vertAlign val="subscript"/>
        <sz val="10"/>
        <rFont val="Arial"/>
        <family val="2"/>
      </rPr>
      <t>ON</t>
    </r>
    <r>
      <rPr>
        <sz val="10"/>
        <rFont val="Arial"/>
        <family val="0"/>
      </rPr>
      <t xml:space="preserve"> =</t>
    </r>
  </si>
  <si>
    <t>Min Cout for 10mV ripple =</t>
  </si>
  <si>
    <t>Recommended Ron =</t>
  </si>
  <si>
    <t>Ron based on max allowed freq =</t>
  </si>
  <si>
    <t xml:space="preserve">Vref = </t>
  </si>
  <si>
    <t>Desired Vout = f13</t>
  </si>
  <si>
    <t>On-Time K =</t>
  </si>
  <si>
    <t>Max on-time =</t>
  </si>
  <si>
    <t>Ron offset =</t>
  </si>
  <si>
    <t>Vin offset =</t>
  </si>
  <si>
    <t>L1 based on 20% of Io(max) at Vin(nom) =</t>
  </si>
  <si>
    <t>Amps</t>
  </si>
  <si>
    <t>Selected L1 = f35</t>
  </si>
  <si>
    <t>Peak current at Max CL =</t>
  </si>
  <si>
    <t>Min CL =</t>
  </si>
  <si>
    <t>Typ CL =</t>
  </si>
  <si>
    <t>Desired Soft-Start Time</t>
  </si>
  <si>
    <t>ms</t>
  </si>
  <si>
    <r>
      <t>Recommended Value for C</t>
    </r>
    <r>
      <rPr>
        <vertAlign val="subscript"/>
        <sz val="10"/>
        <rFont val="Arial"/>
        <family val="2"/>
      </rPr>
      <t>SS</t>
    </r>
  </si>
  <si>
    <t>Desired SS time = f48</t>
  </si>
  <si>
    <t>Recommended Css =</t>
  </si>
  <si>
    <t>SS Current =</t>
  </si>
  <si>
    <r>
      <t>Select the value for C</t>
    </r>
    <r>
      <rPr>
        <vertAlign val="subscript"/>
        <sz val="10"/>
        <rFont val="Arial"/>
        <family val="2"/>
      </rPr>
      <t>SS</t>
    </r>
  </si>
  <si>
    <t>Resulting Typical Soft-Start Time</t>
  </si>
  <si>
    <t>Resulting SS time =</t>
  </si>
  <si>
    <t>Step 6. Soft-Start Time</t>
  </si>
  <si>
    <t>Max Recommended RA =</t>
  </si>
  <si>
    <t>Max ripple Type 1 &amp; 2 =</t>
  </si>
  <si>
    <t>Max ripple Type 3 =</t>
  </si>
  <si>
    <t>Min Cin =</t>
  </si>
  <si>
    <t>Sets the soft-start time.</t>
  </si>
  <si>
    <t>Peak Current in L1 when in Current Limit</t>
  </si>
  <si>
    <r>
      <t>C</t>
    </r>
    <r>
      <rPr>
        <vertAlign val="subscript"/>
        <sz val="10"/>
        <rFont val="Arial"/>
        <family val="2"/>
      </rPr>
      <t>SS</t>
    </r>
    <r>
      <rPr>
        <sz val="10"/>
        <rFont val="Arial"/>
        <family val="2"/>
      </rPr>
      <t xml:space="preserve"> =</t>
    </r>
  </si>
  <si>
    <t>Delay =</t>
  </si>
  <si>
    <t>Actual Vout = f24, w115</t>
  </si>
  <si>
    <t>Desired Vout =</t>
  </si>
  <si>
    <t>Min allowed Vin =</t>
  </si>
  <si>
    <t>Larger =</t>
  </si>
  <si>
    <t>LM5010A Buck Regulator Quick Start Component Calculator</t>
  </si>
  <si>
    <t>LM5010A Buck Regulator Quick Start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</si>
</sst>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52">
    <font>
      <sz val="10"/>
      <name val="Arial"/>
      <family val="0"/>
    </font>
    <font>
      <b/>
      <sz val="14"/>
      <name val="Arial"/>
      <family val="2"/>
    </font>
    <font>
      <sz val="8"/>
      <name val="Arial"/>
      <family val="0"/>
    </font>
    <font>
      <b/>
      <sz val="10"/>
      <name val="Arial"/>
      <family val="2"/>
    </font>
    <font>
      <vertAlign val="subscript"/>
      <sz val="10"/>
      <name val="Arial"/>
      <family val="2"/>
    </font>
    <font>
      <b/>
      <sz val="8"/>
      <name val="Tahoma"/>
      <family val="0"/>
    </font>
    <font>
      <sz val="10"/>
      <color indexed="8"/>
      <name val="Arial"/>
      <family val="0"/>
    </font>
    <font>
      <sz val="10"/>
      <color indexed="22"/>
      <name val="Arial"/>
      <family val="0"/>
    </font>
    <font>
      <sz val="10"/>
      <color indexed="5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sz val="10"/>
      <color indexed="8"/>
      <name val="Symbol"/>
      <family val="0"/>
    </font>
    <font>
      <vertAlign val="subscript"/>
      <sz val="10"/>
      <color indexed="8"/>
      <name val="Arial"/>
      <family val="0"/>
    </font>
    <font>
      <sz val="12"/>
      <color indexed="10"/>
      <name val="Arial"/>
      <family val="0"/>
    </font>
    <font>
      <u val="single"/>
      <sz val="10"/>
      <color indexed="8"/>
      <name val="Arial"/>
      <family val="0"/>
    </font>
    <font>
      <vertAlign val="superscript"/>
      <sz val="10"/>
      <color indexed="8"/>
      <name val="Arial"/>
      <family val="0"/>
    </font>
    <font>
      <u val="single"/>
      <vertAlign val="superscript"/>
      <sz val="10"/>
      <color indexed="8"/>
      <name val="Arial"/>
      <family val="0"/>
    </font>
    <font>
      <b/>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Alignment="1">
      <alignment/>
    </xf>
    <xf numFmtId="0" fontId="1" fillId="33" borderId="0" xfId="0" applyFont="1" applyFill="1" applyAlignment="1">
      <alignment/>
    </xf>
    <xf numFmtId="0" fontId="0" fillId="34" borderId="10" xfId="0" applyFill="1" applyBorder="1" applyAlignment="1">
      <alignment horizontal="center"/>
    </xf>
    <xf numFmtId="0" fontId="0" fillId="0" borderId="0" xfId="0" applyFill="1" applyAlignment="1">
      <alignment/>
    </xf>
    <xf numFmtId="0" fontId="0" fillId="0" borderId="0" xfId="0" applyFill="1" applyAlignment="1">
      <alignment horizontal="right"/>
    </xf>
    <xf numFmtId="0" fontId="0" fillId="0" borderId="0" xfId="0" applyAlignment="1">
      <alignment horizontal="right"/>
    </xf>
    <xf numFmtId="0" fontId="0" fillId="0" borderId="0" xfId="0" applyAlignment="1">
      <alignment horizontal="center"/>
    </xf>
    <xf numFmtId="172" fontId="0" fillId="0" borderId="0" xfId="0" applyNumberFormat="1" applyAlignment="1">
      <alignment horizontal="center"/>
    </xf>
    <xf numFmtId="0" fontId="0" fillId="35" borderId="0" xfId="0" applyFill="1" applyBorder="1" applyAlignment="1">
      <alignment horizontal="right"/>
    </xf>
    <xf numFmtId="0" fontId="0" fillId="36" borderId="0" xfId="0" applyFill="1" applyBorder="1" applyAlignment="1">
      <alignment horizontal="right"/>
    </xf>
    <xf numFmtId="0" fontId="0" fillId="37" borderId="11" xfId="0" applyFill="1" applyBorder="1" applyAlignment="1">
      <alignment horizontal="right"/>
    </xf>
    <xf numFmtId="0" fontId="0" fillId="38" borderId="0" xfId="0" applyFill="1" applyAlignment="1">
      <alignment horizontal="center"/>
    </xf>
    <xf numFmtId="1" fontId="0" fillId="38" borderId="0" xfId="0" applyNumberFormat="1" applyFill="1" applyAlignment="1">
      <alignment horizontal="center"/>
    </xf>
    <xf numFmtId="172" fontId="0" fillId="38" borderId="0" xfId="0" applyNumberFormat="1" applyFill="1" applyAlignment="1">
      <alignment horizontal="center"/>
    </xf>
    <xf numFmtId="0" fontId="0" fillId="0" borderId="0" xfId="0" applyAlignment="1">
      <alignment wrapText="1"/>
    </xf>
    <xf numFmtId="0" fontId="3" fillId="33" borderId="0" xfId="0" applyFont="1" applyFill="1" applyAlignment="1">
      <alignment/>
    </xf>
    <xf numFmtId="0" fontId="0" fillId="33" borderId="0" xfId="0" applyFill="1" applyAlignment="1">
      <alignment/>
    </xf>
    <xf numFmtId="0" fontId="8" fillId="33" borderId="0" xfId="0" applyFont="1" applyFill="1" applyAlignment="1">
      <alignment horizontal="left"/>
    </xf>
    <xf numFmtId="14" fontId="8" fillId="33" borderId="0" xfId="0" applyNumberFormat="1" applyFont="1" applyFill="1" applyAlignment="1">
      <alignment horizontal="left"/>
    </xf>
    <xf numFmtId="0" fontId="0" fillId="33" borderId="10" xfId="0" applyFill="1" applyBorder="1" applyAlignment="1">
      <alignment horizontal="center"/>
    </xf>
    <xf numFmtId="0" fontId="0" fillId="33" borderId="0" xfId="0" applyFill="1" applyAlignment="1">
      <alignment horizontal="right"/>
    </xf>
    <xf numFmtId="0" fontId="0" fillId="33" borderId="0" xfId="0" applyFill="1" applyBorder="1" applyAlignment="1">
      <alignment horizontal="center"/>
    </xf>
    <xf numFmtId="2" fontId="0" fillId="33" borderId="10" xfId="0" applyNumberFormat="1" applyFill="1" applyBorder="1" applyAlignment="1">
      <alignment horizontal="center"/>
    </xf>
    <xf numFmtId="0" fontId="0" fillId="33" borderId="0" xfId="0" applyFill="1" applyBorder="1" applyAlignment="1">
      <alignment horizontal="right"/>
    </xf>
    <xf numFmtId="173" fontId="0" fillId="33" borderId="10" xfId="0" applyNumberFormat="1" applyFill="1" applyBorder="1" applyAlignment="1">
      <alignment horizontal="center"/>
    </xf>
    <xf numFmtId="1" fontId="0" fillId="33" borderId="10" xfId="0" applyNumberFormat="1" applyFill="1" applyBorder="1" applyAlignment="1">
      <alignment horizontal="center"/>
    </xf>
    <xf numFmtId="0" fontId="0" fillId="33" borderId="0" xfId="0" applyFill="1" applyBorder="1" applyAlignment="1">
      <alignment/>
    </xf>
    <xf numFmtId="172" fontId="0" fillId="33" borderId="10" xfId="0" applyNumberFormat="1" applyFill="1" applyBorder="1" applyAlignment="1">
      <alignment horizontal="center"/>
    </xf>
    <xf numFmtId="172" fontId="0" fillId="33" borderId="0" xfId="0" applyNumberFormat="1" applyFill="1" applyBorder="1" applyAlignment="1">
      <alignment horizontal="center"/>
    </xf>
    <xf numFmtId="0" fontId="0" fillId="33" borderId="0" xfId="0" applyFill="1" applyAlignment="1">
      <alignment horizontal="center"/>
    </xf>
    <xf numFmtId="0" fontId="6" fillId="33" borderId="0" xfId="0" applyFont="1" applyFill="1" applyAlignment="1">
      <alignment/>
    </xf>
    <xf numFmtId="0" fontId="3" fillId="33" borderId="12" xfId="0" applyFont="1" applyFill="1" applyBorder="1" applyAlignment="1">
      <alignment horizontal="right"/>
    </xf>
    <xf numFmtId="0" fontId="0" fillId="33" borderId="13" xfId="0" applyFill="1" applyBorder="1" applyAlignment="1">
      <alignment horizontal="center"/>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horizontal="righ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0" xfId="0" applyFont="1" applyFill="1" applyBorder="1" applyAlignment="1">
      <alignment horizontal="center"/>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horizontal="right"/>
    </xf>
    <xf numFmtId="1" fontId="0" fillId="33" borderId="30" xfId="0" applyNumberFormat="1" applyFill="1" applyBorder="1" applyAlignment="1">
      <alignment horizontal="center"/>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0" xfId="0" applyFill="1" applyAlignment="1">
      <alignment horizontal="left"/>
    </xf>
    <xf numFmtId="0" fontId="8" fillId="33" borderId="0" xfId="0" applyFont="1" applyFill="1" applyAlignment="1">
      <alignment horizontal="right"/>
    </xf>
    <xf numFmtId="0" fontId="0" fillId="34" borderId="10" xfId="0" applyFill="1" applyBorder="1" applyAlignment="1" applyProtection="1">
      <alignment horizontal="center"/>
      <protection locked="0"/>
    </xf>
    <xf numFmtId="0" fontId="7" fillId="38" borderId="0" xfId="0" applyFont="1" applyFill="1" applyAlignment="1" applyProtection="1">
      <alignment horizontal="center"/>
      <protection locked="0"/>
    </xf>
    <xf numFmtId="0" fontId="0" fillId="33" borderId="0" xfId="0" applyFill="1" applyAlignment="1" applyProtection="1">
      <alignment horizontal="center"/>
      <protection locked="0"/>
    </xf>
    <xf numFmtId="0" fontId="0" fillId="33" borderId="0" xfId="0" applyFill="1" applyAlignment="1" applyProtection="1">
      <alignment/>
      <protection locked="0"/>
    </xf>
    <xf numFmtId="0" fontId="0" fillId="38" borderId="10" xfId="0" applyFill="1" applyBorder="1" applyAlignment="1">
      <alignment horizontal="center"/>
    </xf>
    <xf numFmtId="0" fontId="0" fillId="35" borderId="0" xfId="0" applyFill="1" applyAlignment="1">
      <alignment horizontal="right"/>
    </xf>
    <xf numFmtId="0" fontId="0" fillId="36" borderId="0" xfId="0" applyFill="1" applyAlignment="1">
      <alignment horizontal="right"/>
    </xf>
    <xf numFmtId="0" fontId="0" fillId="37" borderId="0" xfId="0" applyFill="1" applyAlignment="1">
      <alignment horizontal="right"/>
    </xf>
    <xf numFmtId="172" fontId="0" fillId="33" borderId="0" xfId="0" applyNumberFormat="1" applyFill="1" applyAlignment="1">
      <alignment/>
    </xf>
    <xf numFmtId="0" fontId="3" fillId="33" borderId="0" xfId="0" applyFont="1" applyFill="1" applyAlignment="1">
      <alignment horizontal="center"/>
    </xf>
    <xf numFmtId="0" fontId="0" fillId="33" borderId="17" xfId="0" applyFont="1" applyFill="1" applyBorder="1" applyAlignment="1">
      <alignment horizontal="right"/>
    </xf>
    <xf numFmtId="2" fontId="0" fillId="34" borderId="10" xfId="0" applyNumberFormat="1" applyFill="1" applyBorder="1" applyAlignment="1" applyProtection="1">
      <alignment horizontal="center"/>
      <protection locked="0"/>
    </xf>
    <xf numFmtId="0" fontId="0" fillId="0" borderId="26" xfId="0" applyBorder="1" applyAlignment="1">
      <alignment horizontal="right"/>
    </xf>
    <xf numFmtId="0" fontId="0" fillId="0" borderId="34" xfId="0" applyBorder="1" applyAlignment="1">
      <alignment horizontal="center"/>
    </xf>
    <xf numFmtId="0" fontId="0" fillId="0" borderId="24" xfId="0" applyBorder="1" applyAlignment="1">
      <alignment horizontal="right"/>
    </xf>
    <xf numFmtId="0" fontId="0" fillId="0" borderId="11" xfId="0" applyBorder="1" applyAlignment="1">
      <alignment horizontal="center"/>
    </xf>
    <xf numFmtId="0" fontId="0" fillId="0" borderId="18" xfId="0" applyBorder="1" applyAlignment="1">
      <alignment horizontal="right"/>
    </xf>
    <xf numFmtId="0" fontId="0" fillId="0" borderId="35" xfId="0" applyBorder="1" applyAlignment="1">
      <alignment horizontal="center"/>
    </xf>
    <xf numFmtId="2" fontId="0" fillId="0" borderId="10" xfId="0" applyNumberFormat="1" applyFill="1" applyBorder="1" applyAlignment="1" applyProtection="1">
      <alignment horizontal="center"/>
      <protection/>
    </xf>
    <xf numFmtId="172" fontId="0" fillId="34" borderId="10" xfId="0" applyNumberForma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indexed="10"/>
        </patternFill>
      </fill>
    </dxf>
    <dxf>
      <fill>
        <patternFill>
          <bgColor indexed="10"/>
        </patternFill>
      </fill>
    </dxf>
    <dxf>
      <fill>
        <patternFill>
          <bgColor indexed="9"/>
        </patternFill>
      </fill>
      <border>
        <left style="thin"/>
        <right style="thin"/>
        <top style="thin"/>
        <bottom style="thin"/>
      </border>
    </dxf>
    <dxf>
      <font>
        <color indexed="8"/>
      </font>
      <fill>
        <patternFill>
          <bgColor indexed="41"/>
        </patternFill>
      </fill>
      <border>
        <left style="thin"/>
        <right style="thin"/>
        <top style="thin"/>
        <bottom style="thin"/>
      </border>
    </dxf>
    <dxf>
      <fill>
        <patternFill>
          <bgColor indexed="9"/>
        </patternFill>
      </fill>
      <border>
        <left style="thin"/>
        <right style="thin"/>
        <top style="thin"/>
        <bottom style="thin"/>
      </border>
    </dxf>
    <dxf>
      <fill>
        <patternFill>
          <bgColor indexed="9"/>
        </patternFill>
      </fill>
      <border>
        <left style="thin"/>
        <right style="thin"/>
        <top style="thin"/>
        <bottom style="thin"/>
      </border>
    </dxf>
    <dxf>
      <font>
        <color indexed="8"/>
      </font>
      <fill>
        <patternFill>
          <bgColor indexed="41"/>
        </patternFill>
      </fill>
      <border>
        <left style="thin"/>
        <right style="thin"/>
        <top style="thin"/>
        <bottom style="thin"/>
      </border>
    </dxf>
    <dxf>
      <fill>
        <patternFill>
          <bgColor indexed="9"/>
        </patternFill>
      </fill>
      <border>
        <left style="thin"/>
        <right style="thin"/>
        <top style="thin"/>
        <bottom style="thin"/>
      </border>
    </dxf>
    <dxf>
      <font>
        <color indexed="22"/>
      </font>
      <fill>
        <patternFill>
          <bgColor indexed="22"/>
        </patternFill>
      </fill>
      <border>
        <left/>
        <right/>
        <top/>
        <bottom/>
      </border>
    </dxf>
    <dxf>
      <fill>
        <patternFill>
          <bgColor indexed="22"/>
        </patternFill>
      </fill>
      <border>
        <left/>
        <right/>
        <top/>
        <bottom/>
      </border>
    </dxf>
    <dxf>
      <fill>
        <patternFill>
          <bgColor rgb="FFFFFFFF"/>
        </patternFill>
      </fill>
      <border>
        <left style="thin">
          <color rgb="FF000000"/>
        </left>
        <right style="thin">
          <color rgb="FF000000"/>
        </right>
        <top style="thin"/>
        <bottom style="thin">
          <color rgb="FF000000"/>
        </bottom>
      </border>
    </dxf>
    <dxf>
      <font>
        <color rgb="FF000000"/>
      </font>
      <fill>
        <patternFill>
          <bgColor rgb="FFCCFF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104775</xdr:rowOff>
    </xdr:from>
    <xdr:to>
      <xdr:col>11</xdr:col>
      <xdr:colOff>600075</xdr:colOff>
      <xdr:row>12</xdr:row>
      <xdr:rowOff>9525</xdr:rowOff>
    </xdr:to>
    <xdr:sp>
      <xdr:nvSpPr>
        <xdr:cNvPr id="1" name="Text Box 2"/>
        <xdr:cNvSpPr txBox="1">
          <a:spLocks noChangeArrowheads="1"/>
        </xdr:cNvSpPr>
      </xdr:nvSpPr>
      <xdr:spPr>
        <a:xfrm>
          <a:off x="266700" y="1371600"/>
          <a:ext cx="6829425" cy="714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1. General Requirements.
</a:t>
          </a:r>
          <a:r>
            <a:rPr lang="en-US" cap="none" sz="1000" b="0" i="0" u="none" baseline="0">
              <a:solidFill>
                <a:srgbClr val="000000"/>
              </a:solidFill>
              <a:latin typeface="Arial"/>
              <a:ea typeface="Arial"/>
              <a:cs typeface="Arial"/>
            </a:rPr>
            <a:t>Enter the values in the blue shaded cells to define the power supply parameters. If a particular specification is not known, enter an estimate. It can be changed later, if necessary, to optimize component values. Cells with a red mark in the corner have a comment to provide additional information. Hold the cursor over the cell to read the comment.</a:t>
          </a:r>
        </a:p>
      </xdr:txBody>
    </xdr:sp>
    <xdr:clientData/>
  </xdr:twoCellAnchor>
  <xdr:twoCellAnchor>
    <xdr:from>
      <xdr:col>0</xdr:col>
      <xdr:colOff>257175</xdr:colOff>
      <xdr:row>12</xdr:row>
      <xdr:rowOff>95250</xdr:rowOff>
    </xdr:from>
    <xdr:to>
      <xdr:col>11</xdr:col>
      <xdr:colOff>600075</xdr:colOff>
      <xdr:row>18</xdr:row>
      <xdr:rowOff>152400</xdr:rowOff>
    </xdr:to>
    <xdr:sp>
      <xdr:nvSpPr>
        <xdr:cNvPr id="2" name="Text Box 3"/>
        <xdr:cNvSpPr txBox="1">
          <a:spLocks noChangeArrowheads="1"/>
        </xdr:cNvSpPr>
      </xdr:nvSpPr>
      <xdr:spPr>
        <a:xfrm>
          <a:off x="257175" y="2171700"/>
          <a:ext cx="6838950"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2. Feedback Resistors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value between 1k</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and 10k</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for R</a:t>
          </a:r>
          <a:r>
            <a:rPr lang="en-US" cap="none" sz="1000" b="0" i="0" u="none" baseline="-25000">
              <a:solidFill>
                <a:srgbClr val="000000"/>
              </a:solidFill>
              <a:latin typeface="Arial"/>
              <a:ea typeface="Arial"/>
              <a:cs typeface="Arial"/>
            </a:rPr>
            <a:t>FB1</a:t>
          </a:r>
          <a:r>
            <a:rPr lang="en-US" cap="none" sz="1000" b="0" i="0" u="none" baseline="0">
              <a:solidFill>
                <a:srgbClr val="000000"/>
              </a:solidFill>
              <a:latin typeface="Arial"/>
              <a:ea typeface="Arial"/>
              <a:cs typeface="Arial"/>
            </a:rPr>
            <a:t> (the lower feedback resistor). Based on that entry, a recommended value for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 is displayed. Then enter a value for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 from standard value resistors that is equal to (or as close as possible to) the recommended value. The resulting actual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calculated and displayed. If a suitable value for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 cannot be found from available values, change the value for R</a:t>
          </a:r>
          <a:r>
            <a:rPr lang="en-US" cap="none" sz="1000" b="0" i="0" u="none" baseline="-25000">
              <a:solidFill>
                <a:srgbClr val="000000"/>
              </a:solidFill>
              <a:latin typeface="Arial"/>
              <a:ea typeface="Arial"/>
              <a:cs typeface="Arial"/>
            </a:rPr>
            <a:t>FB1</a:t>
          </a:r>
          <a:r>
            <a:rPr lang="en-US" cap="none" sz="1000" b="0" i="0" u="none" baseline="0">
              <a:solidFill>
                <a:srgbClr val="000000"/>
              </a:solidFill>
              <a:latin typeface="Arial"/>
              <a:ea typeface="Arial"/>
              <a:cs typeface="Arial"/>
            </a:rPr>
            <a:t>. The ratio of R</a:t>
          </a:r>
          <a:r>
            <a:rPr lang="en-US" cap="none" sz="1000" b="0" i="0" u="none" baseline="-25000">
              <a:solidFill>
                <a:srgbClr val="000000"/>
              </a:solidFill>
              <a:latin typeface="Arial"/>
              <a:ea typeface="Arial"/>
              <a:cs typeface="Arial"/>
            </a:rPr>
            <a:t>FB2</a:t>
          </a:r>
          <a:r>
            <a:rPr lang="en-US" cap="none" sz="1000" b="0" i="0" u="none" baseline="0">
              <a:solidFill>
                <a:srgbClr val="000000"/>
              </a:solidFill>
              <a:latin typeface="Arial"/>
              <a:ea typeface="Arial"/>
              <a:cs typeface="Arial"/>
            </a:rPr>
            <a:t>/R</a:t>
          </a:r>
          <a:r>
            <a:rPr lang="en-US" cap="none" sz="1000" b="0" i="0" u="none" baseline="-25000">
              <a:solidFill>
                <a:srgbClr val="000000"/>
              </a:solidFill>
              <a:latin typeface="Arial"/>
              <a:ea typeface="Arial"/>
              <a:cs typeface="Arial"/>
            </a:rPr>
            <a:t>FB1</a:t>
          </a:r>
          <a:r>
            <a:rPr lang="en-US" cap="none" sz="1000" b="0" i="0" u="none" baseline="0">
              <a:solidFill>
                <a:srgbClr val="000000"/>
              </a:solidFill>
              <a:latin typeface="Arial"/>
              <a:ea typeface="Arial"/>
              <a:cs typeface="Arial"/>
            </a:rPr>
            <a:t> may be helpful in selecting the resistors.</a:t>
          </a:r>
        </a:p>
      </xdr:txBody>
    </xdr:sp>
    <xdr:clientData/>
  </xdr:twoCellAnchor>
  <xdr:twoCellAnchor>
    <xdr:from>
      <xdr:col>0</xdr:col>
      <xdr:colOff>257175</xdr:colOff>
      <xdr:row>19</xdr:row>
      <xdr:rowOff>76200</xdr:rowOff>
    </xdr:from>
    <xdr:to>
      <xdr:col>11</xdr:col>
      <xdr:colOff>600075</xdr:colOff>
      <xdr:row>32</xdr:row>
      <xdr:rowOff>152400</xdr:rowOff>
    </xdr:to>
    <xdr:sp>
      <xdr:nvSpPr>
        <xdr:cNvPr id="3" name="Text Box 4"/>
        <xdr:cNvSpPr txBox="1">
          <a:spLocks noChangeArrowheads="1"/>
        </xdr:cNvSpPr>
      </xdr:nvSpPr>
      <xdr:spPr>
        <a:xfrm>
          <a:off x="257175" y="3286125"/>
          <a:ext cx="6838950" cy="2181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3. Switching Frequency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minimum on-time (150 ns) sets a limit for the maximum frequency at the maximum input voltage. The minimum off-time (260 ns typ., 300 ns max) sets a limit for the maximum frequency at the minimum input voltage. The "Maximum Allowed Switching Frequency" is calculated and displayed based on those limitations. Enter a desired nominal switching frequency that is less than the maximum allowed frequency.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Selection of the operating frequency is usually a trade-off between the conversion efficiency and physical size. Operating at a high frequency generally results in physically smaller components (inductor, input &amp; output capacitors) but usually provides a lower efficiency and generates more heat. A lower frequency normally provides higher efficiency.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recommended value for R</a:t>
          </a:r>
          <a:r>
            <a:rPr lang="en-US" cap="none" sz="1000" b="0" i="0" u="none" baseline="-25000">
              <a:solidFill>
                <a:srgbClr val="000000"/>
              </a:solidFill>
              <a:latin typeface="Arial"/>
              <a:ea typeface="Arial"/>
              <a:cs typeface="Arial"/>
            </a:rPr>
            <a:t>ON</a:t>
          </a:r>
          <a:r>
            <a:rPr lang="en-US" cap="none" sz="1000" b="0" i="0" u="none" baseline="0">
              <a:solidFill>
                <a:srgbClr val="000000"/>
              </a:solidFill>
              <a:latin typeface="Arial"/>
              <a:ea typeface="Arial"/>
              <a:cs typeface="Arial"/>
            </a:rPr>
            <a:t> is calculated for the desired frequency. Select a value for R</a:t>
          </a:r>
          <a:r>
            <a:rPr lang="en-US" cap="none" sz="1000" b="0" i="0" u="none" baseline="-25000">
              <a:solidFill>
                <a:srgbClr val="000000"/>
              </a:solidFill>
              <a:latin typeface="Arial"/>
              <a:ea typeface="Arial"/>
              <a:cs typeface="Arial"/>
            </a:rPr>
            <a:t>ON</a:t>
          </a:r>
          <a:r>
            <a:rPr lang="en-US" cap="none" sz="1000" b="0" i="0" u="none" baseline="0">
              <a:solidFill>
                <a:srgbClr val="000000"/>
              </a:solidFill>
              <a:latin typeface="Arial"/>
              <a:ea typeface="Arial"/>
              <a:cs typeface="Arial"/>
            </a:rPr>
            <a:t> from standard value resistors. The selected value can be higher or lower than the recommended value in order to set a lower or higher frequency, respectively. The resulting nominal frequency is displayed in the next cell. 
</a:t>
          </a:r>
          <a:r>
            <a:rPr lang="en-US" cap="none" sz="1000" b="0" i="0" u="none" baseline="0">
              <a:solidFill>
                <a:srgbClr val="000000"/>
              </a:solidFill>
              <a:latin typeface="Arial"/>
              <a:ea typeface="Arial"/>
              <a:cs typeface="Arial"/>
            </a:rPr>
            <a:t>
</a:t>
          </a:r>
        </a:p>
      </xdr:txBody>
    </xdr:sp>
    <xdr:clientData/>
  </xdr:twoCellAnchor>
  <xdr:twoCellAnchor>
    <xdr:from>
      <xdr:col>0</xdr:col>
      <xdr:colOff>257175</xdr:colOff>
      <xdr:row>33</xdr:row>
      <xdr:rowOff>85725</xdr:rowOff>
    </xdr:from>
    <xdr:to>
      <xdr:col>11</xdr:col>
      <xdr:colOff>600075</xdr:colOff>
      <xdr:row>45</xdr:row>
      <xdr:rowOff>66675</xdr:rowOff>
    </xdr:to>
    <xdr:sp>
      <xdr:nvSpPr>
        <xdr:cNvPr id="4" name="Text Box 5"/>
        <xdr:cNvSpPr txBox="1">
          <a:spLocks noChangeArrowheads="1"/>
        </xdr:cNvSpPr>
      </xdr:nvSpPr>
      <xdr:spPr>
        <a:xfrm>
          <a:off x="257175" y="5562600"/>
          <a:ext cx="6838950" cy="1924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4. Inductor Value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recommended minimum inductor value is calculated using a ripple current amplitude equal to 20% of the maximum load current listed in Step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value for L1 from standard value inductors. Generally the selected value should be larger than the recommended value. The choice of inductor value affects the ripple current amplitude, which determines the load current at which the circuit's operation changes from continuous conduction mode to discontinuous conduction mode. The ripple current amplitude also affects the value of the load current where current limit becomes effective.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selected inductor should be rated for the peak inductor current when in current limit to ensure current runaway does not occur.
</a:t>
          </a:r>
          <a:r>
            <a:rPr lang="en-US" cap="none" sz="1000" b="0" i="0" u="none" baseline="0">
              <a:solidFill>
                <a:srgbClr val="000000"/>
              </a:solidFill>
              <a:latin typeface="Arial"/>
              <a:ea typeface="Arial"/>
              <a:cs typeface="Arial"/>
            </a:rPr>
            <a:t>
</a:t>
          </a:r>
        </a:p>
      </xdr:txBody>
    </xdr:sp>
    <xdr:clientData/>
  </xdr:twoCellAnchor>
  <xdr:twoCellAnchor>
    <xdr:from>
      <xdr:col>0</xdr:col>
      <xdr:colOff>257175</xdr:colOff>
      <xdr:row>45</xdr:row>
      <xdr:rowOff>142875</xdr:rowOff>
    </xdr:from>
    <xdr:to>
      <xdr:col>11</xdr:col>
      <xdr:colOff>600075</xdr:colOff>
      <xdr:row>50</xdr:row>
      <xdr:rowOff>114300</xdr:rowOff>
    </xdr:to>
    <xdr:sp>
      <xdr:nvSpPr>
        <xdr:cNvPr id="5" name="Text Box 6"/>
        <xdr:cNvSpPr txBox="1">
          <a:spLocks noChangeArrowheads="1"/>
        </xdr:cNvSpPr>
      </xdr:nvSpPr>
      <xdr:spPr>
        <a:xfrm>
          <a:off x="257175" y="7562850"/>
          <a:ext cx="683895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5. Current Limit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range of load currents at which current limit takes effect are calculated and displayed based on the minimum, typical, and maximum Current Limit Threshold specifications in the datasheet. If the current limit must be increased see the data sheet for the procedure.
</a:t>
          </a:r>
          <a:r>
            <a:rPr lang="en-US" cap="none" sz="1000" b="0" i="0" u="none" baseline="0">
              <a:solidFill>
                <a:srgbClr val="000000"/>
              </a:solidFill>
              <a:latin typeface="Arial"/>
              <a:ea typeface="Arial"/>
              <a:cs typeface="Arial"/>
            </a:rPr>
            <a:t>
</a:t>
          </a:r>
        </a:p>
      </xdr:txBody>
    </xdr:sp>
    <xdr:clientData/>
  </xdr:twoCellAnchor>
  <xdr:twoCellAnchor>
    <xdr:from>
      <xdr:col>0</xdr:col>
      <xdr:colOff>257175</xdr:colOff>
      <xdr:row>51</xdr:row>
      <xdr:rowOff>9525</xdr:rowOff>
    </xdr:from>
    <xdr:to>
      <xdr:col>11</xdr:col>
      <xdr:colOff>600075</xdr:colOff>
      <xdr:row>54</xdr:row>
      <xdr:rowOff>95250</xdr:rowOff>
    </xdr:to>
    <xdr:sp>
      <xdr:nvSpPr>
        <xdr:cNvPr id="6" name="Text Box 7"/>
        <xdr:cNvSpPr txBox="1">
          <a:spLocks noChangeArrowheads="1"/>
        </xdr:cNvSpPr>
      </xdr:nvSpPr>
      <xdr:spPr>
        <a:xfrm>
          <a:off x="257175" y="8401050"/>
          <a:ext cx="6838950"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6. Soft-Start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a value for the desired soft-start time. A recommended value for Css is displayed. Select the closest available value for Css from a standard available values.
</a:t>
          </a:r>
          <a:r>
            <a:rPr lang="en-US" cap="none" sz="1000" b="0" i="0" u="none" baseline="0">
              <a:solidFill>
                <a:srgbClr val="000000"/>
              </a:solidFill>
              <a:latin typeface="Arial"/>
              <a:ea typeface="Arial"/>
              <a:cs typeface="Arial"/>
            </a:rPr>
            <a:t>
</a:t>
          </a:r>
        </a:p>
      </xdr:txBody>
    </xdr:sp>
    <xdr:clientData/>
  </xdr:twoCellAnchor>
  <xdr:twoCellAnchor>
    <xdr:from>
      <xdr:col>0</xdr:col>
      <xdr:colOff>257175</xdr:colOff>
      <xdr:row>55</xdr:row>
      <xdr:rowOff>66675</xdr:rowOff>
    </xdr:from>
    <xdr:to>
      <xdr:col>11</xdr:col>
      <xdr:colOff>600075</xdr:colOff>
      <xdr:row>89</xdr:row>
      <xdr:rowOff>133350</xdr:rowOff>
    </xdr:to>
    <xdr:sp>
      <xdr:nvSpPr>
        <xdr:cNvPr id="7" name="Text Box 8"/>
        <xdr:cNvSpPr txBox="1">
          <a:spLocks noChangeArrowheads="1"/>
        </xdr:cNvSpPr>
      </xdr:nvSpPr>
      <xdr:spPr>
        <a:xfrm>
          <a:off x="257175" y="9105900"/>
          <a:ext cx="6838950" cy="5572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7. Output Ripple Configuration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LM5010A requires a ripple voltage be supplied to the FB pin, in phase with the switching waveform at the SW pin, to properly switch the internal regulation comparator. In Type 1 and Type 2 Configurations, the ripple is generated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by passing the inductor's ripple current through a low value resistor (R3). That ripple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then supplied to the FB pin via the feedback resistors. In the Type 3 configuration, a ripple waveform is instead generated by RA and CA, and supplied to the FB pin via CB. In this configuration the ripple voltage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minimal, determined primarily by the characteristics of the output capacitor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Type 1 and Type 2 configurations are suitable for applications where some amount of output ripple voltage (up to a few hundred millivolts p-p) is acceptable. In applications where that amount of ripple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unacceptable, or where the output voltage is provided to distributed capacitance around a PC board, then Type 3 configuration must be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Type 1 Configuration is the least expensive (requires R3), but produces the largest ripple amplitude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Type 2 Configuration requires one additional capacitor (Cff) compared to Type 1, but produces less ripple than Type 1.
</a:t>
          </a:r>
          <a:r>
            <a:rPr lang="en-US" cap="none" sz="1000" b="0" i="0" u="none" baseline="0">
              <a:solidFill>
                <a:srgbClr val="000000"/>
              </a:solidFill>
              <a:latin typeface="Arial"/>
              <a:ea typeface="Arial"/>
              <a:cs typeface="Arial"/>
            </a:rPr>
            <a:t>- Type 3 Configuration requires two additional capacitors (CA, CB) compared to Type 1, and uses RA instead of R3, but produces the least amount of ripple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Choose the desired Configuration using the pull-down menu. Then:
</a:t>
          </a:r>
          <a:r>
            <a:rPr lang="en-US" cap="none" sz="1000" b="0" i="0" u="none" baseline="0">
              <a:solidFill>
                <a:srgbClr val="000000"/>
              </a:solidFill>
              <a:latin typeface="Arial"/>
              <a:ea typeface="Arial"/>
              <a:cs typeface="Arial"/>
            </a:rPr>
            <a:t>- For Type 1 enter a value for R3 equal to, or larger, than the recommended value.
</a:t>
          </a:r>
          <a:r>
            <a:rPr lang="en-US" cap="none" sz="1000" b="0" i="0" u="none" baseline="0">
              <a:solidFill>
                <a:srgbClr val="000000"/>
              </a:solidFill>
              <a:latin typeface="Arial"/>
              <a:ea typeface="Arial"/>
              <a:cs typeface="Arial"/>
            </a:rPr>
            <a:t>- For Type 2, enter a value equal to, or larger, than the recommended values for R3 and Cff.
</a:t>
          </a:r>
          <a:r>
            <a:rPr lang="en-US" cap="none" sz="1000" b="0" i="0" u="none" baseline="0">
              <a:solidFill>
                <a:srgbClr val="000000"/>
              </a:solidFill>
              <a:latin typeface="Arial"/>
              <a:ea typeface="Arial"/>
              <a:cs typeface="Arial"/>
            </a:rPr>
            <a:t>- For Type 3 enter a value equal to, or smaller, than the recommended value for RA. Default values for CA and CB are automatically provided.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minimum recommended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displayed, based on a maximum of 10 mVp-p across a ceramic capacitor. Enter a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equal to, or larger, than the recommended value. Other system considerations, such as transient response or start-up time, may determine the optimum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 low ESR ceramic capacitor is recommended.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Maximum Ripple Voltage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is calculated and displayed. For Type 1 and Type 2 the calculation uses the Maximum Ripple Current Amplitude (Step 4) and the selected value for R3. For Type 3 the calculation uses the Maximum Ripple Current Amplitude and the selected value for 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assuming the use of a ceramic capacitor. Use of a different type of capacitor, with higher ESR, results in higher ripple at V</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a:t>
          </a:r>
        </a:p>
      </xdr:txBody>
    </xdr:sp>
    <xdr:clientData/>
  </xdr:twoCellAnchor>
  <xdr:twoCellAnchor>
    <xdr:from>
      <xdr:col>0</xdr:col>
      <xdr:colOff>247650</xdr:colOff>
      <xdr:row>90</xdr:row>
      <xdr:rowOff>38100</xdr:rowOff>
    </xdr:from>
    <xdr:to>
      <xdr:col>11</xdr:col>
      <xdr:colOff>600075</xdr:colOff>
      <xdr:row>93</xdr:row>
      <xdr:rowOff>142875</xdr:rowOff>
    </xdr:to>
    <xdr:sp>
      <xdr:nvSpPr>
        <xdr:cNvPr id="8" name="Text Box 9"/>
        <xdr:cNvSpPr txBox="1">
          <a:spLocks noChangeArrowheads="1"/>
        </xdr:cNvSpPr>
      </xdr:nvSpPr>
      <xdr:spPr>
        <a:xfrm>
          <a:off x="247650" y="14744700"/>
          <a:ext cx="6848475" cy="590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8. Input Capacitor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Minimum Recommended Value for C</a:t>
          </a:r>
          <a:r>
            <a:rPr lang="en-US" cap="none" sz="1000" b="0" i="0" u="none" baseline="-25000">
              <a:solidFill>
                <a:srgbClr val="000000"/>
              </a:solidFill>
              <a:latin typeface="Arial"/>
              <a:ea typeface="Arial"/>
              <a:cs typeface="Arial"/>
            </a:rPr>
            <a:t>IN</a:t>
          </a:r>
          <a:r>
            <a:rPr lang="en-US" cap="none" sz="1000" b="0" i="0" u="none" baseline="0">
              <a:solidFill>
                <a:srgbClr val="000000"/>
              </a:solidFill>
              <a:latin typeface="Arial"/>
              <a:ea typeface="Arial"/>
              <a:cs typeface="Arial"/>
            </a:rPr>
            <a:t> is calculated based on a maximum ripple voltage of 0.5V at VIN. A higher input ripple voltage is acceptable as long as the lower peak of the ripple waveform does not reach the V</a:t>
          </a:r>
          <a:r>
            <a:rPr lang="en-US" cap="none" sz="1000" b="0" i="0" u="none" baseline="-25000">
              <a:solidFill>
                <a:srgbClr val="000000"/>
              </a:solidFill>
              <a:latin typeface="Arial"/>
              <a:ea typeface="Arial"/>
              <a:cs typeface="Arial"/>
            </a:rPr>
            <a:t>CC</a:t>
          </a:r>
          <a:r>
            <a:rPr lang="en-US" cap="none" sz="1000" b="0" i="0" u="none" baseline="0">
              <a:solidFill>
                <a:srgbClr val="000000"/>
              </a:solidFill>
              <a:latin typeface="Arial"/>
              <a:ea typeface="Arial"/>
              <a:cs typeface="Arial"/>
            </a:rPr>
            <a:t> UVLO threshold.</a:t>
          </a:r>
        </a:p>
      </xdr:txBody>
    </xdr:sp>
    <xdr:clientData/>
  </xdr:twoCellAnchor>
  <xdr:twoCellAnchor>
    <xdr:from>
      <xdr:col>0</xdr:col>
      <xdr:colOff>247650</xdr:colOff>
      <xdr:row>94</xdr:row>
      <xdr:rowOff>85725</xdr:rowOff>
    </xdr:from>
    <xdr:to>
      <xdr:col>11</xdr:col>
      <xdr:colOff>600075</xdr:colOff>
      <xdr:row>100</xdr:row>
      <xdr:rowOff>57150</xdr:rowOff>
    </xdr:to>
    <xdr:sp>
      <xdr:nvSpPr>
        <xdr:cNvPr id="9" name="Text Box 10"/>
        <xdr:cNvSpPr txBox="1">
          <a:spLocks noChangeArrowheads="1"/>
        </xdr:cNvSpPr>
      </xdr:nvSpPr>
      <xdr:spPr>
        <a:xfrm>
          <a:off x="247650" y="15440025"/>
          <a:ext cx="6848475" cy="942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9. Summary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lists all the component values determined in Steps 2 through 8. The values shown for C</a:t>
          </a:r>
          <a:r>
            <a:rPr lang="en-US" cap="none" sz="1000" b="0" i="0" u="none" baseline="-25000">
              <a:solidFill>
                <a:srgbClr val="000000"/>
              </a:solidFill>
              <a:latin typeface="Arial"/>
              <a:ea typeface="Arial"/>
              <a:cs typeface="Arial"/>
            </a:rPr>
            <a:t>BYP</a:t>
          </a:r>
          <a:r>
            <a:rPr lang="en-US" cap="none" sz="1000" b="0" i="0" u="none" baseline="0">
              <a:solidFill>
                <a:srgbClr val="000000"/>
              </a:solidFill>
              <a:latin typeface="Arial"/>
              <a:ea typeface="Arial"/>
              <a:cs typeface="Arial"/>
            </a:rPr>
            <a:t> (adjacent to the VIN pin), C</a:t>
          </a:r>
          <a:r>
            <a:rPr lang="en-US" cap="none" sz="1000" b="0" i="0" u="none" baseline="-25000">
              <a:solidFill>
                <a:srgbClr val="000000"/>
              </a:solidFill>
              <a:latin typeface="Arial"/>
              <a:ea typeface="Arial"/>
              <a:cs typeface="Arial"/>
            </a:rPr>
            <a:t>VCC</a:t>
          </a:r>
          <a:r>
            <a:rPr lang="en-US" cap="none" sz="1000" b="0" i="0" u="none" baseline="0">
              <a:solidFill>
                <a:srgbClr val="000000"/>
              </a:solidFill>
              <a:latin typeface="Arial"/>
              <a:ea typeface="Arial"/>
              <a:cs typeface="Arial"/>
            </a:rPr>
            <a:t> (at the VCC pin), and C</a:t>
          </a:r>
          <a:r>
            <a:rPr lang="en-US" cap="none" sz="1000" b="0" i="0" u="none" baseline="-25000">
              <a:solidFill>
                <a:srgbClr val="000000"/>
              </a:solidFill>
              <a:latin typeface="Arial"/>
              <a:ea typeface="Arial"/>
              <a:cs typeface="Arial"/>
            </a:rPr>
            <a:t>BST</a:t>
          </a:r>
          <a:r>
            <a:rPr lang="en-US" cap="none" sz="1000" b="0" i="0" u="none" baseline="0">
              <a:solidFill>
                <a:srgbClr val="000000"/>
              </a:solidFill>
              <a:latin typeface="Arial"/>
              <a:ea typeface="Arial"/>
              <a:cs typeface="Arial"/>
            </a:rPr>
            <a:t> (at the BST pin) are default values requiring no calculations.
</a:t>
          </a:r>
          <a:r>
            <a:rPr lang="en-US" cap="none" sz="1000" b="0" i="0" u="none" baseline="0">
              <a:solidFill>
                <a:srgbClr val="000000"/>
              </a:solidFill>
              <a:latin typeface="Arial"/>
              <a:ea typeface="Arial"/>
              <a:cs typeface="Arial"/>
            </a:rPr>
            <a:t>A Schottky diode is recommended for D1. Ultra-fast diodes are not recommended. The diode must be rated for the maximum input voltage, and the maximum current limit value.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66675</xdr:rowOff>
    </xdr:from>
    <xdr:to>
      <xdr:col>6</xdr:col>
      <xdr:colOff>352425</xdr:colOff>
      <xdr:row>7</xdr:row>
      <xdr:rowOff>95250</xdr:rowOff>
    </xdr:to>
    <xdr:sp>
      <xdr:nvSpPr>
        <xdr:cNvPr id="1" name="Text Box 1"/>
        <xdr:cNvSpPr txBox="1">
          <a:spLocks noChangeArrowheads="1"/>
        </xdr:cNvSpPr>
      </xdr:nvSpPr>
      <xdr:spPr>
        <a:xfrm>
          <a:off x="352425" y="457200"/>
          <a:ext cx="5981700" cy="8382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0000"/>
              </a:solidFill>
              <a:latin typeface="Arial"/>
              <a:ea typeface="Arial"/>
              <a:cs typeface="Arial"/>
            </a:rPr>
            <a:t>Note:  The components calculated in this worksheet are reasonable starting values for a design using the LM5010A buck regulator.  They are not optimized for any particular performance attribute. Tolerances of the external components are not included in the calculations. See the Instructions worksheet for additional information.</a:t>
          </a:r>
        </a:p>
      </xdr:txBody>
    </xdr:sp>
    <xdr:clientData/>
  </xdr:twoCellAnchor>
  <xdr:twoCellAnchor>
    <xdr:from>
      <xdr:col>27</xdr:col>
      <xdr:colOff>0</xdr:colOff>
      <xdr:row>115</xdr:row>
      <xdr:rowOff>57150</xdr:rowOff>
    </xdr:from>
    <xdr:to>
      <xdr:col>30</xdr:col>
      <xdr:colOff>0</xdr:colOff>
      <xdr:row>120</xdr:row>
      <xdr:rowOff>104775</xdr:rowOff>
    </xdr:to>
    <xdr:sp>
      <xdr:nvSpPr>
        <xdr:cNvPr id="2" name="Text Box 9"/>
        <xdr:cNvSpPr txBox="1">
          <a:spLocks noChangeArrowheads="1"/>
        </xdr:cNvSpPr>
      </xdr:nvSpPr>
      <xdr:spPr>
        <a:xfrm>
          <a:off x="13515975" y="19945350"/>
          <a:ext cx="0" cy="857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Fs(max) = </a:t>
          </a:r>
          <a:r>
            <a:rPr lang="en-US" cap="none" sz="1000" b="0" i="0" u="sng" baseline="0">
              <a:solidFill>
                <a:srgbClr val="000000"/>
              </a:solidFill>
              <a:latin typeface="Arial"/>
              <a:ea typeface="Arial"/>
              <a:cs typeface="Arial"/>
            </a:rPr>
            <a:t>           Vout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Vin(max) x 150 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Fs(max) = </a:t>
          </a:r>
          <a:r>
            <a:rPr lang="en-US" cap="none" sz="1000" b="0" i="0" u="sng" baseline="0">
              <a:solidFill>
                <a:srgbClr val="000000"/>
              </a:solidFill>
              <a:latin typeface="Arial"/>
              <a:ea typeface="Arial"/>
              <a:cs typeface="Arial"/>
            </a:rPr>
            <a:t>  (Vin(min) - Vout)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Vin(min) x 300 ns</a:t>
          </a:r>
        </a:p>
      </xdr:txBody>
    </xdr:sp>
    <xdr:clientData/>
  </xdr:twoCellAnchor>
  <xdr:twoCellAnchor>
    <xdr:from>
      <xdr:col>23</xdr:col>
      <xdr:colOff>123825</xdr:colOff>
      <xdr:row>111</xdr:row>
      <xdr:rowOff>19050</xdr:rowOff>
    </xdr:from>
    <xdr:to>
      <xdr:col>26</xdr:col>
      <xdr:colOff>0</xdr:colOff>
      <xdr:row>115</xdr:row>
      <xdr:rowOff>28575</xdr:rowOff>
    </xdr:to>
    <xdr:sp>
      <xdr:nvSpPr>
        <xdr:cNvPr id="3" name="Text Box 12"/>
        <xdr:cNvSpPr txBox="1">
          <a:spLocks noChangeArrowheads="1"/>
        </xdr:cNvSpPr>
      </xdr:nvSpPr>
      <xdr:spPr>
        <a:xfrm>
          <a:off x="13515975" y="19221450"/>
          <a:ext cx="0" cy="69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Rfb2/Rfb1 = (Vout/Vref)-1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Vout = </a:t>
          </a:r>
          <a:r>
            <a:rPr lang="en-US" cap="none" sz="1000" b="0" i="0" u="sng" baseline="0">
              <a:solidFill>
                <a:srgbClr val="000000"/>
              </a:solidFill>
              <a:latin typeface="Arial"/>
              <a:ea typeface="Arial"/>
              <a:cs typeface="Arial"/>
            </a:rPr>
            <a:t>  Vref x (Rfb2 + Rfb1)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Rfb1</a:t>
          </a:r>
        </a:p>
      </xdr:txBody>
    </xdr:sp>
    <xdr:clientData/>
  </xdr:twoCellAnchor>
  <xdr:twoCellAnchor>
    <xdr:from>
      <xdr:col>23</xdr:col>
      <xdr:colOff>133350</xdr:colOff>
      <xdr:row>115</xdr:row>
      <xdr:rowOff>47625</xdr:rowOff>
    </xdr:from>
    <xdr:to>
      <xdr:col>27</xdr:col>
      <xdr:colOff>0</xdr:colOff>
      <xdr:row>124</xdr:row>
      <xdr:rowOff>38100</xdr:rowOff>
    </xdr:to>
    <xdr:sp>
      <xdr:nvSpPr>
        <xdr:cNvPr id="4" name="Text Box 16"/>
        <xdr:cNvSpPr txBox="1">
          <a:spLocks noChangeArrowheads="1"/>
        </xdr:cNvSpPr>
      </xdr:nvSpPr>
      <xdr:spPr>
        <a:xfrm>
          <a:off x="13515975" y="19935825"/>
          <a:ext cx="0" cy="1447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Ron = </a:t>
          </a:r>
          <a:r>
            <a:rPr lang="en-US" cap="none" sz="1000" b="0" i="0" u="sng" baseline="0">
              <a:solidFill>
                <a:srgbClr val="000000"/>
              </a:solidFill>
              <a:latin typeface="Arial"/>
              <a:ea typeface="Arial"/>
              <a:cs typeface="Arial"/>
            </a:rPr>
            <a:t>  Vout x (Vin - 1.4V)       </a:t>
          </a:r>
          <a:r>
            <a:rPr lang="en-US" cap="none" sz="1000" b="0" i="0" u="none" baseline="0">
              <a:solidFill>
                <a:srgbClr val="000000"/>
              </a:solidFill>
              <a:latin typeface="Arial"/>
              <a:ea typeface="Arial"/>
              <a:cs typeface="Arial"/>
            </a:rPr>
            <a:t>  -  1.4k
</a:t>
          </a:r>
          <a:r>
            <a:rPr lang="en-US" cap="none" sz="1000" b="0" i="0" u="none" baseline="0">
              <a:solidFill>
                <a:srgbClr val="000000"/>
              </a:solidFill>
              <a:latin typeface="Arial"/>
              <a:ea typeface="Arial"/>
              <a:cs typeface="Arial"/>
            </a:rPr>
            <a:t>           1.18 x 10</a:t>
          </a:r>
          <a:r>
            <a:rPr lang="en-US" cap="none" sz="1000" b="0" i="0" u="none" baseline="30000">
              <a:solidFill>
                <a:srgbClr val="000000"/>
              </a:solidFill>
              <a:latin typeface="Arial"/>
              <a:ea typeface="Arial"/>
              <a:cs typeface="Arial"/>
            </a:rPr>
            <a:t>-10</a:t>
          </a:r>
          <a:r>
            <a:rPr lang="en-US" cap="none" sz="1000" b="0" i="0" u="none" baseline="0">
              <a:solidFill>
                <a:srgbClr val="000000"/>
              </a:solidFill>
              <a:latin typeface="Arial"/>
              <a:ea typeface="Arial"/>
              <a:cs typeface="Arial"/>
            </a:rPr>
            <a:t>  x  Fs x Vin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Fs = </a:t>
          </a:r>
          <a:r>
            <a:rPr lang="en-US" cap="none" sz="1000" b="0" i="0" u="sng" baseline="0">
              <a:solidFill>
                <a:srgbClr val="000000"/>
              </a:solidFill>
              <a:latin typeface="Arial"/>
              <a:ea typeface="Arial"/>
              <a:cs typeface="Arial"/>
            </a:rPr>
            <a:t>         Vout x (Vin - 1.4V)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1.18 x 10</a:t>
          </a:r>
          <a:r>
            <a:rPr lang="en-US" cap="none" sz="1000" b="0" i="0" u="none" baseline="30000">
              <a:solidFill>
                <a:srgbClr val="000000"/>
              </a:solidFill>
              <a:latin typeface="Arial"/>
              <a:ea typeface="Arial"/>
              <a:cs typeface="Arial"/>
            </a:rPr>
            <a:t>-10</a:t>
          </a:r>
          <a:r>
            <a:rPr lang="en-US" cap="none" sz="1000" b="0" i="0" u="none" baseline="0">
              <a:solidFill>
                <a:srgbClr val="000000"/>
              </a:solidFill>
              <a:latin typeface="Arial"/>
              <a:ea typeface="Arial"/>
              <a:cs typeface="Arial"/>
            </a:rPr>
            <a:t>  x  (Ron + 1.4k) x Vin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t>
          </a:r>
          <a:r>
            <a:rPr lang="en-US" cap="none" sz="1000" b="0" i="0" u="none" baseline="-25000">
              <a:solidFill>
                <a:srgbClr val="000000"/>
              </a:solidFill>
              <a:latin typeface="Arial"/>
              <a:ea typeface="Arial"/>
              <a:cs typeface="Arial"/>
            </a:rPr>
            <a:t>ON</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1.18 x 10</a:t>
          </a:r>
          <a:r>
            <a:rPr lang="en-US" cap="none" sz="1000" b="0" i="0" u="sng" baseline="30000">
              <a:solidFill>
                <a:srgbClr val="000000"/>
              </a:solidFill>
              <a:latin typeface="Arial"/>
              <a:ea typeface="Arial"/>
              <a:cs typeface="Arial"/>
            </a:rPr>
            <a:t>-10</a:t>
          </a:r>
          <a:r>
            <a:rPr lang="en-US" cap="none" sz="1000" b="0" i="0" u="sng" baseline="0">
              <a:solidFill>
                <a:srgbClr val="000000"/>
              </a:solidFill>
              <a:latin typeface="Arial"/>
              <a:ea typeface="Arial"/>
              <a:cs typeface="Arial"/>
            </a:rPr>
            <a:t>  x  (Ron + 1.4k) </a:t>
          </a:r>
          <a:r>
            <a:rPr lang="en-US" cap="none" sz="1000" b="0" i="0" u="none" baseline="0">
              <a:solidFill>
                <a:srgbClr val="000000"/>
              </a:solidFill>
              <a:latin typeface="Arial"/>
              <a:ea typeface="Arial"/>
              <a:cs typeface="Arial"/>
            </a:rPr>
            <a:t> + 67ns
</a:t>
          </a:r>
          <a:r>
            <a:rPr lang="en-US" cap="none" sz="1000" b="0" i="0" u="none" baseline="0">
              <a:solidFill>
                <a:srgbClr val="000000"/>
              </a:solidFill>
              <a:latin typeface="Arial"/>
              <a:ea typeface="Arial"/>
              <a:cs typeface="Arial"/>
            </a:rPr>
            <a:t>                    (Vin - 1.4V)</a:t>
          </a:r>
        </a:p>
      </xdr:txBody>
    </xdr:sp>
    <xdr:clientData/>
  </xdr:twoCellAnchor>
  <xdr:twoCellAnchor>
    <xdr:from>
      <xdr:col>23</xdr:col>
      <xdr:colOff>133350</xdr:colOff>
      <xdr:row>125</xdr:row>
      <xdr:rowOff>19050</xdr:rowOff>
    </xdr:from>
    <xdr:to>
      <xdr:col>26</xdr:col>
      <xdr:colOff>0</xdr:colOff>
      <xdr:row>130</xdr:row>
      <xdr:rowOff>114300</xdr:rowOff>
    </xdr:to>
    <xdr:sp>
      <xdr:nvSpPr>
        <xdr:cNvPr id="5" name="Text Box 18"/>
        <xdr:cNvSpPr txBox="1">
          <a:spLocks noChangeArrowheads="1"/>
        </xdr:cNvSpPr>
      </xdr:nvSpPr>
      <xdr:spPr>
        <a:xfrm>
          <a:off x="13515975" y="21526500"/>
          <a:ext cx="0"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L1 = </a:t>
          </a:r>
          <a:r>
            <a:rPr lang="en-US" cap="none" sz="1000" b="0" i="0" u="sng" baseline="0">
              <a:solidFill>
                <a:srgbClr val="000000"/>
              </a:solidFill>
              <a:latin typeface="Arial"/>
              <a:ea typeface="Arial"/>
              <a:cs typeface="Arial"/>
            </a:rPr>
            <a:t>  Vout x (Vin - Vout)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Ior x Fs x Vin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Ior = </a:t>
          </a:r>
          <a:r>
            <a:rPr lang="en-US" cap="none" sz="1000" b="0" i="0" u="sng" baseline="0">
              <a:solidFill>
                <a:srgbClr val="000000"/>
              </a:solidFill>
              <a:latin typeface="Arial"/>
              <a:ea typeface="Arial"/>
              <a:cs typeface="Arial"/>
            </a:rPr>
            <a:t>  Vout x (Vin-Vout)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L1 x Fs x Vin</a:t>
          </a:r>
        </a:p>
      </xdr:txBody>
    </xdr:sp>
    <xdr:clientData/>
  </xdr:twoCellAnchor>
  <xdr:twoCellAnchor>
    <xdr:from>
      <xdr:col>7</xdr:col>
      <xdr:colOff>228600</xdr:colOff>
      <xdr:row>53</xdr:row>
      <xdr:rowOff>9525</xdr:rowOff>
    </xdr:from>
    <xdr:to>
      <xdr:col>9</xdr:col>
      <xdr:colOff>19050</xdr:colOff>
      <xdr:row>56</xdr:row>
      <xdr:rowOff>76200</xdr:rowOff>
    </xdr:to>
    <xdr:sp>
      <xdr:nvSpPr>
        <xdr:cNvPr id="6" name="Text Box 28"/>
        <xdr:cNvSpPr txBox="1">
          <a:spLocks noChangeArrowheads="1"/>
        </xdr:cNvSpPr>
      </xdr:nvSpPr>
      <xdr:spPr>
        <a:xfrm>
          <a:off x="6819900" y="9153525"/>
          <a:ext cx="1009650"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Type 1
</a:t>
          </a:r>
          <a:r>
            <a:rPr lang="en-US" cap="none" sz="1000" b="1" i="0" u="none" baseline="0">
              <a:solidFill>
                <a:srgbClr val="0000FF"/>
              </a:solidFill>
              <a:latin typeface="Arial"/>
              <a:ea typeface="Arial"/>
              <a:cs typeface="Arial"/>
            </a:rPr>
            <a:t>Lowest Cost
</a:t>
          </a:r>
          <a:r>
            <a:rPr lang="en-US" cap="none" sz="1000" b="1" i="0" u="none" baseline="0">
              <a:solidFill>
                <a:srgbClr val="0000FF"/>
              </a:solidFill>
              <a:latin typeface="Arial"/>
              <a:ea typeface="Arial"/>
              <a:cs typeface="Arial"/>
            </a:rPr>
            <a:t>Configuration</a:t>
          </a:r>
        </a:p>
      </xdr:txBody>
    </xdr:sp>
    <xdr:clientData/>
  </xdr:twoCellAnchor>
  <xdr:twoCellAnchor>
    <xdr:from>
      <xdr:col>9</xdr:col>
      <xdr:colOff>609600</xdr:colOff>
      <xdr:row>53</xdr:row>
      <xdr:rowOff>9525</xdr:rowOff>
    </xdr:from>
    <xdr:to>
      <xdr:col>11</xdr:col>
      <xdr:colOff>295275</xdr:colOff>
      <xdr:row>56</xdr:row>
      <xdr:rowOff>76200</xdr:rowOff>
    </xdr:to>
    <xdr:sp>
      <xdr:nvSpPr>
        <xdr:cNvPr id="7" name="Text Box 29"/>
        <xdr:cNvSpPr txBox="1">
          <a:spLocks noChangeArrowheads="1"/>
        </xdr:cNvSpPr>
      </xdr:nvSpPr>
      <xdr:spPr>
        <a:xfrm>
          <a:off x="8420100" y="9153525"/>
          <a:ext cx="1123950"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Type 2
</a:t>
          </a:r>
          <a:r>
            <a:rPr lang="en-US" cap="none" sz="1000" b="1" i="0" u="none" baseline="0">
              <a:solidFill>
                <a:srgbClr val="0000FF"/>
              </a:solidFill>
              <a:latin typeface="Arial"/>
              <a:ea typeface="Arial"/>
              <a:cs typeface="Arial"/>
            </a:rPr>
            <a:t>Reduced Ripple
</a:t>
          </a:r>
          <a:r>
            <a:rPr lang="en-US" cap="none" sz="1000" b="1" i="0" u="none" baseline="0">
              <a:solidFill>
                <a:srgbClr val="0000FF"/>
              </a:solidFill>
              <a:latin typeface="Arial"/>
              <a:ea typeface="Arial"/>
              <a:cs typeface="Arial"/>
            </a:rPr>
            <a:t>Configuration</a:t>
          </a:r>
        </a:p>
      </xdr:txBody>
    </xdr:sp>
    <xdr:clientData/>
  </xdr:twoCellAnchor>
  <xdr:twoCellAnchor>
    <xdr:from>
      <xdr:col>12</xdr:col>
      <xdr:colOff>247650</xdr:colOff>
      <xdr:row>53</xdr:row>
      <xdr:rowOff>9525</xdr:rowOff>
    </xdr:from>
    <xdr:to>
      <xdr:col>14</xdr:col>
      <xdr:colOff>142875</xdr:colOff>
      <xdr:row>56</xdr:row>
      <xdr:rowOff>76200</xdr:rowOff>
    </xdr:to>
    <xdr:sp>
      <xdr:nvSpPr>
        <xdr:cNvPr id="8" name="Text Box 30"/>
        <xdr:cNvSpPr txBox="1">
          <a:spLocks noChangeArrowheads="1"/>
        </xdr:cNvSpPr>
      </xdr:nvSpPr>
      <xdr:spPr>
        <a:xfrm>
          <a:off x="10106025" y="9153525"/>
          <a:ext cx="1114425" cy="552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FF"/>
              </a:solidFill>
              <a:latin typeface="Arial"/>
              <a:ea typeface="Arial"/>
              <a:cs typeface="Arial"/>
            </a:rPr>
            <a:t>Type 3
</a:t>
          </a:r>
          <a:r>
            <a:rPr lang="en-US" cap="none" sz="1000" b="1" i="0" u="none" baseline="0">
              <a:solidFill>
                <a:srgbClr val="0000FF"/>
              </a:solidFill>
              <a:latin typeface="Arial"/>
              <a:ea typeface="Arial"/>
              <a:cs typeface="Arial"/>
            </a:rPr>
            <a:t>Minimum Ripple
</a:t>
          </a:r>
          <a:r>
            <a:rPr lang="en-US" cap="none" sz="1000" b="1" i="0" u="none" baseline="0">
              <a:solidFill>
                <a:srgbClr val="0000FF"/>
              </a:solidFill>
              <a:latin typeface="Arial"/>
              <a:ea typeface="Arial"/>
              <a:cs typeface="Arial"/>
            </a:rPr>
            <a:t>Configuration</a:t>
          </a:r>
        </a:p>
      </xdr:txBody>
    </xdr:sp>
    <xdr:clientData/>
  </xdr:twoCellAnchor>
  <xdr:twoCellAnchor>
    <xdr:from>
      <xdr:col>23</xdr:col>
      <xdr:colOff>114300</xdr:colOff>
      <xdr:row>152</xdr:row>
      <xdr:rowOff>142875</xdr:rowOff>
    </xdr:from>
    <xdr:to>
      <xdr:col>25</xdr:col>
      <xdr:colOff>0</xdr:colOff>
      <xdr:row>155</xdr:row>
      <xdr:rowOff>123825</xdr:rowOff>
    </xdr:to>
    <xdr:sp>
      <xdr:nvSpPr>
        <xdr:cNvPr id="9" name="Text Box 127"/>
        <xdr:cNvSpPr txBox="1">
          <a:spLocks noChangeArrowheads="1"/>
        </xdr:cNvSpPr>
      </xdr:nvSpPr>
      <xdr:spPr>
        <a:xfrm>
          <a:off x="13515975" y="26022300"/>
          <a:ext cx="0" cy="466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r>
            <a:rPr lang="en-US" cap="none" sz="1000" b="0" i="0" u="none" baseline="-25000">
              <a:solidFill>
                <a:srgbClr val="000000"/>
              </a:solidFill>
              <a:latin typeface="Arial"/>
              <a:ea typeface="Arial"/>
              <a:cs typeface="Arial"/>
            </a:rPr>
            <a:t>OUT</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Ior(max)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8 x Fs x Vripple</a:t>
          </a:r>
        </a:p>
      </xdr:txBody>
    </xdr:sp>
    <xdr:clientData/>
  </xdr:twoCellAnchor>
  <xdr:twoCellAnchor>
    <xdr:from>
      <xdr:col>23</xdr:col>
      <xdr:colOff>114300</xdr:colOff>
      <xdr:row>141</xdr:row>
      <xdr:rowOff>104775</xdr:rowOff>
    </xdr:from>
    <xdr:to>
      <xdr:col>25</xdr:col>
      <xdr:colOff>0</xdr:colOff>
      <xdr:row>144</xdr:row>
      <xdr:rowOff>28575</xdr:rowOff>
    </xdr:to>
    <xdr:sp>
      <xdr:nvSpPr>
        <xdr:cNvPr id="10" name="Text Box 128"/>
        <xdr:cNvSpPr txBox="1">
          <a:spLocks noChangeArrowheads="1"/>
        </xdr:cNvSpPr>
      </xdr:nvSpPr>
      <xdr:spPr>
        <a:xfrm>
          <a:off x="13515975" y="24203025"/>
          <a:ext cx="0" cy="409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Min Cff = </a:t>
          </a:r>
          <a:r>
            <a:rPr lang="en-US" cap="none" sz="1000" b="0" i="0" u="sng" baseline="0">
              <a:solidFill>
                <a:srgbClr val="000000"/>
              </a:solidFill>
              <a:latin typeface="Arial"/>
              <a:ea typeface="Arial"/>
              <a:cs typeface="Arial"/>
            </a:rPr>
            <a:t>  3 x Ton(max)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(Rfb1//Rfb2)</a:t>
          </a:r>
        </a:p>
      </xdr:txBody>
    </xdr:sp>
    <xdr:clientData/>
  </xdr:twoCellAnchor>
  <xdr:twoCellAnchor>
    <xdr:from>
      <xdr:col>23</xdr:col>
      <xdr:colOff>104775</xdr:colOff>
      <xdr:row>144</xdr:row>
      <xdr:rowOff>104775</xdr:rowOff>
    </xdr:from>
    <xdr:to>
      <xdr:col>26</xdr:col>
      <xdr:colOff>0</xdr:colOff>
      <xdr:row>152</xdr:row>
      <xdr:rowOff>0</xdr:rowOff>
    </xdr:to>
    <xdr:sp>
      <xdr:nvSpPr>
        <xdr:cNvPr id="11" name="Text Box 129"/>
        <xdr:cNvSpPr txBox="1">
          <a:spLocks noChangeArrowheads="1"/>
        </xdr:cNvSpPr>
      </xdr:nvSpPr>
      <xdr:spPr>
        <a:xfrm>
          <a:off x="13515975" y="24688800"/>
          <a:ext cx="0"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Va = Vout - (0.65 x (1 - </a:t>
          </a:r>
          <a:r>
            <a:rPr lang="en-US" cap="none" sz="1000" b="0" i="0" u="sng" baseline="0">
              <a:solidFill>
                <a:srgbClr val="000000"/>
              </a:solidFill>
              <a:latin typeface="Arial"/>
              <a:ea typeface="Arial"/>
              <a:cs typeface="Arial"/>
            </a:rPr>
            <a:t>   Vout  </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Vin(min)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 x CA = </a:t>
          </a:r>
          <a:r>
            <a:rPr lang="en-US" cap="none" sz="1000" b="0" i="0" u="sng" baseline="0">
              <a:solidFill>
                <a:srgbClr val="000000"/>
              </a:solidFill>
              <a:latin typeface="Arial"/>
              <a:ea typeface="Arial"/>
              <a:cs typeface="Arial"/>
            </a:rPr>
            <a:t>(Vin(min) - Va)  x  ton(max)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30 mV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 = (RA x CA)/(3300 pF)</a:t>
          </a:r>
        </a:p>
      </xdr:txBody>
    </xdr:sp>
    <xdr:clientData/>
  </xdr:twoCellAnchor>
  <xdr:twoCellAnchor>
    <xdr:from>
      <xdr:col>23</xdr:col>
      <xdr:colOff>123825</xdr:colOff>
      <xdr:row>157</xdr:row>
      <xdr:rowOff>0</xdr:rowOff>
    </xdr:from>
    <xdr:to>
      <xdr:col>26</xdr:col>
      <xdr:colOff>0</xdr:colOff>
      <xdr:row>158</xdr:row>
      <xdr:rowOff>66675</xdr:rowOff>
    </xdr:to>
    <xdr:sp>
      <xdr:nvSpPr>
        <xdr:cNvPr id="12" name="Text Box 130"/>
        <xdr:cNvSpPr txBox="1">
          <a:spLocks noChangeArrowheads="1"/>
        </xdr:cNvSpPr>
      </xdr:nvSpPr>
      <xdr:spPr>
        <a:xfrm>
          <a:off x="13515975" y="26689050"/>
          <a:ext cx="0" cy="228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Cin =  Io(max) x Ton(max)/0.5V</a:t>
          </a:r>
        </a:p>
      </xdr:txBody>
    </xdr:sp>
    <xdr:clientData/>
  </xdr:twoCellAnchor>
  <xdr:twoCellAnchor>
    <xdr:from>
      <xdr:col>23</xdr:col>
      <xdr:colOff>104775</xdr:colOff>
      <xdr:row>135</xdr:row>
      <xdr:rowOff>123825</xdr:rowOff>
    </xdr:from>
    <xdr:to>
      <xdr:col>25</xdr:col>
      <xdr:colOff>0</xdr:colOff>
      <xdr:row>137</xdr:row>
      <xdr:rowOff>152400</xdr:rowOff>
    </xdr:to>
    <xdr:sp>
      <xdr:nvSpPr>
        <xdr:cNvPr id="13" name="Text Box 150"/>
        <xdr:cNvSpPr txBox="1">
          <a:spLocks noChangeArrowheads="1"/>
        </xdr:cNvSpPr>
      </xdr:nvSpPr>
      <xdr:spPr>
        <a:xfrm>
          <a:off x="13515975" y="23250525"/>
          <a:ext cx="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Css = </a:t>
          </a:r>
          <a:r>
            <a:rPr lang="en-US" cap="none" sz="1000" b="0" i="0" u="sng" baseline="0">
              <a:solidFill>
                <a:srgbClr val="000000"/>
              </a:solidFill>
              <a:latin typeface="Arial"/>
              <a:ea typeface="Arial"/>
              <a:cs typeface="Arial"/>
            </a:rPr>
            <a:t>  Tss  x  11.5uA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2.5V</a:t>
          </a:r>
        </a:p>
      </xdr:txBody>
    </xdr:sp>
    <xdr:clientData/>
  </xdr:twoCellAnchor>
  <xdr:twoCellAnchor>
    <xdr:from>
      <xdr:col>23</xdr:col>
      <xdr:colOff>95250</xdr:colOff>
      <xdr:row>132</xdr:row>
      <xdr:rowOff>0</xdr:rowOff>
    </xdr:from>
    <xdr:to>
      <xdr:col>25</xdr:col>
      <xdr:colOff>0</xdr:colOff>
      <xdr:row>134</xdr:row>
      <xdr:rowOff>95250</xdr:rowOff>
    </xdr:to>
    <xdr:sp>
      <xdr:nvSpPr>
        <xdr:cNvPr id="14" name="Text Box 170"/>
        <xdr:cNvSpPr txBox="1">
          <a:spLocks noChangeArrowheads="1"/>
        </xdr:cNvSpPr>
      </xdr:nvSpPr>
      <xdr:spPr>
        <a:xfrm>
          <a:off x="13515975" y="22640925"/>
          <a:ext cx="0" cy="419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Io at CL = Current Limit Threshold + 1/2 ripple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66"/>
  <sheetViews>
    <sheetView zoomScalePageLayoutView="0" workbookViewId="0" topLeftCell="A73">
      <selection activeCell="G4" sqref="G4"/>
    </sheetView>
  </sheetViews>
  <sheetFormatPr defaultColWidth="9.140625" defaultRowHeight="12.75"/>
  <cols>
    <col min="1" max="1" width="4.00390625" style="0" customWidth="1"/>
    <col min="3" max="3" width="11.140625" style="0" bestFit="1" customWidth="1"/>
  </cols>
  <sheetData>
    <row r="1" spans="1:26" ht="12.7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8">
      <c r="A2" s="16"/>
      <c r="B2" s="1" t="s">
        <v>138</v>
      </c>
      <c r="C2" s="16"/>
      <c r="D2" s="16"/>
      <c r="E2" s="16"/>
      <c r="F2" s="16"/>
      <c r="G2" s="16"/>
      <c r="H2" s="16"/>
      <c r="I2" s="16"/>
      <c r="J2" s="16"/>
      <c r="K2" s="16"/>
      <c r="L2" s="16"/>
      <c r="M2" s="16"/>
      <c r="N2" s="16"/>
      <c r="O2" s="16"/>
      <c r="P2" s="16"/>
      <c r="Q2" s="16"/>
      <c r="R2" s="16"/>
      <c r="S2" s="16"/>
      <c r="T2" s="16"/>
      <c r="U2" s="16"/>
      <c r="V2" s="16"/>
      <c r="W2" s="16"/>
      <c r="X2" s="16"/>
      <c r="Y2" s="16"/>
      <c r="Z2" s="16"/>
    </row>
    <row r="3" spans="1:26" ht="18">
      <c r="A3" s="16"/>
      <c r="B3" s="1" t="s">
        <v>77</v>
      </c>
      <c r="C3" s="16"/>
      <c r="D3" s="16"/>
      <c r="E3" s="55"/>
      <c r="F3" s="16"/>
      <c r="G3" s="16"/>
      <c r="H3" s="16"/>
      <c r="I3" s="16"/>
      <c r="J3" s="16"/>
      <c r="K3" s="16"/>
      <c r="L3" s="16"/>
      <c r="M3" s="16"/>
      <c r="N3" s="16"/>
      <c r="O3" s="16"/>
      <c r="P3" s="16"/>
      <c r="Q3" s="16"/>
      <c r="R3" s="16"/>
      <c r="S3" s="16"/>
      <c r="T3" s="16"/>
      <c r="U3" s="16"/>
      <c r="V3" s="16"/>
      <c r="W3" s="16"/>
      <c r="X3" s="16"/>
      <c r="Y3" s="16"/>
      <c r="Z3" s="16"/>
    </row>
    <row r="4" spans="1:26" ht="12.75">
      <c r="A4" s="16"/>
      <c r="B4" s="17" t="s">
        <v>70</v>
      </c>
      <c r="C4" s="18">
        <v>40016</v>
      </c>
      <c r="D4" s="16"/>
      <c r="E4" s="16"/>
      <c r="F4" s="16"/>
      <c r="G4" s="16"/>
      <c r="H4" s="16"/>
      <c r="I4" s="16"/>
      <c r="J4" s="16"/>
      <c r="K4" s="16"/>
      <c r="L4" s="16"/>
      <c r="M4" s="16"/>
      <c r="N4" s="16"/>
      <c r="O4" s="16"/>
      <c r="P4" s="16"/>
      <c r="Q4" s="16"/>
      <c r="R4" s="16"/>
      <c r="S4" s="16"/>
      <c r="T4" s="16"/>
      <c r="U4" s="16"/>
      <c r="V4" s="16"/>
      <c r="W4" s="16"/>
      <c r="X4" s="16"/>
      <c r="Y4" s="16"/>
      <c r="Z4" s="16"/>
    </row>
    <row r="5" spans="1:26" ht="12.75">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ht="12.75">
      <c r="A6" s="16"/>
      <c r="B6" s="15" t="s">
        <v>78</v>
      </c>
      <c r="C6" s="16"/>
      <c r="D6" s="16"/>
      <c r="E6" s="16"/>
      <c r="F6" s="16"/>
      <c r="G6" s="16"/>
      <c r="H6" s="16"/>
      <c r="I6" s="16"/>
      <c r="J6" s="16"/>
      <c r="K6" s="16"/>
      <c r="L6" s="16"/>
      <c r="M6" s="16"/>
      <c r="N6" s="16"/>
      <c r="O6" s="16"/>
      <c r="P6" s="16"/>
      <c r="Q6" s="16"/>
      <c r="R6" s="16"/>
      <c r="S6" s="16"/>
      <c r="T6" s="16"/>
      <c r="U6" s="16"/>
      <c r="V6" s="16"/>
      <c r="W6" s="16"/>
      <c r="X6" s="16"/>
      <c r="Y6" s="16"/>
      <c r="Z6" s="16"/>
    </row>
    <row r="7" spans="1:26" ht="12.75">
      <c r="A7" s="16"/>
      <c r="B7" s="15" t="s">
        <v>79</v>
      </c>
      <c r="C7" s="16"/>
      <c r="D7" s="16"/>
      <c r="E7" s="16"/>
      <c r="F7" s="16"/>
      <c r="G7" s="16"/>
      <c r="H7" s="16"/>
      <c r="I7" s="16"/>
      <c r="J7" s="16"/>
      <c r="K7" s="16"/>
      <c r="L7" s="16"/>
      <c r="M7" s="16"/>
      <c r="N7" s="16"/>
      <c r="O7" s="16"/>
      <c r="P7" s="16"/>
      <c r="Q7" s="16"/>
      <c r="R7" s="16"/>
      <c r="S7" s="16"/>
      <c r="T7" s="16"/>
      <c r="U7" s="16"/>
      <c r="V7" s="16"/>
      <c r="W7" s="16"/>
      <c r="X7" s="16"/>
      <c r="Y7" s="16"/>
      <c r="Z7" s="16"/>
    </row>
    <row r="8" spans="1:26" ht="12.75">
      <c r="A8" s="16"/>
      <c r="B8" s="16"/>
      <c r="C8" s="16"/>
      <c r="D8" s="16"/>
      <c r="E8" s="16"/>
      <c r="F8" s="16"/>
      <c r="G8" s="16"/>
      <c r="H8" s="16"/>
      <c r="I8" s="16"/>
      <c r="J8" s="16"/>
      <c r="K8" s="16"/>
      <c r="L8" s="16"/>
      <c r="M8" s="16"/>
      <c r="N8" s="16"/>
      <c r="O8" s="16"/>
      <c r="P8" s="16"/>
      <c r="Q8" s="16"/>
      <c r="R8" s="16"/>
      <c r="S8" s="16"/>
      <c r="T8" s="16"/>
      <c r="U8" s="16"/>
      <c r="V8" s="16"/>
      <c r="W8" s="16"/>
      <c r="X8" s="16"/>
      <c r="Y8" s="16"/>
      <c r="Z8" s="16"/>
    </row>
    <row r="9" spans="1:26" ht="12.75">
      <c r="A9" s="16"/>
      <c r="B9" s="16"/>
      <c r="C9" s="16"/>
      <c r="D9" s="16"/>
      <c r="E9" s="16"/>
      <c r="F9" s="16"/>
      <c r="G9" s="16"/>
      <c r="H9" s="16"/>
      <c r="I9" s="16"/>
      <c r="J9" s="16"/>
      <c r="K9" s="16"/>
      <c r="L9" s="16"/>
      <c r="M9" s="16"/>
      <c r="N9" s="17"/>
      <c r="O9" s="16"/>
      <c r="P9" s="16"/>
      <c r="Q9" s="16"/>
      <c r="R9" s="16"/>
      <c r="S9" s="16"/>
      <c r="T9" s="16"/>
      <c r="U9" s="16"/>
      <c r="V9" s="16"/>
      <c r="W9" s="16"/>
      <c r="X9" s="16"/>
      <c r="Y9" s="16"/>
      <c r="Z9" s="16"/>
    </row>
    <row r="10" spans="1:26" ht="12.75">
      <c r="A10" s="16"/>
      <c r="B10" s="16"/>
      <c r="C10" s="16"/>
      <c r="D10" s="16"/>
      <c r="E10" s="16"/>
      <c r="F10" s="16"/>
      <c r="G10" s="16"/>
      <c r="H10" s="16"/>
      <c r="I10" s="16"/>
      <c r="J10" s="16"/>
      <c r="K10" s="16"/>
      <c r="L10" s="16"/>
      <c r="M10" s="16"/>
      <c r="N10" s="18"/>
      <c r="O10" s="16"/>
      <c r="P10" s="16"/>
      <c r="Q10" s="16"/>
      <c r="R10" s="16"/>
      <c r="S10" s="16"/>
      <c r="T10" s="16"/>
      <c r="U10" s="16"/>
      <c r="V10" s="16"/>
      <c r="W10" s="16"/>
      <c r="X10" s="16"/>
      <c r="Y10" s="16"/>
      <c r="Z10" s="16"/>
    </row>
    <row r="11" spans="1:26" ht="12.7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2.7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2.7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2.7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9:26" ht="12.75">
      <c r="S132" s="3"/>
      <c r="T132" s="3"/>
      <c r="U132" s="3"/>
      <c r="V132" s="3"/>
      <c r="W132" s="3"/>
      <c r="X132" s="3"/>
      <c r="Y132" s="3"/>
      <c r="Z132" s="3"/>
    </row>
    <row r="133" spans="19:26" ht="12.75">
      <c r="S133" s="3"/>
      <c r="T133" s="3"/>
      <c r="U133" s="3"/>
      <c r="V133" s="3"/>
      <c r="W133" s="3"/>
      <c r="X133" s="3"/>
      <c r="Y133" s="3"/>
      <c r="Z133" s="3"/>
    </row>
    <row r="134" spans="19:26" ht="12.75">
      <c r="S134" s="3"/>
      <c r="T134" s="3"/>
      <c r="U134" s="3"/>
      <c r="V134" s="3"/>
      <c r="W134" s="3"/>
      <c r="X134" s="3"/>
      <c r="Y134" s="3"/>
      <c r="Z134" s="3"/>
    </row>
    <row r="135" spans="19:26" ht="12.75">
      <c r="S135" s="3"/>
      <c r="T135" s="3"/>
      <c r="U135" s="3"/>
      <c r="V135" s="3"/>
      <c r="W135" s="3"/>
      <c r="X135" s="3"/>
      <c r="Y135" s="3"/>
      <c r="Z135" s="3"/>
    </row>
    <row r="136" spans="19:26" ht="12.75">
      <c r="S136" s="3"/>
      <c r="T136" s="3"/>
      <c r="U136" s="3"/>
      <c r="V136" s="3"/>
      <c r="W136" s="3"/>
      <c r="X136" s="3"/>
      <c r="Y136" s="3"/>
      <c r="Z136" s="3"/>
    </row>
    <row r="137" spans="19:26" ht="12.75">
      <c r="S137" s="3"/>
      <c r="T137" s="3"/>
      <c r="U137" s="3"/>
      <c r="V137" s="3"/>
      <c r="W137" s="3"/>
      <c r="X137" s="3"/>
      <c r="Y137" s="3"/>
      <c r="Z137" s="3"/>
    </row>
    <row r="138" spans="19:26" ht="12.75">
      <c r="S138" s="3"/>
      <c r="T138" s="3"/>
      <c r="U138" s="3"/>
      <c r="V138" s="3"/>
      <c r="W138" s="3"/>
      <c r="X138" s="3"/>
      <c r="Y138" s="3"/>
      <c r="Z138" s="3"/>
    </row>
    <row r="139" spans="19:26" ht="12.75">
      <c r="S139" s="3"/>
      <c r="T139" s="3"/>
      <c r="U139" s="3"/>
      <c r="V139" s="3"/>
      <c r="W139" s="3"/>
      <c r="X139" s="3"/>
      <c r="Y139" s="3"/>
      <c r="Z139" s="3"/>
    </row>
    <row r="140" spans="19:26" ht="12.75">
      <c r="S140" s="3"/>
      <c r="T140" s="3"/>
      <c r="U140" s="3"/>
      <c r="V140" s="3"/>
      <c r="W140" s="3"/>
      <c r="X140" s="3"/>
      <c r="Y140" s="3"/>
      <c r="Z140" s="3"/>
    </row>
    <row r="141" spans="19:26" ht="12.75">
      <c r="S141" s="3"/>
      <c r="T141" s="3"/>
      <c r="U141" s="3"/>
      <c r="V141" s="3"/>
      <c r="W141" s="3"/>
      <c r="X141" s="3"/>
      <c r="Y141" s="3"/>
      <c r="Z141" s="3"/>
    </row>
    <row r="142" spans="19:26" ht="12.75">
      <c r="S142" s="3"/>
      <c r="T142" s="3"/>
      <c r="U142" s="3"/>
      <c r="V142" s="3"/>
      <c r="W142" s="3"/>
      <c r="X142" s="3"/>
      <c r="Y142" s="3"/>
      <c r="Z142" s="3"/>
    </row>
    <row r="143" spans="19:26" ht="12.75">
      <c r="S143" s="3"/>
      <c r="T143" s="3"/>
      <c r="U143" s="3"/>
      <c r="V143" s="3"/>
      <c r="W143" s="3"/>
      <c r="X143" s="3"/>
      <c r="Y143" s="3"/>
      <c r="Z143" s="3"/>
    </row>
    <row r="144" spans="19:26" ht="12.75">
      <c r="S144" s="3"/>
      <c r="T144" s="3"/>
      <c r="U144" s="3"/>
      <c r="V144" s="3"/>
      <c r="W144" s="3"/>
      <c r="X144" s="3"/>
      <c r="Y144" s="3"/>
      <c r="Z144" s="3"/>
    </row>
    <row r="145" spans="19:26" ht="12.75">
      <c r="S145" s="3"/>
      <c r="T145" s="3"/>
      <c r="U145" s="3"/>
      <c r="V145" s="3"/>
      <c r="W145" s="3"/>
      <c r="X145" s="3"/>
      <c r="Y145" s="3"/>
      <c r="Z145" s="3"/>
    </row>
    <row r="146" spans="19:26" ht="12.75">
      <c r="S146" s="3"/>
      <c r="T146" s="3"/>
      <c r="U146" s="3"/>
      <c r="V146" s="3"/>
      <c r="W146" s="3"/>
      <c r="X146" s="3"/>
      <c r="Y146" s="3"/>
      <c r="Z146" s="3"/>
    </row>
    <row r="147" spans="19:26" ht="12.75">
      <c r="S147" s="3"/>
      <c r="T147" s="3"/>
      <c r="U147" s="3"/>
      <c r="V147" s="3"/>
      <c r="W147" s="3"/>
      <c r="X147" s="3"/>
      <c r="Y147" s="3"/>
      <c r="Z147" s="3"/>
    </row>
    <row r="148" spans="19:26" ht="12.75">
      <c r="S148" s="3"/>
      <c r="T148" s="3"/>
      <c r="U148" s="3"/>
      <c r="V148" s="3"/>
      <c r="W148" s="3"/>
      <c r="X148" s="3"/>
      <c r="Y148" s="3"/>
      <c r="Z148" s="3"/>
    </row>
    <row r="149" spans="19:26" ht="12.75">
      <c r="S149" s="3"/>
      <c r="T149" s="3"/>
      <c r="U149" s="3"/>
      <c r="V149" s="3"/>
      <c r="W149" s="3"/>
      <c r="X149" s="3"/>
      <c r="Y149" s="3"/>
      <c r="Z149" s="3"/>
    </row>
    <row r="150" spans="19:26" ht="12.75">
      <c r="S150" s="3"/>
      <c r="T150" s="3"/>
      <c r="U150" s="3"/>
      <c r="V150" s="3"/>
      <c r="W150" s="3"/>
      <c r="X150" s="3"/>
      <c r="Y150" s="3"/>
      <c r="Z150" s="3"/>
    </row>
    <row r="151" spans="19:26" ht="12.75">
      <c r="S151" s="3"/>
      <c r="T151" s="3"/>
      <c r="U151" s="3"/>
      <c r="V151" s="3"/>
      <c r="W151" s="3"/>
      <c r="X151" s="3"/>
      <c r="Y151" s="3"/>
      <c r="Z151" s="3"/>
    </row>
    <row r="152" spans="19:26" ht="12.75">
      <c r="S152" s="3"/>
      <c r="T152" s="3"/>
      <c r="U152" s="3"/>
      <c r="V152" s="3"/>
      <c r="W152" s="3"/>
      <c r="X152" s="3"/>
      <c r="Y152" s="3"/>
      <c r="Z152" s="3"/>
    </row>
    <row r="153" spans="19:26" ht="12.75">
      <c r="S153" s="3"/>
      <c r="T153" s="3"/>
      <c r="U153" s="3"/>
      <c r="V153" s="3"/>
      <c r="W153" s="3"/>
      <c r="X153" s="3"/>
      <c r="Y153" s="3"/>
      <c r="Z153" s="3"/>
    </row>
    <row r="154" spans="19:26" ht="12.75">
      <c r="S154" s="3"/>
      <c r="T154" s="3"/>
      <c r="U154" s="3"/>
      <c r="V154" s="3"/>
      <c r="W154" s="3"/>
      <c r="X154" s="3"/>
      <c r="Y154" s="3"/>
      <c r="Z154" s="3"/>
    </row>
    <row r="155" spans="19:26" ht="12.75">
      <c r="S155" s="3"/>
      <c r="T155" s="3"/>
      <c r="U155" s="3"/>
      <c r="V155" s="3"/>
      <c r="W155" s="3"/>
      <c r="X155" s="3"/>
      <c r="Y155" s="3"/>
      <c r="Z155" s="3"/>
    </row>
    <row r="156" spans="19:26" ht="12.75">
      <c r="S156" s="3"/>
      <c r="T156" s="3"/>
      <c r="U156" s="3"/>
      <c r="V156" s="3"/>
      <c r="W156" s="3"/>
      <c r="X156" s="3"/>
      <c r="Y156" s="3"/>
      <c r="Z156" s="3"/>
    </row>
    <row r="157" spans="19:26" ht="12.75">
      <c r="S157" s="3"/>
      <c r="T157" s="3"/>
      <c r="U157" s="3"/>
      <c r="V157" s="3"/>
      <c r="W157" s="3"/>
      <c r="X157" s="3"/>
      <c r="Y157" s="3"/>
      <c r="Z157" s="3"/>
    </row>
    <row r="158" spans="19:26" ht="12.75">
      <c r="S158" s="3"/>
      <c r="T158" s="3"/>
      <c r="U158" s="3"/>
      <c r="V158" s="3"/>
      <c r="W158" s="3"/>
      <c r="X158" s="3"/>
      <c r="Y158" s="3"/>
      <c r="Z158" s="3"/>
    </row>
    <row r="159" spans="19:26" ht="12.75">
      <c r="S159" s="3"/>
      <c r="T159" s="3"/>
      <c r="U159" s="3"/>
      <c r="V159" s="3"/>
      <c r="W159" s="3"/>
      <c r="X159" s="3"/>
      <c r="Y159" s="3"/>
      <c r="Z159" s="3"/>
    </row>
    <row r="160" spans="19:26" ht="12.75">
      <c r="S160" s="3"/>
      <c r="T160" s="3"/>
      <c r="U160" s="3"/>
      <c r="V160" s="3"/>
      <c r="W160" s="3"/>
      <c r="X160" s="3"/>
      <c r="Y160" s="3"/>
      <c r="Z160" s="3"/>
    </row>
    <row r="161" spans="19:26" ht="12.75">
      <c r="S161" s="3"/>
      <c r="T161" s="3"/>
      <c r="U161" s="3"/>
      <c r="V161" s="3"/>
      <c r="W161" s="3"/>
      <c r="X161" s="3"/>
      <c r="Y161" s="3"/>
      <c r="Z161" s="3"/>
    </row>
    <row r="162" spans="19:26" ht="12.75">
      <c r="S162" s="3"/>
      <c r="T162" s="3"/>
      <c r="U162" s="3"/>
      <c r="V162" s="3"/>
      <c r="W162" s="3"/>
      <c r="X162" s="3"/>
      <c r="Y162" s="3"/>
      <c r="Z162" s="3"/>
    </row>
    <row r="163" spans="19:26" ht="12.75">
      <c r="S163" s="3"/>
      <c r="T163" s="3"/>
      <c r="U163" s="3"/>
      <c r="V163" s="3"/>
      <c r="W163" s="3"/>
      <c r="X163" s="3"/>
      <c r="Y163" s="3"/>
      <c r="Z163" s="3"/>
    </row>
    <row r="164" spans="19:26" ht="12.75">
      <c r="S164" s="3"/>
      <c r="T164" s="3"/>
      <c r="U164" s="3"/>
      <c r="V164" s="3"/>
      <c r="W164" s="3"/>
      <c r="X164" s="3"/>
      <c r="Y164" s="3"/>
      <c r="Z164" s="3"/>
    </row>
    <row r="165" spans="19:26" ht="12.75">
      <c r="S165" s="3"/>
      <c r="T165" s="3"/>
      <c r="U165" s="3"/>
      <c r="V165" s="3"/>
      <c r="W165" s="3"/>
      <c r="X165" s="3"/>
      <c r="Y165" s="3"/>
      <c r="Z165" s="3"/>
    </row>
    <row r="166" spans="19:26" ht="12.75">
      <c r="S166" s="3"/>
      <c r="T166" s="3"/>
      <c r="U166" s="3"/>
      <c r="V166" s="3"/>
      <c r="W166" s="3"/>
      <c r="X166" s="3"/>
      <c r="Y166" s="3"/>
      <c r="Z166" s="3"/>
    </row>
  </sheetData>
  <sheetProtection sheet="1" objects="1" scenarios="1" selectLockedCells="1"/>
  <printOptions/>
  <pageMargins left="0.75" right="0.75" top="1" bottom="1" header="0.5" footer="0.5"/>
  <pageSetup fitToHeight="5" horizontalDpi="600" verticalDpi="600" orientation="portrait" scale="78" r:id="rId4"/>
  <rowBreaks count="1" manualBreakCount="1">
    <brk id="55" max="12" man="1"/>
  </rowBreaks>
  <drawing r:id="rId3"/>
  <legacyDrawing r:id="rId2"/>
  <oleObjects>
    <oleObject progId="Visio.Drawing.6" shapeId="1628778" r:id="rId1"/>
  </oleObjects>
</worksheet>
</file>

<file path=xl/worksheets/sheet2.xml><?xml version="1.0" encoding="utf-8"?>
<worksheet xmlns="http://schemas.openxmlformats.org/spreadsheetml/2006/main" xmlns:r="http://schemas.openxmlformats.org/officeDocument/2006/relationships">
  <dimension ref="A1:AD167"/>
  <sheetViews>
    <sheetView tabSelected="1" zoomScalePageLayoutView="0" workbookViewId="0" topLeftCell="E31">
      <selection activeCell="F58" sqref="F58"/>
    </sheetView>
  </sheetViews>
  <sheetFormatPr defaultColWidth="9.140625" defaultRowHeight="12.75"/>
  <cols>
    <col min="1" max="1" width="5.140625" style="0" customWidth="1"/>
    <col min="2" max="2" width="11.140625" style="0" customWidth="1"/>
    <col min="3" max="3" width="19.8515625" style="0" customWidth="1"/>
    <col min="4" max="4" width="2.28125" style="0" customWidth="1"/>
    <col min="5" max="5" width="39.421875" style="0" customWidth="1"/>
    <col min="6" max="6" width="11.8515625" style="0" customWidth="1"/>
    <col min="10" max="10" width="12.421875" style="0" customWidth="1"/>
    <col min="19" max="23" width="0" style="0" hidden="1" customWidth="1"/>
    <col min="24" max="24" width="11.7109375" style="0" hidden="1" customWidth="1"/>
    <col min="25" max="31" width="0" style="0" hidden="1" customWidth="1"/>
  </cols>
  <sheetData>
    <row r="1" spans="1:26" ht="12.75">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8">
      <c r="A2" s="16"/>
      <c r="B2" s="1" t="s">
        <v>137</v>
      </c>
      <c r="C2" s="16"/>
      <c r="D2" s="16"/>
      <c r="E2" s="16"/>
      <c r="F2" s="16"/>
      <c r="G2" s="16"/>
      <c r="H2" s="16"/>
      <c r="I2" s="16"/>
      <c r="J2" s="16"/>
      <c r="K2" s="16"/>
      <c r="L2" s="16"/>
      <c r="M2" s="16"/>
      <c r="N2" s="16"/>
      <c r="O2" s="16"/>
      <c r="P2" s="16"/>
      <c r="Q2" s="16"/>
      <c r="R2" s="16"/>
      <c r="S2" s="16"/>
      <c r="T2" s="16"/>
      <c r="U2" s="16"/>
      <c r="V2" s="16"/>
      <c r="W2" s="16"/>
      <c r="X2" s="16"/>
      <c r="Y2" s="16"/>
      <c r="Z2" s="16"/>
    </row>
    <row r="3" spans="1:26" ht="12.7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ht="12.75">
      <c r="A4" s="16"/>
      <c r="B4" s="16"/>
      <c r="C4" s="16"/>
      <c r="D4" s="16"/>
      <c r="E4" s="16"/>
      <c r="F4" s="16"/>
      <c r="G4" s="16"/>
      <c r="H4" s="16"/>
      <c r="I4" s="16"/>
      <c r="J4" s="16"/>
      <c r="K4" s="16"/>
      <c r="L4" s="16"/>
      <c r="M4" s="16"/>
      <c r="N4" s="16"/>
      <c r="O4" s="16"/>
      <c r="P4" s="16"/>
      <c r="Q4" s="16"/>
      <c r="R4" s="16"/>
      <c r="S4" s="16"/>
      <c r="T4" s="16"/>
      <c r="U4" s="16"/>
      <c r="V4" s="16"/>
      <c r="W4" s="16"/>
      <c r="X4" s="16"/>
      <c r="Y4" s="16"/>
      <c r="Z4" s="16"/>
    </row>
    <row r="5" spans="1:26" ht="12.75">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ht="12.75">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12.75">
      <c r="A7" s="16"/>
      <c r="B7" s="16"/>
      <c r="C7" s="16"/>
      <c r="D7" s="16"/>
      <c r="E7" s="16"/>
      <c r="F7" s="16"/>
      <c r="G7" s="16"/>
      <c r="H7" s="16"/>
      <c r="I7" s="16"/>
      <c r="J7" s="16"/>
      <c r="K7" s="16"/>
      <c r="L7" s="16"/>
      <c r="M7" s="16"/>
      <c r="N7" s="16"/>
      <c r="O7" s="16"/>
      <c r="P7" s="16"/>
      <c r="Q7" s="16"/>
      <c r="R7" s="16"/>
      <c r="S7" s="16"/>
      <c r="T7" s="16"/>
      <c r="U7" s="16"/>
      <c r="V7" s="16"/>
      <c r="W7" s="16"/>
      <c r="X7" s="16"/>
      <c r="Y7" s="16"/>
      <c r="Z7" s="16"/>
    </row>
    <row r="8" spans="1:26" ht="12.75">
      <c r="A8" s="16"/>
      <c r="B8" s="16"/>
      <c r="C8" s="16"/>
      <c r="D8" s="16"/>
      <c r="E8" s="16"/>
      <c r="F8" s="16"/>
      <c r="G8" s="16"/>
      <c r="H8" s="16"/>
      <c r="I8" s="16"/>
      <c r="J8" s="16"/>
      <c r="K8" s="16"/>
      <c r="L8" s="16"/>
      <c r="M8" s="16"/>
      <c r="N8" s="16"/>
      <c r="O8" s="16"/>
      <c r="P8" s="16"/>
      <c r="Q8" s="16"/>
      <c r="R8" s="16"/>
      <c r="S8" s="16"/>
      <c r="T8" s="16"/>
      <c r="U8" s="16"/>
      <c r="V8" s="16"/>
      <c r="W8" s="16"/>
      <c r="X8" s="16"/>
      <c r="Y8" s="16"/>
      <c r="Z8" s="16"/>
    </row>
    <row r="9" spans="1:26" ht="12.75">
      <c r="A9" s="16"/>
      <c r="B9" s="17" t="s">
        <v>70</v>
      </c>
      <c r="C9" s="18"/>
      <c r="D9" s="16"/>
      <c r="E9" s="2" t="s">
        <v>0</v>
      </c>
      <c r="F9" s="16"/>
      <c r="G9" s="16"/>
      <c r="H9" s="16"/>
      <c r="I9" s="16"/>
      <c r="J9" s="16"/>
      <c r="K9" s="16"/>
      <c r="L9" s="16"/>
      <c r="M9" s="16"/>
      <c r="N9" s="16"/>
      <c r="O9" s="16"/>
      <c r="P9" s="16"/>
      <c r="Q9" s="16"/>
      <c r="R9" s="16"/>
      <c r="S9" s="16"/>
      <c r="T9" s="16"/>
      <c r="U9" s="16"/>
      <c r="V9" s="16"/>
      <c r="W9" s="16"/>
      <c r="X9" s="16"/>
      <c r="Y9" s="16"/>
      <c r="Z9" s="16"/>
    </row>
    <row r="10" spans="1:26" ht="12.75">
      <c r="A10" s="16"/>
      <c r="B10" s="18">
        <v>40016</v>
      </c>
      <c r="C10" s="16"/>
      <c r="D10" s="16"/>
      <c r="E10" s="19" t="s">
        <v>95</v>
      </c>
      <c r="F10" s="16"/>
      <c r="G10" s="16"/>
      <c r="H10" s="16"/>
      <c r="I10" s="16"/>
      <c r="J10" s="16"/>
      <c r="K10" s="16"/>
      <c r="L10" s="16"/>
      <c r="M10" s="16"/>
      <c r="N10" s="16"/>
      <c r="O10" s="16"/>
      <c r="P10" s="16"/>
      <c r="Q10" s="16"/>
      <c r="R10" s="16"/>
      <c r="S10" s="16"/>
      <c r="T10" s="16"/>
      <c r="U10" s="16"/>
      <c r="V10" s="16"/>
      <c r="W10" s="16"/>
      <c r="X10" s="16"/>
      <c r="Y10" s="16"/>
      <c r="Z10" s="16"/>
    </row>
    <row r="11" spans="1:26" ht="12.75">
      <c r="A11" s="16"/>
      <c r="B11" s="16"/>
      <c r="C11" s="16"/>
      <c r="D11" s="16"/>
      <c r="E11" s="60" t="s">
        <v>96</v>
      </c>
      <c r="F11" s="16"/>
      <c r="G11" s="16"/>
      <c r="H11" s="16"/>
      <c r="I11" s="16"/>
      <c r="J11" s="16"/>
      <c r="K11" s="16"/>
      <c r="L11" s="16"/>
      <c r="M11" s="16"/>
      <c r="N11" s="16"/>
      <c r="O11" s="16"/>
      <c r="P11" s="16"/>
      <c r="Q11" s="16"/>
      <c r="R11" s="16"/>
      <c r="S11" s="16"/>
      <c r="T11" s="16"/>
      <c r="U11" s="16"/>
      <c r="V11" s="16"/>
      <c r="W11" s="16"/>
      <c r="X11" s="16"/>
      <c r="Y11" s="16"/>
      <c r="Z11" s="16"/>
    </row>
    <row r="12" spans="1:26" ht="12.75">
      <c r="A12" s="16"/>
      <c r="B12" s="16"/>
      <c r="C12" s="16"/>
      <c r="D12" s="16"/>
      <c r="E12" s="16"/>
      <c r="F12" s="59"/>
      <c r="G12" s="16"/>
      <c r="H12" s="16"/>
      <c r="I12" s="16"/>
      <c r="J12" s="16"/>
      <c r="K12" s="16"/>
      <c r="L12" s="16"/>
      <c r="M12" s="16"/>
      <c r="N12" s="16"/>
      <c r="O12" s="16"/>
      <c r="P12" s="16"/>
      <c r="Q12" s="16"/>
      <c r="R12" s="16"/>
      <c r="S12" s="16"/>
      <c r="T12" s="16"/>
      <c r="U12" s="16"/>
      <c r="V12" s="16"/>
      <c r="W12" s="16"/>
      <c r="X12" s="16"/>
      <c r="Y12" s="16"/>
      <c r="Z12" s="16"/>
    </row>
    <row r="13" spans="1:26" ht="15.75">
      <c r="A13" s="16"/>
      <c r="B13" s="15" t="s">
        <v>1</v>
      </c>
      <c r="C13" s="16"/>
      <c r="D13" s="16"/>
      <c r="E13" s="20" t="s">
        <v>3</v>
      </c>
      <c r="F13" s="56">
        <v>12</v>
      </c>
      <c r="G13" s="16" t="s">
        <v>6</v>
      </c>
      <c r="H13" s="16"/>
      <c r="I13" s="16"/>
      <c r="J13" s="16"/>
      <c r="K13" s="16"/>
      <c r="L13" s="16"/>
      <c r="M13" s="16"/>
      <c r="N13" s="16"/>
      <c r="O13" s="16"/>
      <c r="P13" s="16"/>
      <c r="Q13" s="16"/>
      <c r="R13" s="16"/>
      <c r="S13" s="16"/>
      <c r="T13" s="16"/>
      <c r="U13" s="16"/>
      <c r="V13" s="16"/>
      <c r="W13" s="16"/>
      <c r="X13" s="16"/>
      <c r="Y13" s="16"/>
      <c r="Z13" s="16"/>
    </row>
    <row r="14" spans="1:26" ht="15.75">
      <c r="A14" s="16"/>
      <c r="B14" s="16"/>
      <c r="C14" s="16"/>
      <c r="D14" s="16"/>
      <c r="E14" s="20" t="s">
        <v>4</v>
      </c>
      <c r="F14" s="56">
        <v>36</v>
      </c>
      <c r="G14" s="16" t="s">
        <v>6</v>
      </c>
      <c r="H14" s="16"/>
      <c r="I14" s="16"/>
      <c r="J14" s="16"/>
      <c r="K14" s="16"/>
      <c r="L14" s="16"/>
      <c r="M14" s="16"/>
      <c r="N14" s="16"/>
      <c r="O14" s="16"/>
      <c r="P14" s="16"/>
      <c r="Q14" s="16"/>
      <c r="R14" s="16"/>
      <c r="S14" s="16"/>
      <c r="T14" s="16"/>
      <c r="U14" s="16"/>
      <c r="V14" s="16"/>
      <c r="W14" s="16"/>
      <c r="X14" s="16"/>
      <c r="Y14" s="16"/>
      <c r="Z14" s="16"/>
    </row>
    <row r="15" spans="1:26" ht="15.75">
      <c r="A15" s="16"/>
      <c r="B15" s="16"/>
      <c r="C15" s="16"/>
      <c r="D15" s="16"/>
      <c r="E15" s="20" t="s">
        <v>35</v>
      </c>
      <c r="F15" s="56">
        <v>48</v>
      </c>
      <c r="G15" s="16" t="s">
        <v>6</v>
      </c>
      <c r="H15" s="16"/>
      <c r="I15" s="16"/>
      <c r="J15" s="16"/>
      <c r="K15" s="16"/>
      <c r="L15" s="16"/>
      <c r="M15" s="16"/>
      <c r="N15" s="16"/>
      <c r="O15" s="16"/>
      <c r="P15" s="16"/>
      <c r="Q15" s="16"/>
      <c r="R15" s="16"/>
      <c r="S15" s="16"/>
      <c r="T15" s="16"/>
      <c r="U15" s="16"/>
      <c r="V15" s="16"/>
      <c r="W15" s="16"/>
      <c r="X15" s="16"/>
      <c r="Y15" s="16"/>
      <c r="Z15" s="16"/>
    </row>
    <row r="16" spans="1:26" ht="15.75">
      <c r="A16" s="16"/>
      <c r="B16" s="16"/>
      <c r="C16" s="16"/>
      <c r="D16" s="16"/>
      <c r="E16" s="20" t="s">
        <v>5</v>
      </c>
      <c r="F16" s="56">
        <v>60</v>
      </c>
      <c r="G16" s="16" t="s">
        <v>6</v>
      </c>
      <c r="H16" s="16"/>
      <c r="I16" s="16"/>
      <c r="J16" s="16"/>
      <c r="K16" s="16"/>
      <c r="L16" s="16"/>
      <c r="M16" s="16"/>
      <c r="N16" s="16"/>
      <c r="O16" s="16"/>
      <c r="P16" s="16"/>
      <c r="Q16" s="16"/>
      <c r="R16" s="16"/>
      <c r="S16" s="16"/>
      <c r="T16" s="16"/>
      <c r="U16" s="16"/>
      <c r="V16" s="16"/>
      <c r="W16" s="16"/>
      <c r="X16" s="16"/>
      <c r="Y16" s="16"/>
      <c r="Z16" s="16"/>
    </row>
    <row r="17" spans="1:26" ht="12.75">
      <c r="A17" s="16"/>
      <c r="B17" s="16"/>
      <c r="C17" s="16"/>
      <c r="D17" s="16"/>
      <c r="E17" s="20" t="s">
        <v>31</v>
      </c>
      <c r="F17" s="67">
        <v>1</v>
      </c>
      <c r="G17" s="16" t="s">
        <v>110</v>
      </c>
      <c r="H17" s="16"/>
      <c r="I17" s="16"/>
      <c r="J17" s="16"/>
      <c r="K17" s="16"/>
      <c r="L17" s="16"/>
      <c r="M17" s="16"/>
      <c r="N17" s="16"/>
      <c r="O17" s="16"/>
      <c r="P17" s="16"/>
      <c r="Q17" s="16"/>
      <c r="R17" s="16"/>
      <c r="S17" s="16"/>
      <c r="T17" s="16"/>
      <c r="U17" s="16"/>
      <c r="V17" s="16"/>
      <c r="W17" s="16"/>
      <c r="X17" s="16"/>
      <c r="Y17" s="16"/>
      <c r="Z17" s="16"/>
    </row>
    <row r="18" spans="1:26" ht="12.75">
      <c r="A18" s="16"/>
      <c r="B18" s="16"/>
      <c r="C18" s="16"/>
      <c r="D18" s="16"/>
      <c r="E18" s="20"/>
      <c r="F18" s="21"/>
      <c r="G18" s="16"/>
      <c r="H18" s="16"/>
      <c r="I18" s="16"/>
      <c r="J18" s="16"/>
      <c r="K18" s="16"/>
      <c r="L18" s="16"/>
      <c r="M18" s="16"/>
      <c r="N18" s="16"/>
      <c r="O18" s="16"/>
      <c r="P18" s="16"/>
      <c r="Q18" s="16"/>
      <c r="R18" s="16"/>
      <c r="S18" s="16"/>
      <c r="T18" s="16"/>
      <c r="U18" s="16"/>
      <c r="V18" s="16"/>
      <c r="W18" s="16"/>
      <c r="X18" s="16"/>
      <c r="Y18" s="16"/>
      <c r="Z18" s="16"/>
    </row>
    <row r="19" spans="1:26" ht="12.7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5.75">
      <c r="A20" s="16"/>
      <c r="B20" s="15" t="s">
        <v>15</v>
      </c>
      <c r="C20" s="16"/>
      <c r="D20" s="16"/>
      <c r="E20" s="20" t="s">
        <v>16</v>
      </c>
      <c r="F20" s="22">
        <f>W113</f>
        <v>3.8</v>
      </c>
      <c r="G20" s="16"/>
      <c r="H20" s="16"/>
      <c r="I20" s="16"/>
      <c r="J20" s="16"/>
      <c r="K20" s="16"/>
      <c r="L20" s="16"/>
      <c r="M20" s="16"/>
      <c r="N20" s="16"/>
      <c r="O20" s="16"/>
      <c r="P20" s="16"/>
      <c r="Q20" s="16"/>
      <c r="R20" s="16"/>
      <c r="S20" s="16"/>
      <c r="T20" s="16"/>
      <c r="U20" s="16"/>
      <c r="V20" s="16"/>
      <c r="W20" s="16"/>
      <c r="X20" s="16"/>
      <c r="Y20" s="16"/>
      <c r="Z20" s="16"/>
    </row>
    <row r="21" spans="1:26" ht="15.75">
      <c r="A21" s="16"/>
      <c r="B21" s="16"/>
      <c r="C21" s="16"/>
      <c r="D21" s="16"/>
      <c r="E21" s="20" t="s">
        <v>17</v>
      </c>
      <c r="F21" s="56">
        <v>1.33</v>
      </c>
      <c r="G21" s="16" t="s">
        <v>18</v>
      </c>
      <c r="H21" s="16"/>
      <c r="I21" s="16"/>
      <c r="J21" s="16"/>
      <c r="K21" s="16"/>
      <c r="L21" s="16"/>
      <c r="M21" s="16"/>
      <c r="N21" s="16"/>
      <c r="O21" s="16"/>
      <c r="P21" s="16"/>
      <c r="Q21" s="16"/>
      <c r="R21" s="16"/>
      <c r="S21" s="16"/>
      <c r="T21" s="16"/>
      <c r="U21" s="16"/>
      <c r="V21" s="16"/>
      <c r="W21" s="16"/>
      <c r="X21" s="16"/>
      <c r="Y21" s="16"/>
      <c r="Z21" s="16"/>
    </row>
    <row r="22" spans="1:26" ht="15.75">
      <c r="A22" s="16"/>
      <c r="B22" s="16"/>
      <c r="C22" s="16"/>
      <c r="D22" s="16"/>
      <c r="E22" s="23" t="s">
        <v>19</v>
      </c>
      <c r="F22" s="24">
        <f>W114</f>
        <v>5.054</v>
      </c>
      <c r="G22" s="16" t="s">
        <v>18</v>
      </c>
      <c r="H22" s="16"/>
      <c r="I22" s="16"/>
      <c r="J22" s="16"/>
      <c r="K22" s="16"/>
      <c r="L22" s="16"/>
      <c r="M22" s="16"/>
      <c r="N22" s="16"/>
      <c r="O22" s="16"/>
      <c r="P22" s="16"/>
      <c r="Q22" s="16"/>
      <c r="R22" s="16"/>
      <c r="S22" s="16"/>
      <c r="T22" s="16"/>
      <c r="U22" s="16"/>
      <c r="V22" s="16"/>
      <c r="W22" s="16"/>
      <c r="X22" s="16"/>
      <c r="Y22" s="16"/>
      <c r="Z22" s="16"/>
    </row>
    <row r="23" spans="1:26" ht="15.75">
      <c r="A23" s="16"/>
      <c r="B23" s="16"/>
      <c r="C23" s="16"/>
      <c r="D23" s="16"/>
      <c r="E23" s="23" t="s">
        <v>21</v>
      </c>
      <c r="F23" s="56">
        <v>5.054</v>
      </c>
      <c r="G23" s="16" t="s">
        <v>18</v>
      </c>
      <c r="H23" s="16"/>
      <c r="I23" s="16"/>
      <c r="J23" s="16"/>
      <c r="K23" s="16"/>
      <c r="L23" s="16"/>
      <c r="M23" s="16"/>
      <c r="N23" s="16"/>
      <c r="O23" s="16"/>
      <c r="P23" s="16"/>
      <c r="Q23" s="16"/>
      <c r="R23" s="16"/>
      <c r="S23" s="16"/>
      <c r="T23" s="16"/>
      <c r="U23" s="16"/>
      <c r="V23" s="16"/>
      <c r="W23" s="16"/>
      <c r="X23" s="16"/>
      <c r="Y23" s="16"/>
      <c r="Z23" s="16"/>
    </row>
    <row r="24" spans="1:26" ht="15.75">
      <c r="A24" s="16"/>
      <c r="B24" s="16"/>
      <c r="C24" s="16"/>
      <c r="D24" s="16"/>
      <c r="E24" s="23" t="s">
        <v>22</v>
      </c>
      <c r="F24" s="22">
        <f>W115</f>
        <v>12</v>
      </c>
      <c r="G24" s="16" t="s">
        <v>6</v>
      </c>
      <c r="H24" s="16"/>
      <c r="I24" s="16"/>
      <c r="J24" s="16"/>
      <c r="K24" s="16"/>
      <c r="L24" s="16"/>
      <c r="M24" s="16"/>
      <c r="N24" s="16"/>
      <c r="O24" s="16"/>
      <c r="P24" s="16"/>
      <c r="Q24" s="16"/>
      <c r="R24" s="16"/>
      <c r="S24" s="16"/>
      <c r="T24" s="16"/>
      <c r="U24" s="16"/>
      <c r="V24" s="16"/>
      <c r="W24" s="16"/>
      <c r="X24" s="16"/>
      <c r="Y24" s="16"/>
      <c r="Z24" s="16"/>
    </row>
    <row r="25" spans="1:26" ht="12.7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 r="A27" s="16"/>
      <c r="B27" s="15" t="s">
        <v>24</v>
      </c>
      <c r="C27" s="16"/>
      <c r="D27" s="16"/>
      <c r="E27" s="23" t="s">
        <v>82</v>
      </c>
      <c r="F27" s="25">
        <f>W119</f>
        <v>1333.3333333333333</v>
      </c>
      <c r="G27" s="16" t="s">
        <v>7</v>
      </c>
      <c r="H27" s="16"/>
      <c r="I27" s="16"/>
      <c r="J27" s="16"/>
      <c r="K27" s="16"/>
      <c r="L27" s="16"/>
      <c r="M27" s="16"/>
      <c r="N27" s="16"/>
      <c r="O27" s="16"/>
      <c r="P27" s="16"/>
      <c r="Q27" s="16"/>
      <c r="R27" s="16"/>
      <c r="S27" s="16"/>
      <c r="T27" s="16"/>
      <c r="U27" s="16"/>
      <c r="V27" s="16"/>
      <c r="W27" s="16"/>
      <c r="X27" s="16"/>
      <c r="Y27" s="16"/>
      <c r="Z27" s="16"/>
    </row>
    <row r="28" spans="1:26" ht="12.75">
      <c r="A28" s="16"/>
      <c r="B28" s="16"/>
      <c r="C28" s="16"/>
      <c r="D28" s="16"/>
      <c r="E28" s="23" t="s">
        <v>2</v>
      </c>
      <c r="F28" s="56">
        <v>110.855</v>
      </c>
      <c r="G28" s="16" t="s">
        <v>7</v>
      </c>
      <c r="H28" s="16"/>
      <c r="I28" s="16"/>
      <c r="J28" s="16"/>
      <c r="K28" s="16"/>
      <c r="L28" s="16"/>
      <c r="M28" s="16"/>
      <c r="N28" s="16"/>
      <c r="O28" s="16"/>
      <c r="P28" s="16"/>
      <c r="Q28" s="16"/>
      <c r="R28" s="16"/>
      <c r="S28" s="16"/>
      <c r="T28" s="16"/>
      <c r="U28" s="16"/>
      <c r="V28" s="16"/>
      <c r="W28" s="16"/>
      <c r="X28" s="16"/>
      <c r="Y28" s="16"/>
      <c r="Z28" s="16"/>
    </row>
    <row r="29" spans="1:26" ht="15.75">
      <c r="A29" s="16"/>
      <c r="B29" s="16"/>
      <c r="C29" s="16"/>
      <c r="D29" s="16"/>
      <c r="E29" s="23" t="s">
        <v>97</v>
      </c>
      <c r="F29" s="27">
        <f>W120</f>
        <v>889.2121831159807</v>
      </c>
      <c r="G29" s="16" t="s">
        <v>18</v>
      </c>
      <c r="H29" s="26"/>
      <c r="I29" s="26"/>
      <c r="J29" s="26"/>
      <c r="K29" s="16"/>
      <c r="L29" s="16"/>
      <c r="M29" s="16"/>
      <c r="N29" s="16"/>
      <c r="O29" s="16"/>
      <c r="P29" s="16"/>
      <c r="Q29" s="16"/>
      <c r="R29" s="16"/>
      <c r="S29" s="16"/>
      <c r="T29" s="16"/>
      <c r="U29" s="16"/>
      <c r="V29" s="16"/>
      <c r="W29" s="16"/>
      <c r="X29" s="16"/>
      <c r="Y29" s="16"/>
      <c r="Z29" s="16"/>
    </row>
    <row r="30" spans="1:26" ht="15.75">
      <c r="A30" s="16"/>
      <c r="B30" s="16"/>
      <c r="C30" s="16"/>
      <c r="D30" s="16"/>
      <c r="E30" s="23" t="s">
        <v>98</v>
      </c>
      <c r="F30" s="56">
        <v>866</v>
      </c>
      <c r="G30" s="16" t="s">
        <v>18</v>
      </c>
      <c r="H30" s="26"/>
      <c r="I30" s="26"/>
      <c r="J30" s="26"/>
      <c r="K30" s="16"/>
      <c r="L30" s="16"/>
      <c r="M30" s="16"/>
      <c r="N30" s="16"/>
      <c r="O30" s="16"/>
      <c r="P30" s="16"/>
      <c r="Q30" s="16"/>
      <c r="R30" s="16"/>
      <c r="S30" s="16"/>
      <c r="T30" s="16"/>
      <c r="U30" s="16"/>
      <c r="V30" s="16"/>
      <c r="W30" s="16"/>
      <c r="X30" s="16"/>
      <c r="Y30" s="16"/>
      <c r="Z30" s="16"/>
    </row>
    <row r="31" spans="1:26" ht="12.75">
      <c r="A31" s="16"/>
      <c r="B31" s="16"/>
      <c r="C31" s="16"/>
      <c r="D31" s="16"/>
      <c r="E31" s="23" t="s">
        <v>83</v>
      </c>
      <c r="F31" s="25">
        <f>W122</f>
        <v>113.82155125584741</v>
      </c>
      <c r="G31" s="16" t="s">
        <v>7</v>
      </c>
      <c r="H31" s="26"/>
      <c r="I31" s="26"/>
      <c r="J31" s="26"/>
      <c r="K31" s="16"/>
      <c r="L31" s="16"/>
      <c r="M31" s="16"/>
      <c r="N31" s="16"/>
      <c r="O31" s="16"/>
      <c r="P31" s="16"/>
      <c r="Q31" s="16"/>
      <c r="R31" s="16"/>
      <c r="S31" s="16"/>
      <c r="T31" s="16"/>
      <c r="U31" s="16"/>
      <c r="V31" s="16"/>
      <c r="W31" s="16"/>
      <c r="X31" s="16"/>
      <c r="Y31" s="16"/>
      <c r="Z31" s="16"/>
    </row>
    <row r="32" spans="1:26" ht="12.75">
      <c r="A32" s="16"/>
      <c r="B32" s="16"/>
      <c r="C32" s="16"/>
      <c r="D32" s="16"/>
      <c r="E32" s="16"/>
      <c r="F32" s="16"/>
      <c r="G32" s="16"/>
      <c r="H32" s="26"/>
      <c r="I32" s="26"/>
      <c r="J32" s="26"/>
      <c r="K32" s="16"/>
      <c r="L32" s="16"/>
      <c r="M32" s="16"/>
      <c r="N32" s="16"/>
      <c r="O32" s="16"/>
      <c r="P32" s="16"/>
      <c r="Q32" s="16"/>
      <c r="R32" s="16"/>
      <c r="S32" s="16"/>
      <c r="T32" s="16"/>
      <c r="U32" s="16"/>
      <c r="V32" s="16"/>
      <c r="W32" s="16"/>
      <c r="X32" s="16"/>
      <c r="Y32" s="16"/>
      <c r="Z32" s="16"/>
    </row>
    <row r="33" spans="1:26" ht="12.75">
      <c r="A33" s="16"/>
      <c r="B33" s="16"/>
      <c r="C33" s="16"/>
      <c r="D33" s="16"/>
      <c r="E33" s="16"/>
      <c r="F33" s="16"/>
      <c r="G33" s="16"/>
      <c r="H33" s="26"/>
      <c r="I33" s="26"/>
      <c r="J33" s="26"/>
      <c r="K33" s="16"/>
      <c r="L33" s="16"/>
      <c r="M33" s="16"/>
      <c r="N33" s="16"/>
      <c r="O33" s="16"/>
      <c r="P33" s="16"/>
      <c r="Q33" s="16"/>
      <c r="R33" s="16"/>
      <c r="S33" s="16"/>
      <c r="T33" s="16"/>
      <c r="U33" s="16"/>
      <c r="V33" s="16"/>
      <c r="W33" s="16"/>
      <c r="X33" s="16"/>
      <c r="Y33" s="16"/>
      <c r="Z33" s="16"/>
    </row>
    <row r="34" spans="1:26" ht="12.75">
      <c r="A34" s="16"/>
      <c r="B34" s="15" t="s">
        <v>27</v>
      </c>
      <c r="C34" s="16"/>
      <c r="D34" s="16"/>
      <c r="E34" s="23" t="s">
        <v>84</v>
      </c>
      <c r="F34" s="22">
        <f>W126</f>
        <v>395.35570815450643</v>
      </c>
      <c r="G34" s="16" t="s">
        <v>28</v>
      </c>
      <c r="H34" s="26"/>
      <c r="I34" s="26"/>
      <c r="J34" s="26"/>
      <c r="K34" s="16"/>
      <c r="L34" s="16"/>
      <c r="M34" s="16"/>
      <c r="N34" s="16"/>
      <c r="O34" s="16"/>
      <c r="P34" s="16"/>
      <c r="Q34" s="16"/>
      <c r="R34" s="16"/>
      <c r="S34" s="16"/>
      <c r="T34" s="16"/>
      <c r="U34" s="16"/>
      <c r="V34" s="16"/>
      <c r="W34" s="16"/>
      <c r="X34" s="16"/>
      <c r="Y34" s="16"/>
      <c r="Z34" s="16"/>
    </row>
    <row r="35" spans="1:26" ht="12.75">
      <c r="A35" s="16"/>
      <c r="B35" s="16"/>
      <c r="C35" s="16"/>
      <c r="D35" s="16"/>
      <c r="E35" s="23" t="s">
        <v>30</v>
      </c>
      <c r="F35" s="56">
        <v>396</v>
      </c>
      <c r="G35" s="16" t="s">
        <v>28</v>
      </c>
      <c r="H35" s="16"/>
      <c r="I35" s="16"/>
      <c r="J35" s="16"/>
      <c r="K35" s="16"/>
      <c r="L35" s="16"/>
      <c r="M35" s="16"/>
      <c r="N35" s="16"/>
      <c r="O35" s="16"/>
      <c r="P35" s="16"/>
      <c r="Q35" s="16"/>
      <c r="R35" s="16"/>
      <c r="S35" s="16"/>
      <c r="T35" s="16"/>
      <c r="U35" s="16"/>
      <c r="V35" s="16"/>
      <c r="W35" s="16"/>
      <c r="X35" s="16"/>
      <c r="Y35" s="16"/>
      <c r="Z35" s="16"/>
    </row>
    <row r="36" spans="1:26" ht="12.75">
      <c r="A36" s="16"/>
      <c r="B36" s="16"/>
      <c r="C36" s="16"/>
      <c r="D36" s="16"/>
      <c r="E36" s="8" t="s">
        <v>85</v>
      </c>
      <c r="F36" s="27">
        <f>W127</f>
        <v>177.48853340269648</v>
      </c>
      <c r="G36" s="16" t="s">
        <v>36</v>
      </c>
      <c r="H36" s="16"/>
      <c r="I36" s="16"/>
      <c r="J36" s="16"/>
      <c r="K36" s="16"/>
      <c r="L36" s="16"/>
      <c r="M36" s="16"/>
      <c r="N36" s="16"/>
      <c r="O36" s="16"/>
      <c r="P36" s="16"/>
      <c r="Q36" s="16"/>
      <c r="R36" s="16"/>
      <c r="S36" s="16"/>
      <c r="T36" s="16"/>
      <c r="U36" s="16"/>
      <c r="V36" s="16"/>
      <c r="W36" s="16"/>
      <c r="X36" s="16"/>
      <c r="Y36" s="16"/>
      <c r="Z36" s="16"/>
    </row>
    <row r="37" spans="1:26" ht="12.75">
      <c r="A37" s="16"/>
      <c r="B37" s="16"/>
      <c r="C37" s="16"/>
      <c r="D37" s="16"/>
      <c r="E37" s="9" t="s">
        <v>86</v>
      </c>
      <c r="F37" s="27">
        <f>W128</f>
        <v>199.67460007803354</v>
      </c>
      <c r="G37" s="16" t="s">
        <v>36</v>
      </c>
      <c r="H37" s="16"/>
      <c r="I37" s="16"/>
      <c r="J37" s="16"/>
      <c r="K37" s="16"/>
      <c r="L37" s="16"/>
      <c r="M37" s="16"/>
      <c r="N37" s="16"/>
      <c r="O37" s="16"/>
      <c r="P37" s="16"/>
      <c r="Q37" s="16"/>
      <c r="R37" s="16"/>
      <c r="S37" s="16"/>
      <c r="T37" s="16"/>
      <c r="U37" s="16"/>
      <c r="V37" s="16"/>
      <c r="W37" s="16"/>
      <c r="X37" s="16"/>
      <c r="Y37" s="16"/>
      <c r="Z37" s="16"/>
    </row>
    <row r="38" spans="1:26" ht="12.75">
      <c r="A38" s="16"/>
      <c r="B38" s="16"/>
      <c r="C38" s="16"/>
      <c r="D38" s="16"/>
      <c r="E38" s="10" t="s">
        <v>87</v>
      </c>
      <c r="F38" s="27">
        <f>W129</f>
        <v>212.98624008323577</v>
      </c>
      <c r="G38" s="16" t="s">
        <v>36</v>
      </c>
      <c r="H38" s="16"/>
      <c r="I38" s="16"/>
      <c r="J38" s="16"/>
      <c r="K38" s="16"/>
      <c r="L38" s="16"/>
      <c r="M38" s="16"/>
      <c r="N38" s="16"/>
      <c r="O38" s="16"/>
      <c r="P38" s="16"/>
      <c r="Q38" s="16"/>
      <c r="R38" s="16"/>
      <c r="S38" s="16"/>
      <c r="T38" s="16"/>
      <c r="U38" s="16"/>
      <c r="V38" s="16"/>
      <c r="W38" s="16"/>
      <c r="X38" s="16"/>
      <c r="Y38" s="16"/>
      <c r="Z38" s="16"/>
    </row>
    <row r="39" spans="1:26" ht="12.75">
      <c r="A39" s="16"/>
      <c r="B39" s="16"/>
      <c r="C39" s="16"/>
      <c r="D39" s="16"/>
      <c r="E39" s="20" t="s">
        <v>93</v>
      </c>
      <c r="F39" s="24">
        <f>W130</f>
        <v>1.106493120041618</v>
      </c>
      <c r="G39" s="16" t="s">
        <v>110</v>
      </c>
      <c r="H39" s="16"/>
      <c r="I39" s="16"/>
      <c r="J39" s="16"/>
      <c r="K39" s="16"/>
      <c r="L39" s="16"/>
      <c r="M39" s="16"/>
      <c r="N39" s="16"/>
      <c r="O39" s="16"/>
      <c r="P39" s="16"/>
      <c r="Q39" s="16"/>
      <c r="R39" s="16"/>
      <c r="S39" s="16"/>
      <c r="T39" s="16"/>
      <c r="U39" s="16"/>
      <c r="V39" s="16"/>
      <c r="W39" s="16"/>
      <c r="X39" s="16"/>
      <c r="Y39" s="16"/>
      <c r="Z39" s="16"/>
    </row>
    <row r="40" spans="1:26" ht="12.75">
      <c r="A40" s="16"/>
      <c r="B40" s="16"/>
      <c r="C40" s="16"/>
      <c r="D40" s="16"/>
      <c r="E40" s="20" t="s">
        <v>130</v>
      </c>
      <c r="F40" s="22">
        <f>W131</f>
        <v>1.7129862400832359</v>
      </c>
      <c r="G40" s="16" t="s">
        <v>110</v>
      </c>
      <c r="H40" s="16"/>
      <c r="I40" s="16"/>
      <c r="J40" s="16"/>
      <c r="K40" s="16"/>
      <c r="L40" s="16"/>
      <c r="M40" s="16"/>
      <c r="N40" s="16"/>
      <c r="O40" s="16"/>
      <c r="P40" s="16"/>
      <c r="Q40" s="16"/>
      <c r="R40" s="16"/>
      <c r="S40" s="16"/>
      <c r="T40" s="16"/>
      <c r="U40" s="16"/>
      <c r="V40" s="16"/>
      <c r="W40" s="16"/>
      <c r="X40" s="16"/>
      <c r="Y40" s="16"/>
      <c r="Z40" s="16"/>
    </row>
    <row r="41" spans="1:26" ht="12.75">
      <c r="A41" s="16"/>
      <c r="B41" s="16"/>
      <c r="C41" s="16"/>
      <c r="D41" s="16"/>
      <c r="E41" s="23"/>
      <c r="F41" s="28"/>
      <c r="G41" s="16"/>
      <c r="H41" s="16"/>
      <c r="I41" s="16"/>
      <c r="J41" s="16"/>
      <c r="K41" s="16"/>
      <c r="L41" s="16"/>
      <c r="M41" s="16"/>
      <c r="N41" s="16"/>
      <c r="O41" s="16"/>
      <c r="P41" s="16"/>
      <c r="Q41" s="16"/>
      <c r="R41" s="16"/>
      <c r="S41" s="16"/>
      <c r="T41" s="16"/>
      <c r="U41" s="16"/>
      <c r="V41" s="16"/>
      <c r="W41" s="16"/>
      <c r="X41" s="16"/>
      <c r="Y41" s="16"/>
      <c r="Z41" s="16"/>
    </row>
    <row r="42" spans="1:26" ht="12.75">
      <c r="A42" s="16"/>
      <c r="B42" s="16"/>
      <c r="C42" s="16"/>
      <c r="D42" s="16"/>
      <c r="E42" s="23"/>
      <c r="F42" s="28"/>
      <c r="G42" s="16"/>
      <c r="H42" s="16"/>
      <c r="I42" s="16"/>
      <c r="J42" s="16"/>
      <c r="K42" s="16"/>
      <c r="L42" s="16"/>
      <c r="M42" s="16"/>
      <c r="N42" s="16"/>
      <c r="O42" s="16"/>
      <c r="P42" s="16"/>
      <c r="Q42" s="16"/>
      <c r="R42" s="16"/>
      <c r="S42" s="16"/>
      <c r="T42" s="16"/>
      <c r="U42" s="16"/>
      <c r="V42" s="16"/>
      <c r="W42" s="16"/>
      <c r="X42" s="16"/>
      <c r="Y42" s="16"/>
      <c r="Z42" s="16"/>
    </row>
    <row r="43" spans="1:26" ht="12.75">
      <c r="A43" s="16"/>
      <c r="B43" s="15" t="s">
        <v>54</v>
      </c>
      <c r="C43" s="16"/>
      <c r="D43" s="16"/>
      <c r="E43" s="61" t="s">
        <v>88</v>
      </c>
      <c r="F43" s="22">
        <f>W133</f>
        <v>1.0887442667013483</v>
      </c>
      <c r="G43" s="16" t="s">
        <v>110</v>
      </c>
      <c r="H43" s="16"/>
      <c r="I43" s="16"/>
      <c r="J43" s="16"/>
      <c r="K43" s="16"/>
      <c r="L43" s="16"/>
      <c r="M43" s="16"/>
      <c r="N43" s="16"/>
      <c r="O43" s="16"/>
      <c r="P43" s="16"/>
      <c r="Q43" s="16"/>
      <c r="R43" s="16"/>
      <c r="S43" s="16"/>
      <c r="T43" s="16"/>
      <c r="U43" s="16"/>
      <c r="V43" s="16"/>
      <c r="W43" s="16"/>
      <c r="X43" s="16"/>
      <c r="Y43" s="16"/>
      <c r="Z43" s="16"/>
    </row>
    <row r="44" spans="1:26" ht="12.75">
      <c r="A44" s="16"/>
      <c r="B44" s="16"/>
      <c r="C44" s="16"/>
      <c r="D44" s="16"/>
      <c r="E44" s="62" t="s">
        <v>89</v>
      </c>
      <c r="F44" s="22">
        <f>W134</f>
        <v>1.3498373000390167</v>
      </c>
      <c r="G44" s="16" t="s">
        <v>110</v>
      </c>
      <c r="H44" s="16"/>
      <c r="I44" s="16"/>
      <c r="J44" s="16"/>
      <c r="K44" s="16"/>
      <c r="L44" s="16"/>
      <c r="M44" s="16"/>
      <c r="N44" s="16"/>
      <c r="O44" s="16"/>
      <c r="P44" s="16"/>
      <c r="Q44" s="16"/>
      <c r="R44" s="16"/>
      <c r="S44" s="16"/>
      <c r="T44" s="16"/>
      <c r="U44" s="16"/>
      <c r="V44" s="16"/>
      <c r="W44" s="16"/>
      <c r="X44" s="16"/>
      <c r="Y44" s="16"/>
      <c r="Z44" s="16"/>
    </row>
    <row r="45" spans="1:26" ht="12.75">
      <c r="A45" s="16"/>
      <c r="B45" s="16"/>
      <c r="C45" s="16"/>
      <c r="D45" s="16"/>
      <c r="E45" s="63" t="s">
        <v>90</v>
      </c>
      <c r="F45" s="22">
        <f>W135</f>
        <v>1.606493120041618</v>
      </c>
      <c r="G45" s="16" t="s">
        <v>110</v>
      </c>
      <c r="H45" s="16"/>
      <c r="I45" s="64"/>
      <c r="J45" s="16"/>
      <c r="K45" s="16"/>
      <c r="L45" s="16"/>
      <c r="M45" s="16"/>
      <c r="N45" s="16"/>
      <c r="O45" s="16"/>
      <c r="P45" s="16"/>
      <c r="Q45" s="16"/>
      <c r="R45" s="16"/>
      <c r="S45" s="16"/>
      <c r="T45" s="16"/>
      <c r="U45" s="16"/>
      <c r="V45" s="16"/>
      <c r="W45" s="16"/>
      <c r="X45" s="16"/>
      <c r="Y45" s="16"/>
      <c r="Z45" s="16"/>
    </row>
    <row r="46" spans="1:26" ht="12.75">
      <c r="A46" s="16"/>
      <c r="B46" s="16"/>
      <c r="C46" s="16"/>
      <c r="D46" s="16"/>
      <c r="E46" s="20"/>
      <c r="F46" s="16"/>
      <c r="G46" s="16"/>
      <c r="H46" s="16"/>
      <c r="I46" s="16"/>
      <c r="J46" s="16"/>
      <c r="K46" s="16"/>
      <c r="L46" s="16"/>
      <c r="M46" s="16"/>
      <c r="N46" s="16"/>
      <c r="O46" s="16"/>
      <c r="P46" s="16"/>
      <c r="Q46" s="16"/>
      <c r="R46" s="16"/>
      <c r="S46" s="16"/>
      <c r="T46" s="16"/>
      <c r="U46" s="16"/>
      <c r="V46" s="16"/>
      <c r="W46" s="16"/>
      <c r="X46" s="16"/>
      <c r="Y46" s="16"/>
      <c r="Z46" s="16"/>
    </row>
    <row r="47" spans="1:26" ht="12.7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 r="A48" s="16"/>
      <c r="B48" s="15" t="s">
        <v>124</v>
      </c>
      <c r="C48" s="16"/>
      <c r="D48" s="16"/>
      <c r="E48" s="20" t="s">
        <v>115</v>
      </c>
      <c r="F48" s="75">
        <v>1</v>
      </c>
      <c r="G48" s="16" t="s">
        <v>116</v>
      </c>
      <c r="H48" s="16"/>
      <c r="I48" s="16"/>
      <c r="J48" s="16"/>
      <c r="K48" s="16"/>
      <c r="L48" s="16"/>
      <c r="M48" s="16"/>
      <c r="N48" s="16"/>
      <c r="O48" s="16"/>
      <c r="P48" s="16"/>
      <c r="Q48" s="16"/>
      <c r="R48" s="16"/>
      <c r="S48" s="16"/>
      <c r="T48" s="16"/>
      <c r="U48" s="16"/>
      <c r="V48" s="16"/>
      <c r="W48" s="16"/>
      <c r="X48" s="16"/>
      <c r="Y48" s="16"/>
      <c r="Z48" s="16"/>
    </row>
    <row r="49" spans="1:26" ht="15.75">
      <c r="A49" s="16"/>
      <c r="B49" s="16"/>
      <c r="C49" s="16"/>
      <c r="D49" s="16"/>
      <c r="E49" s="20" t="s">
        <v>117</v>
      </c>
      <c r="F49" s="24">
        <f>W137</f>
        <v>0.0046</v>
      </c>
      <c r="G49" s="16" t="s">
        <v>45</v>
      </c>
      <c r="H49" s="16"/>
      <c r="I49" s="16"/>
      <c r="J49" s="16"/>
      <c r="K49" s="16"/>
      <c r="L49" s="16"/>
      <c r="M49" s="16"/>
      <c r="N49" s="16"/>
      <c r="O49" s="16"/>
      <c r="P49" s="16"/>
      <c r="Q49" s="16"/>
      <c r="R49" s="16"/>
      <c r="S49" s="16"/>
      <c r="T49" s="16"/>
      <c r="U49" s="16"/>
      <c r="V49" s="16"/>
      <c r="W49" s="16"/>
      <c r="X49" s="16"/>
      <c r="Y49" s="16"/>
      <c r="Z49" s="16"/>
    </row>
    <row r="50" spans="1:26" ht="15.75">
      <c r="A50" s="16"/>
      <c r="B50" s="16"/>
      <c r="C50" s="16"/>
      <c r="D50" s="16"/>
      <c r="E50" s="23" t="s">
        <v>121</v>
      </c>
      <c r="F50" s="56">
        <v>0.0047</v>
      </c>
      <c r="G50" s="16" t="s">
        <v>45</v>
      </c>
      <c r="H50" s="16"/>
      <c r="I50" s="16"/>
      <c r="J50" s="16"/>
      <c r="K50" s="16"/>
      <c r="L50" s="16"/>
      <c r="M50" s="16"/>
      <c r="N50" s="16"/>
      <c r="O50" s="16"/>
      <c r="P50" s="16"/>
      <c r="Q50" s="16"/>
      <c r="R50" s="16"/>
      <c r="S50" s="16"/>
      <c r="T50" s="16"/>
      <c r="U50" s="16"/>
      <c r="V50" s="16"/>
      <c r="W50" s="16"/>
      <c r="X50" s="16"/>
      <c r="Y50" s="16"/>
      <c r="Z50" s="16"/>
    </row>
    <row r="51" spans="1:26" ht="12.75">
      <c r="A51" s="16"/>
      <c r="B51" s="16"/>
      <c r="C51" s="16"/>
      <c r="D51" s="16"/>
      <c r="E51" s="23" t="s">
        <v>122</v>
      </c>
      <c r="F51" s="74">
        <f>W138</f>
        <v>1.0217391304347827</v>
      </c>
      <c r="G51" s="16" t="s">
        <v>116</v>
      </c>
      <c r="H51" s="16"/>
      <c r="I51" s="16"/>
      <c r="J51" s="16"/>
      <c r="K51" s="16"/>
      <c r="L51" s="16"/>
      <c r="M51" s="16"/>
      <c r="N51" s="16"/>
      <c r="O51" s="16"/>
      <c r="P51" s="16"/>
      <c r="Q51" s="16"/>
      <c r="R51" s="16"/>
      <c r="S51" s="16"/>
      <c r="T51" s="16"/>
      <c r="U51" s="16"/>
      <c r="V51" s="16"/>
      <c r="W51" s="16"/>
      <c r="X51" s="16"/>
      <c r="Y51" s="16"/>
      <c r="Z51" s="16"/>
    </row>
    <row r="52" spans="1:26" ht="12.75">
      <c r="A52" s="16"/>
      <c r="B52" s="16"/>
      <c r="C52" s="16"/>
      <c r="D52" s="16"/>
      <c r="E52" s="16"/>
      <c r="F52" s="29"/>
      <c r="G52" s="16"/>
      <c r="H52" s="16"/>
      <c r="I52" s="16"/>
      <c r="J52" s="16"/>
      <c r="K52" s="16"/>
      <c r="L52" s="16"/>
      <c r="M52" s="16"/>
      <c r="N52" s="16"/>
      <c r="O52" s="16"/>
      <c r="P52" s="16"/>
      <c r="Q52" s="16"/>
      <c r="R52" s="16"/>
      <c r="S52" s="16"/>
      <c r="T52" s="16"/>
      <c r="U52" s="16"/>
      <c r="V52" s="16"/>
      <c r="W52" s="16"/>
      <c r="X52" s="16"/>
      <c r="Y52" s="16"/>
      <c r="Z52" s="16"/>
    </row>
    <row r="53" spans="1:26" ht="12.7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 r="A54" s="16"/>
      <c r="B54" s="15" t="s">
        <v>80</v>
      </c>
      <c r="C54" s="16"/>
      <c r="D54" s="16"/>
      <c r="E54" s="23" t="s">
        <v>76</v>
      </c>
      <c r="F54" s="56" t="s">
        <v>41</v>
      </c>
      <c r="G54" s="16"/>
      <c r="H54" s="16"/>
      <c r="I54" s="16"/>
      <c r="J54" s="16"/>
      <c r="K54" s="16"/>
      <c r="L54" s="16"/>
      <c r="M54" s="16"/>
      <c r="N54" s="16"/>
      <c r="O54" s="16"/>
      <c r="P54" s="16"/>
      <c r="Q54" s="16"/>
      <c r="R54" s="16"/>
      <c r="S54" s="16"/>
      <c r="T54" s="16"/>
      <c r="U54" s="16"/>
      <c r="V54" s="16"/>
      <c r="W54" s="16"/>
      <c r="X54" s="16"/>
      <c r="Y54" s="16"/>
      <c r="Z54" s="16"/>
    </row>
    <row r="55" spans="1:26" ht="12.75">
      <c r="A55" s="16"/>
      <c r="B55" s="16"/>
      <c r="C55" s="16"/>
      <c r="D55" s="16"/>
      <c r="E55" s="20" t="str">
        <f>IF(F54="Type 3","","Minimum Recommended Value for R3")</f>
        <v>Minimum Recommended Value for R3</v>
      </c>
      <c r="F55" s="24">
        <f>IF(F54="Type 3","N/A",W147)</f>
        <v>0.14085416967911116</v>
      </c>
      <c r="G55" s="16" t="str">
        <f>IF(F54="Type 3","","Ohms")</f>
        <v>Ohms</v>
      </c>
      <c r="H55" s="16"/>
      <c r="I55" s="16"/>
      <c r="J55" s="16"/>
      <c r="K55" s="16"/>
      <c r="L55" s="16"/>
      <c r="M55" s="16"/>
      <c r="N55" s="16"/>
      <c r="O55" s="16"/>
      <c r="P55" s="16"/>
      <c r="Q55" s="16"/>
      <c r="R55" s="16"/>
      <c r="S55" s="16"/>
      <c r="T55" s="16"/>
      <c r="U55" s="16"/>
      <c r="V55" s="16"/>
      <c r="W55" s="16"/>
      <c r="X55" s="16"/>
      <c r="Y55" s="16"/>
      <c r="Z55" s="16"/>
    </row>
    <row r="56" spans="1:26" ht="12.75">
      <c r="A56" s="16"/>
      <c r="B56" s="16"/>
      <c r="C56" s="16"/>
      <c r="D56" s="16"/>
      <c r="E56" s="20" t="str">
        <f>IF(F54="Type 3","","Select the value for R3")</f>
        <v>Select the value for R3</v>
      </c>
      <c r="F56" s="56">
        <v>0.2</v>
      </c>
      <c r="G56" s="16" t="str">
        <f>IF(F54="Type 3","","Ohms")</f>
        <v>Ohms</v>
      </c>
      <c r="H56" s="16"/>
      <c r="I56" s="16"/>
      <c r="J56" s="16"/>
      <c r="K56" s="16"/>
      <c r="L56" s="16"/>
      <c r="M56" s="16"/>
      <c r="N56" s="16"/>
      <c r="O56" s="16"/>
      <c r="P56" s="16"/>
      <c r="Q56" s="16"/>
      <c r="R56" s="16"/>
      <c r="S56" s="16"/>
      <c r="T56" s="16"/>
      <c r="U56" s="16"/>
      <c r="V56" s="16"/>
      <c r="W56" s="16"/>
      <c r="X56" s="16"/>
      <c r="Y56" s="16"/>
      <c r="Z56" s="16"/>
    </row>
    <row r="57" spans="1:26" ht="12.75">
      <c r="A57" s="16"/>
      <c r="B57" s="16"/>
      <c r="C57" s="16"/>
      <c r="D57" s="30"/>
      <c r="E57" s="20" t="str">
        <f>IF(F54="Type 2","Minimum Recommended Value for Cff","")</f>
        <v>Minimum Recommended Value for Cff</v>
      </c>
      <c r="F57" s="12">
        <f>IF(F54="Type 2",W148,"N/A")</f>
        <v>8619.4427352226</v>
      </c>
      <c r="G57" s="16" t="str">
        <f>IF(F54="Type 2","pF","")</f>
        <v>pF</v>
      </c>
      <c r="H57" s="16"/>
      <c r="I57" s="16"/>
      <c r="J57" s="16"/>
      <c r="K57" s="16"/>
      <c r="L57" s="16"/>
      <c r="M57" s="16"/>
      <c r="N57" s="16"/>
      <c r="O57" s="16"/>
      <c r="P57" s="16"/>
      <c r="Q57" s="16"/>
      <c r="R57" s="16"/>
      <c r="S57" s="16"/>
      <c r="T57" s="16"/>
      <c r="U57" s="16"/>
      <c r="V57" s="16"/>
      <c r="W57" s="16"/>
      <c r="X57" s="16"/>
      <c r="Y57" s="16"/>
      <c r="Z57" s="16"/>
    </row>
    <row r="58" spans="1:26" ht="12.75">
      <c r="A58" s="16"/>
      <c r="B58" s="16"/>
      <c r="C58" s="16"/>
      <c r="D58" s="30"/>
      <c r="E58" s="20" t="str">
        <f>IF(F54="Type 2","Select the value for Cff","")</f>
        <v>Select the value for Cff</v>
      </c>
      <c r="F58" s="57">
        <v>8620</v>
      </c>
      <c r="G58" s="16" t="str">
        <f>IF(F54="Type 2","pF","")</f>
        <v>pF</v>
      </c>
      <c r="H58" s="16"/>
      <c r="I58" s="16"/>
      <c r="J58" s="16"/>
      <c r="K58" s="16"/>
      <c r="L58" s="16"/>
      <c r="M58" s="16"/>
      <c r="N58" s="16"/>
      <c r="O58" s="16"/>
      <c r="P58" s="16"/>
      <c r="Q58" s="16"/>
      <c r="R58" s="16"/>
      <c r="S58" s="16"/>
      <c r="T58" s="16"/>
      <c r="U58" s="16"/>
      <c r="V58" s="16"/>
      <c r="W58" s="16"/>
      <c r="X58" s="16"/>
      <c r="Y58" s="16"/>
      <c r="Z58" s="16"/>
    </row>
    <row r="59" spans="1:26" ht="12.75">
      <c r="A59" s="16"/>
      <c r="B59" s="16"/>
      <c r="C59" s="16"/>
      <c r="D59" s="16"/>
      <c r="E59" s="20">
        <f>IF(F54="Type 3","Recommended Value for CA","")</f>
      </c>
      <c r="F59" s="11" t="str">
        <f>IF(F54="Type 3","3300","N/A")</f>
        <v>N/A</v>
      </c>
      <c r="G59" s="16">
        <f>IF(F54="Type 3","pF","")</f>
      </c>
      <c r="H59" s="16"/>
      <c r="I59" s="16"/>
      <c r="J59" s="16"/>
      <c r="K59" s="16"/>
      <c r="L59" s="16"/>
      <c r="M59" s="16"/>
      <c r="N59" s="16"/>
      <c r="O59" s="16"/>
      <c r="P59" s="16"/>
      <c r="Q59" s="16"/>
      <c r="R59" s="16"/>
      <c r="S59" s="16"/>
      <c r="T59" s="16"/>
      <c r="U59" s="16"/>
      <c r="V59" s="16"/>
      <c r="W59" s="16"/>
      <c r="X59" s="16"/>
      <c r="Y59" s="16"/>
      <c r="Z59" s="16"/>
    </row>
    <row r="60" spans="1:26" ht="12.75">
      <c r="A60" s="16"/>
      <c r="B60" s="16"/>
      <c r="C60" s="16"/>
      <c r="D60" s="16"/>
      <c r="E60" s="20">
        <f>IF(F54="Type 3","Maximum Recommended Value for RA","")</f>
      </c>
      <c r="F60" s="13" t="str">
        <f>IF(F54="Type 3",W151,"N/A")</f>
        <v>N/A</v>
      </c>
      <c r="G60" s="16">
        <f>IF(F54="Type 3","kohms","")</f>
      </c>
      <c r="H60" s="16"/>
      <c r="I60" s="16"/>
      <c r="J60" s="16"/>
      <c r="K60" s="16"/>
      <c r="L60" s="16"/>
      <c r="M60" s="16"/>
      <c r="N60" s="16"/>
      <c r="O60" s="16"/>
      <c r="P60" s="16"/>
      <c r="Q60" s="16"/>
      <c r="R60" s="16"/>
      <c r="S60" s="16"/>
      <c r="T60" s="16"/>
      <c r="U60" s="16"/>
      <c r="V60" s="16"/>
      <c r="W60" s="16"/>
      <c r="X60" s="16"/>
      <c r="Y60" s="16"/>
      <c r="Z60" s="16"/>
    </row>
    <row r="61" spans="1:26" ht="12.75">
      <c r="A61" s="16"/>
      <c r="B61" s="16"/>
      <c r="C61" s="16"/>
      <c r="D61" s="16"/>
      <c r="E61" s="20">
        <f>IF(F54="Type 3","Select the value for RA","")</f>
      </c>
      <c r="F61" s="57">
        <v>58.6</v>
      </c>
      <c r="G61" s="16">
        <f>IF(F54="Type 3","kohms","")</f>
      </c>
      <c r="H61" s="16"/>
      <c r="I61" s="16"/>
      <c r="J61" s="16"/>
      <c r="K61" s="16"/>
      <c r="L61" s="16"/>
      <c r="M61" s="16"/>
      <c r="N61" s="16"/>
      <c r="O61" s="16"/>
      <c r="P61" s="16"/>
      <c r="Q61" s="16"/>
      <c r="R61" s="16"/>
      <c r="S61" s="16"/>
      <c r="T61" s="16"/>
      <c r="U61" s="16"/>
      <c r="V61" s="16"/>
      <c r="W61" s="16"/>
      <c r="X61" s="16"/>
      <c r="Y61" s="16"/>
      <c r="Z61" s="16"/>
    </row>
    <row r="62" spans="1:26" ht="12.75">
      <c r="A62" s="16"/>
      <c r="B62" s="16"/>
      <c r="C62" s="16"/>
      <c r="D62" s="16"/>
      <c r="E62" s="20">
        <f>IF(F54="Type 3","Recommended Value for CB","")</f>
      </c>
      <c r="F62" s="11" t="str">
        <f>IF(F54="Type 3",0.1,"N/A")</f>
        <v>N/A</v>
      </c>
      <c r="G62" s="16">
        <f>IF(F54="Type 3","uF","")</f>
      </c>
      <c r="H62" s="16"/>
      <c r="I62" s="16"/>
      <c r="J62" s="16"/>
      <c r="K62" s="16"/>
      <c r="L62" s="16"/>
      <c r="M62" s="16"/>
      <c r="N62" s="16"/>
      <c r="O62" s="16"/>
      <c r="P62" s="16"/>
      <c r="Q62" s="16"/>
      <c r="R62" s="16"/>
      <c r="S62" s="16"/>
      <c r="T62" s="16"/>
      <c r="U62" s="16"/>
      <c r="V62" s="16"/>
      <c r="W62" s="16"/>
      <c r="X62" s="16"/>
      <c r="Y62" s="16"/>
      <c r="Z62" s="16"/>
    </row>
    <row r="63" spans="1:26" ht="15.75">
      <c r="A63" s="16"/>
      <c r="B63" s="16"/>
      <c r="C63" s="16"/>
      <c r="D63" s="16"/>
      <c r="E63" s="23" t="s">
        <v>91</v>
      </c>
      <c r="F63" s="22">
        <f>W154</f>
        <v>23.390368270909278</v>
      </c>
      <c r="G63" s="16" t="s">
        <v>45</v>
      </c>
      <c r="H63" s="16"/>
      <c r="I63" s="16"/>
      <c r="J63" s="16"/>
      <c r="K63" s="16"/>
      <c r="L63" s="16"/>
      <c r="M63" s="16"/>
      <c r="N63" s="16"/>
      <c r="O63" s="16"/>
      <c r="P63" s="16"/>
      <c r="Q63" s="16"/>
      <c r="R63" s="16"/>
      <c r="S63" s="16"/>
      <c r="T63" s="16"/>
      <c r="U63" s="16"/>
      <c r="V63" s="16"/>
      <c r="W63" s="16"/>
      <c r="X63" s="16"/>
      <c r="Y63" s="16"/>
      <c r="Z63" s="16"/>
    </row>
    <row r="64" spans="1:26" ht="15.75">
      <c r="A64" s="16"/>
      <c r="B64" s="16"/>
      <c r="C64" s="16"/>
      <c r="D64" s="16"/>
      <c r="E64" s="23" t="s">
        <v>46</v>
      </c>
      <c r="F64" s="56">
        <v>24</v>
      </c>
      <c r="G64" s="16" t="s">
        <v>45</v>
      </c>
      <c r="H64" s="16"/>
      <c r="I64" s="16"/>
      <c r="J64" s="16"/>
      <c r="K64" s="16"/>
      <c r="L64" s="16"/>
      <c r="M64" s="16"/>
      <c r="N64" s="16"/>
      <c r="O64" s="16"/>
      <c r="P64" s="16"/>
      <c r="Q64" s="16"/>
      <c r="R64" s="16"/>
      <c r="S64" s="16"/>
      <c r="T64" s="16"/>
      <c r="U64" s="16"/>
      <c r="V64" s="16"/>
      <c r="W64" s="16"/>
      <c r="X64" s="16"/>
      <c r="Y64" s="16"/>
      <c r="Z64" s="16"/>
    </row>
    <row r="65" spans="1:26" ht="15.75">
      <c r="A65" s="16"/>
      <c r="B65" s="16"/>
      <c r="C65" s="16"/>
      <c r="D65" s="16"/>
      <c r="E65" s="20" t="s">
        <v>51</v>
      </c>
      <c r="F65" s="27">
        <f>IF(F54="Type 3",W156,W155)</f>
        <v>42.59724801664716</v>
      </c>
      <c r="G65" s="16" t="s">
        <v>50</v>
      </c>
      <c r="H65" s="16"/>
      <c r="I65" s="16"/>
      <c r="J65" s="16"/>
      <c r="K65" s="16"/>
      <c r="L65" s="16"/>
      <c r="M65" s="16"/>
      <c r="N65" s="16"/>
      <c r="O65" s="16"/>
      <c r="P65" s="16"/>
      <c r="Q65" s="16"/>
      <c r="R65" s="16"/>
      <c r="S65" s="16"/>
      <c r="T65" s="16"/>
      <c r="U65" s="16"/>
      <c r="V65" s="16"/>
      <c r="W65" s="16"/>
      <c r="X65" s="16"/>
      <c r="Y65" s="16"/>
      <c r="Z65" s="16"/>
    </row>
    <row r="66" spans="1:26" ht="12.7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 r="A68" s="16"/>
      <c r="B68" s="15" t="s">
        <v>55</v>
      </c>
      <c r="C68" s="16"/>
      <c r="D68" s="16"/>
      <c r="E68" s="23" t="s">
        <v>52</v>
      </c>
      <c r="F68" s="27">
        <f>W158</f>
        <v>6.050369942196531</v>
      </c>
      <c r="G68" s="16" t="s">
        <v>45</v>
      </c>
      <c r="H68" s="16"/>
      <c r="I68" s="16"/>
      <c r="J68" s="16"/>
      <c r="K68" s="16"/>
      <c r="L68" s="16"/>
      <c r="M68" s="16"/>
      <c r="N68" s="16"/>
      <c r="O68" s="16"/>
      <c r="P68" s="16"/>
      <c r="Q68" s="16"/>
      <c r="R68" s="16"/>
      <c r="S68" s="16"/>
      <c r="T68" s="16"/>
      <c r="U68" s="16"/>
      <c r="V68" s="16"/>
      <c r="W68" s="16"/>
      <c r="X68" s="16"/>
      <c r="Y68" s="16"/>
      <c r="Z68" s="16"/>
    </row>
    <row r="69" spans="1:26" ht="15.75">
      <c r="A69" s="16"/>
      <c r="B69" s="16"/>
      <c r="C69" s="16"/>
      <c r="D69" s="16"/>
      <c r="E69" s="23" t="s">
        <v>53</v>
      </c>
      <c r="F69" s="56">
        <v>6.5</v>
      </c>
      <c r="G69" s="16" t="s">
        <v>45</v>
      </c>
      <c r="H69" s="16"/>
      <c r="I69" s="16"/>
      <c r="J69" s="16"/>
      <c r="K69" s="16"/>
      <c r="L69" s="16"/>
      <c r="M69" s="16"/>
      <c r="N69" s="16"/>
      <c r="O69" s="16"/>
      <c r="P69" s="16"/>
      <c r="Q69" s="16"/>
      <c r="R69" s="16"/>
      <c r="S69" s="16"/>
      <c r="T69" s="16"/>
      <c r="U69" s="16"/>
      <c r="V69" s="16"/>
      <c r="W69" s="16"/>
      <c r="X69" s="16"/>
      <c r="Y69" s="16"/>
      <c r="Z69" s="16"/>
    </row>
    <row r="70" spans="1:26" ht="12.7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3.5" thickBo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 r="A72" s="16"/>
      <c r="B72" s="16"/>
      <c r="C72" s="16"/>
      <c r="D72" s="16"/>
      <c r="E72" s="31" t="s">
        <v>81</v>
      </c>
      <c r="F72" s="32">
        <f>F21</f>
        <v>1.33</v>
      </c>
      <c r="G72" s="33" t="s">
        <v>18</v>
      </c>
      <c r="H72" s="34" t="s">
        <v>71</v>
      </c>
      <c r="I72" s="34"/>
      <c r="J72" s="35"/>
      <c r="K72" s="16"/>
      <c r="L72" s="16"/>
      <c r="M72" s="16"/>
      <c r="N72" s="16"/>
      <c r="O72" s="16"/>
      <c r="P72" s="16"/>
      <c r="Q72" s="16"/>
      <c r="R72" s="16"/>
      <c r="S72" s="16"/>
      <c r="T72" s="16"/>
      <c r="U72" s="16"/>
      <c r="V72" s="16"/>
      <c r="W72" s="16"/>
      <c r="X72" s="16"/>
      <c r="Y72" s="16"/>
      <c r="Z72" s="16"/>
    </row>
    <row r="73" spans="1:26" ht="15.75">
      <c r="A73" s="16"/>
      <c r="B73" s="16"/>
      <c r="C73" s="16"/>
      <c r="D73" s="16"/>
      <c r="E73" s="36" t="s">
        <v>56</v>
      </c>
      <c r="F73" s="19">
        <f>F23</f>
        <v>5.054</v>
      </c>
      <c r="G73" s="37" t="s">
        <v>18</v>
      </c>
      <c r="H73" s="38" t="s">
        <v>72</v>
      </c>
      <c r="I73" s="38"/>
      <c r="J73" s="39"/>
      <c r="K73" s="16"/>
      <c r="L73" s="16"/>
      <c r="M73" s="16"/>
      <c r="N73" s="16"/>
      <c r="O73" s="16"/>
      <c r="P73" s="16"/>
      <c r="Q73" s="16"/>
      <c r="R73" s="16"/>
      <c r="S73" s="16"/>
      <c r="T73" s="16"/>
      <c r="U73" s="16"/>
      <c r="V73" s="16"/>
      <c r="W73" s="16"/>
      <c r="X73" s="16"/>
      <c r="Y73" s="16"/>
      <c r="Z73" s="16"/>
    </row>
    <row r="74" spans="1:26" ht="15.75">
      <c r="A74" s="16"/>
      <c r="B74" s="16"/>
      <c r="C74" s="16"/>
      <c r="D74" s="16"/>
      <c r="E74" s="36" t="s">
        <v>99</v>
      </c>
      <c r="F74" s="19">
        <f>F30</f>
        <v>866</v>
      </c>
      <c r="G74" s="40" t="s">
        <v>18</v>
      </c>
      <c r="H74" s="41" t="s">
        <v>73</v>
      </c>
      <c r="I74" s="41"/>
      <c r="J74" s="42"/>
      <c r="K74" s="16"/>
      <c r="L74" s="16"/>
      <c r="M74" s="16"/>
      <c r="N74" s="16"/>
      <c r="O74" s="16"/>
      <c r="P74" s="16"/>
      <c r="Q74" s="16"/>
      <c r="R74" s="16"/>
      <c r="S74" s="16"/>
      <c r="T74" s="16"/>
      <c r="U74" s="16"/>
      <c r="V74" s="16"/>
      <c r="W74" s="16"/>
      <c r="X74" s="16"/>
      <c r="Y74" s="16"/>
      <c r="Z74" s="16"/>
    </row>
    <row r="75" spans="1:26" ht="12.75">
      <c r="A75" s="16"/>
      <c r="B75" s="16"/>
      <c r="C75" s="16"/>
      <c r="D75" s="16"/>
      <c r="E75" s="36" t="s">
        <v>57</v>
      </c>
      <c r="F75" s="19">
        <f>F35</f>
        <v>396</v>
      </c>
      <c r="G75" s="40" t="s">
        <v>28</v>
      </c>
      <c r="H75" s="41" t="s">
        <v>74</v>
      </c>
      <c r="I75" s="41"/>
      <c r="J75" s="42"/>
      <c r="K75" s="16"/>
      <c r="L75" s="16"/>
      <c r="M75" s="16"/>
      <c r="N75" s="16"/>
      <c r="O75" s="16"/>
      <c r="P75" s="16"/>
      <c r="Q75" s="16"/>
      <c r="R75" s="16"/>
      <c r="S75" s="16"/>
      <c r="T75" s="16"/>
      <c r="U75" s="16"/>
      <c r="V75" s="16"/>
      <c r="W75" s="16"/>
      <c r="X75" s="16"/>
      <c r="Y75" s="16"/>
      <c r="Z75" s="16"/>
    </row>
    <row r="76" spans="1:26" ht="15.75">
      <c r="A76" s="16"/>
      <c r="B76" s="16"/>
      <c r="C76" s="16"/>
      <c r="D76" s="16"/>
      <c r="E76" s="66" t="s">
        <v>131</v>
      </c>
      <c r="F76" s="19">
        <f>F50</f>
        <v>0.0047</v>
      </c>
      <c r="G76" s="40" t="s">
        <v>45</v>
      </c>
      <c r="H76" s="41" t="s">
        <v>129</v>
      </c>
      <c r="I76" s="41"/>
      <c r="J76" s="42"/>
      <c r="K76" s="16"/>
      <c r="L76" s="16"/>
      <c r="M76" s="16"/>
      <c r="N76" s="16"/>
      <c r="O76" s="16"/>
      <c r="P76" s="16"/>
      <c r="Q76" s="16"/>
      <c r="R76" s="16"/>
      <c r="S76" s="16"/>
      <c r="T76" s="16"/>
      <c r="U76" s="16"/>
      <c r="V76" s="16"/>
      <c r="W76" s="16"/>
      <c r="X76" s="16"/>
      <c r="Y76" s="16"/>
      <c r="Z76" s="16"/>
    </row>
    <row r="77" spans="1:26" ht="15.75">
      <c r="A77" s="16"/>
      <c r="B77" s="16"/>
      <c r="C77" s="16"/>
      <c r="D77" s="16"/>
      <c r="E77" s="36" t="s">
        <v>58</v>
      </c>
      <c r="F77" s="19" t="str">
        <f>F54</f>
        <v>Type 2</v>
      </c>
      <c r="G77" s="40"/>
      <c r="H77" s="41" t="s">
        <v>75</v>
      </c>
      <c r="I77" s="41"/>
      <c r="J77" s="42"/>
      <c r="K77" s="16"/>
      <c r="L77" s="16"/>
      <c r="M77" s="16"/>
      <c r="N77" s="16"/>
      <c r="O77" s="16"/>
      <c r="P77" s="16"/>
      <c r="Q77" s="16"/>
      <c r="R77" s="16"/>
      <c r="S77" s="16"/>
      <c r="T77" s="16"/>
      <c r="U77" s="16"/>
      <c r="V77" s="16"/>
      <c r="W77" s="16"/>
      <c r="X77" s="16"/>
      <c r="Y77" s="16"/>
      <c r="Z77" s="16"/>
    </row>
    <row r="78" spans="1:26" ht="12.75">
      <c r="A78" s="16"/>
      <c r="B78" s="16"/>
      <c r="C78" s="16"/>
      <c r="D78" s="16"/>
      <c r="E78" s="36" t="str">
        <f>IF(F54="Type 3","","R3 =")</f>
        <v>R3 =</v>
      </c>
      <c r="F78" s="19">
        <f>IF(F54="Type 3","",F56)</f>
        <v>0.2</v>
      </c>
      <c r="G78" s="40" t="str">
        <f>IF(F54="Type 3","","Ohms")</f>
        <v>Ohms</v>
      </c>
      <c r="H78" s="41" t="str">
        <f>IF(F54="Type 3","","Sets the ripple amplitude at Vout.")</f>
        <v>Sets the ripple amplitude at Vout.</v>
      </c>
      <c r="I78" s="41"/>
      <c r="J78" s="42"/>
      <c r="K78" s="16"/>
      <c r="L78" s="16"/>
      <c r="M78" s="16"/>
      <c r="N78" s="16"/>
      <c r="O78" s="16"/>
      <c r="P78" s="16"/>
      <c r="Q78" s="16"/>
      <c r="R78" s="16"/>
      <c r="S78" s="16"/>
      <c r="T78" s="16"/>
      <c r="U78" s="16"/>
      <c r="V78" s="16"/>
      <c r="W78" s="16"/>
      <c r="X78" s="16"/>
      <c r="Y78" s="16"/>
      <c r="Z78" s="16"/>
    </row>
    <row r="79" spans="1:26" ht="12.75">
      <c r="A79" s="16"/>
      <c r="B79" s="16"/>
      <c r="C79" s="16"/>
      <c r="D79" s="16"/>
      <c r="E79" s="36" t="str">
        <f>IF(F54="Type 2","Cff =","")</f>
        <v>Cff =</v>
      </c>
      <c r="F79" s="19">
        <f>IF(F54="Type 2",F58,"")</f>
        <v>8620</v>
      </c>
      <c r="G79" s="40" t="str">
        <f>IF(F54="Type 2","pF","")</f>
        <v>pF</v>
      </c>
      <c r="H79" s="41" t="str">
        <f>IF(F54="Type 2","Ripple bypass for Type 2","")</f>
        <v>Ripple bypass for Type 2</v>
      </c>
      <c r="I79" s="41"/>
      <c r="J79" s="42"/>
      <c r="K79" s="16"/>
      <c r="L79" s="16"/>
      <c r="M79" s="16"/>
      <c r="N79" s="16"/>
      <c r="O79" s="16"/>
      <c r="P79" s="16"/>
      <c r="Q79" s="16"/>
      <c r="R79" s="16"/>
      <c r="S79" s="16"/>
      <c r="T79" s="16"/>
      <c r="U79" s="16"/>
      <c r="V79" s="16"/>
      <c r="W79" s="16"/>
      <c r="X79" s="16"/>
      <c r="Y79" s="16"/>
      <c r="Z79" s="16"/>
    </row>
    <row r="80" spans="1:26" ht="12.75">
      <c r="A80" s="16"/>
      <c r="B80" s="16"/>
      <c r="C80" s="16"/>
      <c r="D80" s="16"/>
      <c r="E80" s="36">
        <f>IF(F54="Type 3","CA =","")</f>
      </c>
      <c r="F80" s="43">
        <f>IF(F54="Type 3",F59,"")</f>
      </c>
      <c r="G80" s="44">
        <f>IF(F54="Type 3","pF","")</f>
      </c>
      <c r="H80" s="16">
        <f>IF(F54="Type 3","Ripple Generation","")</f>
      </c>
      <c r="I80" s="16"/>
      <c r="J80" s="45"/>
      <c r="K80" s="16"/>
      <c r="L80" s="16"/>
      <c r="M80" s="16"/>
      <c r="N80" s="16"/>
      <c r="O80" s="16"/>
      <c r="P80" s="16"/>
      <c r="Q80" s="16"/>
      <c r="R80" s="16"/>
      <c r="S80" s="16"/>
      <c r="T80" s="16"/>
      <c r="U80" s="16"/>
      <c r="V80" s="16"/>
      <c r="W80" s="16"/>
      <c r="X80" s="16"/>
      <c r="Y80" s="16"/>
      <c r="Z80" s="16"/>
    </row>
    <row r="81" spans="1:26" ht="12.75">
      <c r="A81" s="16"/>
      <c r="B81" s="16"/>
      <c r="C81" s="16"/>
      <c r="D81" s="16"/>
      <c r="E81" s="36">
        <f>IF(F54="Type 3","RA =","")</f>
      </c>
      <c r="F81" s="19">
        <f>IF(F54="Type 3",F61,"")</f>
      </c>
      <c r="G81" s="44">
        <f>IF(F54="Type 3","kohms","")</f>
      </c>
      <c r="H81" s="16">
        <f>IF(F54="Type 3","components for","")</f>
      </c>
      <c r="I81" s="16"/>
      <c r="J81" s="45"/>
      <c r="K81" s="16"/>
      <c r="L81" s="16"/>
      <c r="M81" s="16"/>
      <c r="N81" s="16"/>
      <c r="O81" s="16"/>
      <c r="P81" s="16"/>
      <c r="Q81" s="16"/>
      <c r="R81" s="16"/>
      <c r="S81" s="16"/>
      <c r="T81" s="16"/>
      <c r="U81" s="16"/>
      <c r="V81" s="16"/>
      <c r="W81" s="16"/>
      <c r="X81" s="16"/>
      <c r="Y81" s="16"/>
      <c r="Z81" s="16"/>
    </row>
    <row r="82" spans="1:26" ht="12.75">
      <c r="A82" s="16"/>
      <c r="B82" s="16"/>
      <c r="C82" s="16"/>
      <c r="D82" s="16"/>
      <c r="E82" s="36">
        <f>IF(F54="Type 3","CB =","")</f>
      </c>
      <c r="F82" s="19">
        <f>IF(F54="Type 3",F62,"")</f>
      </c>
      <c r="G82" s="37">
        <f>IF(F54="Type 3","uF","")</f>
      </c>
      <c r="H82" s="38">
        <f>IF(F54="Type 3","Type 3 Configuration","")</f>
      </c>
      <c r="I82" s="38"/>
      <c r="J82" s="39"/>
      <c r="K82" s="16"/>
      <c r="L82" s="16"/>
      <c r="M82" s="16"/>
      <c r="N82" s="16"/>
      <c r="O82" s="16"/>
      <c r="P82" s="16"/>
      <c r="Q82" s="16"/>
      <c r="R82" s="16"/>
      <c r="S82" s="16"/>
      <c r="T82" s="16"/>
      <c r="U82" s="16"/>
      <c r="V82" s="16"/>
      <c r="W82" s="16"/>
      <c r="X82" s="16"/>
      <c r="Y82" s="16"/>
      <c r="Z82" s="16"/>
    </row>
    <row r="83" spans="1:26" ht="15.75">
      <c r="A83" s="16"/>
      <c r="B83" s="16"/>
      <c r="C83" s="16"/>
      <c r="D83" s="16"/>
      <c r="E83" s="36" t="s">
        <v>59</v>
      </c>
      <c r="F83" s="19">
        <f>F64</f>
        <v>24</v>
      </c>
      <c r="G83" s="44" t="s">
        <v>45</v>
      </c>
      <c r="H83" s="16"/>
      <c r="I83" s="16"/>
      <c r="J83" s="45"/>
      <c r="K83" s="16"/>
      <c r="L83" s="16"/>
      <c r="M83" s="16"/>
      <c r="N83" s="16"/>
      <c r="O83" s="16"/>
      <c r="P83" s="16"/>
      <c r="Q83" s="16"/>
      <c r="R83" s="16"/>
      <c r="S83" s="16"/>
      <c r="T83" s="16"/>
      <c r="U83" s="16"/>
      <c r="V83" s="16"/>
      <c r="W83" s="16"/>
      <c r="X83" s="16"/>
      <c r="Y83" s="16"/>
      <c r="Z83" s="16"/>
    </row>
    <row r="84" spans="1:26" ht="15.75">
      <c r="A84" s="16"/>
      <c r="B84" s="16"/>
      <c r="C84" s="16"/>
      <c r="D84" s="16"/>
      <c r="E84" s="36" t="s">
        <v>60</v>
      </c>
      <c r="F84" s="19">
        <f>F69</f>
        <v>6.5</v>
      </c>
      <c r="G84" s="44" t="s">
        <v>45</v>
      </c>
      <c r="H84" s="16"/>
      <c r="I84" s="16"/>
      <c r="J84" s="45"/>
      <c r="K84" s="16"/>
      <c r="L84" s="16"/>
      <c r="M84" s="16"/>
      <c r="N84" s="16"/>
      <c r="O84" s="16"/>
      <c r="P84" s="16"/>
      <c r="Q84" s="16"/>
      <c r="R84" s="16"/>
      <c r="S84" s="16"/>
      <c r="T84" s="16"/>
      <c r="U84" s="16"/>
      <c r="V84" s="16"/>
      <c r="W84" s="16"/>
      <c r="X84" s="16"/>
      <c r="Y84" s="16"/>
      <c r="Z84" s="16"/>
    </row>
    <row r="85" spans="1:26" ht="15.75">
      <c r="A85" s="16"/>
      <c r="B85" s="16"/>
      <c r="C85" s="16"/>
      <c r="D85" s="16"/>
      <c r="E85" s="36" t="s">
        <v>61</v>
      </c>
      <c r="F85" s="19">
        <v>0.1</v>
      </c>
      <c r="G85" s="46" t="s">
        <v>45</v>
      </c>
      <c r="H85" s="47" t="s">
        <v>92</v>
      </c>
      <c r="I85" s="47"/>
      <c r="J85" s="48"/>
      <c r="K85" s="16"/>
      <c r="L85" s="16"/>
      <c r="M85" s="16"/>
      <c r="N85" s="16"/>
      <c r="O85" s="16"/>
      <c r="P85" s="16"/>
      <c r="Q85" s="16"/>
      <c r="R85" s="16"/>
      <c r="S85" s="16"/>
      <c r="T85" s="16"/>
      <c r="U85" s="16"/>
      <c r="V85" s="16"/>
      <c r="W85" s="16"/>
      <c r="X85" s="16"/>
      <c r="Y85" s="16"/>
      <c r="Z85" s="16"/>
    </row>
    <row r="86" spans="1:26" ht="15.75">
      <c r="A86" s="16"/>
      <c r="B86" s="16"/>
      <c r="C86" s="16"/>
      <c r="D86" s="16"/>
      <c r="E86" s="36" t="s">
        <v>62</v>
      </c>
      <c r="F86" s="19">
        <v>0.47</v>
      </c>
      <c r="G86" s="44" t="s">
        <v>45</v>
      </c>
      <c r="H86" s="16"/>
      <c r="I86" s="16"/>
      <c r="J86" s="45"/>
      <c r="K86" s="16"/>
      <c r="L86" s="16"/>
      <c r="M86" s="16"/>
      <c r="N86" s="16"/>
      <c r="O86" s="16"/>
      <c r="P86" s="16"/>
      <c r="Q86" s="16"/>
      <c r="R86" s="16"/>
      <c r="S86" s="16"/>
      <c r="T86" s="16"/>
      <c r="U86" s="16"/>
      <c r="V86" s="16"/>
      <c r="W86" s="16"/>
      <c r="X86" s="16"/>
      <c r="Y86" s="16"/>
      <c r="Z86" s="16"/>
    </row>
    <row r="87" spans="1:26" ht="15.75">
      <c r="A87" s="16"/>
      <c r="B87" s="16"/>
      <c r="C87" s="16"/>
      <c r="D87" s="16"/>
      <c r="E87" s="36" t="s">
        <v>63</v>
      </c>
      <c r="F87" s="19">
        <v>0.022</v>
      </c>
      <c r="G87" s="37" t="s">
        <v>45</v>
      </c>
      <c r="H87" s="38"/>
      <c r="I87" s="38"/>
      <c r="J87" s="39"/>
      <c r="K87" s="16"/>
      <c r="L87" s="16"/>
      <c r="M87" s="16"/>
      <c r="N87" s="16"/>
      <c r="O87" s="16"/>
      <c r="P87" s="16"/>
      <c r="Q87" s="16"/>
      <c r="R87" s="16"/>
      <c r="S87" s="16"/>
      <c r="T87" s="16"/>
      <c r="U87" s="16"/>
      <c r="V87" s="16"/>
      <c r="W87" s="16"/>
      <c r="X87" s="16"/>
      <c r="Y87" s="16"/>
      <c r="Z87" s="16"/>
    </row>
    <row r="88" spans="1:26" ht="15.75">
      <c r="A88" s="16"/>
      <c r="B88" s="16"/>
      <c r="C88" s="16"/>
      <c r="D88" s="16"/>
      <c r="E88" s="36" t="s">
        <v>65</v>
      </c>
      <c r="F88" s="22">
        <f>F24</f>
        <v>12</v>
      </c>
      <c r="G88" s="44" t="s">
        <v>6</v>
      </c>
      <c r="H88" s="16"/>
      <c r="I88" s="16"/>
      <c r="J88" s="45"/>
      <c r="K88" s="16"/>
      <c r="L88" s="16"/>
      <c r="M88" s="16"/>
      <c r="N88" s="16"/>
      <c r="O88" s="16"/>
      <c r="P88" s="16"/>
      <c r="Q88" s="16"/>
      <c r="R88" s="16"/>
      <c r="S88" s="16"/>
      <c r="T88" s="16"/>
      <c r="U88" s="16"/>
      <c r="V88" s="16"/>
      <c r="W88" s="16"/>
      <c r="X88" s="16"/>
      <c r="Y88" s="16"/>
      <c r="Z88" s="16"/>
    </row>
    <row r="89" spans="1:26" ht="13.5" thickBot="1">
      <c r="A89" s="16"/>
      <c r="B89" s="16"/>
      <c r="C89" s="16"/>
      <c r="D89" s="16"/>
      <c r="E89" s="49" t="s">
        <v>64</v>
      </c>
      <c r="F89" s="50">
        <f>F31</f>
        <v>113.82155125584741</v>
      </c>
      <c r="G89" s="51" t="s">
        <v>7</v>
      </c>
      <c r="H89" s="52"/>
      <c r="I89" s="52"/>
      <c r="J89" s="53"/>
      <c r="K89" s="16"/>
      <c r="L89" s="16"/>
      <c r="M89" s="16"/>
      <c r="N89" s="16"/>
      <c r="O89" s="16"/>
      <c r="P89" s="16"/>
      <c r="Q89" s="16"/>
      <c r="R89" s="16"/>
      <c r="S89" s="16"/>
      <c r="T89" s="16"/>
      <c r="U89" s="16"/>
      <c r="V89" s="16"/>
      <c r="W89" s="16"/>
      <c r="X89" s="16"/>
      <c r="Y89" s="16"/>
      <c r="Z89" s="16"/>
    </row>
    <row r="90" spans="1:26" ht="12.75">
      <c r="A90" s="16"/>
      <c r="B90" s="16"/>
      <c r="C90" s="16"/>
      <c r="D90" s="16"/>
      <c r="E90" s="20"/>
      <c r="F90" s="29"/>
      <c r="G90" s="16"/>
      <c r="H90" s="16"/>
      <c r="I90" s="16"/>
      <c r="J90" s="16"/>
      <c r="K90" s="16"/>
      <c r="L90" s="16"/>
      <c r="M90" s="16"/>
      <c r="N90" s="16"/>
      <c r="O90" s="16"/>
      <c r="P90" s="16"/>
      <c r="Q90" s="16"/>
      <c r="R90" s="16"/>
      <c r="S90" s="16"/>
      <c r="T90" s="16"/>
      <c r="U90" s="16"/>
      <c r="V90" s="16"/>
      <c r="W90" s="16"/>
      <c r="X90" s="16"/>
      <c r="Y90" s="16"/>
      <c r="Z90" s="16"/>
    </row>
    <row r="91" spans="1:26" ht="15.75">
      <c r="A91" s="16"/>
      <c r="B91" s="16"/>
      <c r="C91" s="20" t="s">
        <v>66</v>
      </c>
      <c r="D91" s="20"/>
      <c r="E91" s="54" t="s">
        <v>67</v>
      </c>
      <c r="F91" s="29"/>
      <c r="G91" s="16"/>
      <c r="H91" s="16"/>
      <c r="I91" s="16"/>
      <c r="J91" s="16"/>
      <c r="K91" s="16"/>
      <c r="L91" s="16"/>
      <c r="M91" s="16"/>
      <c r="N91" s="16"/>
      <c r="O91" s="16"/>
      <c r="P91" s="16"/>
      <c r="Q91" s="16"/>
      <c r="R91" s="16"/>
      <c r="S91" s="16"/>
      <c r="T91" s="16"/>
      <c r="U91" s="16"/>
      <c r="V91" s="16"/>
      <c r="W91" s="16"/>
      <c r="X91" s="16"/>
      <c r="Y91" s="16"/>
      <c r="Z91" s="16"/>
    </row>
    <row r="92" spans="1:26" ht="12.75">
      <c r="A92" s="16"/>
      <c r="B92" s="16"/>
      <c r="C92" s="16"/>
      <c r="D92" s="16"/>
      <c r="E92" s="16"/>
      <c r="F92" s="58"/>
      <c r="G92" s="16"/>
      <c r="H92" s="16"/>
      <c r="I92" s="16"/>
      <c r="J92" s="16"/>
      <c r="K92" s="16"/>
      <c r="L92" s="16"/>
      <c r="M92" s="16"/>
      <c r="N92" s="16"/>
      <c r="O92" s="16"/>
      <c r="P92" s="16"/>
      <c r="Q92" s="16"/>
      <c r="R92" s="16"/>
      <c r="S92" s="16"/>
      <c r="T92" s="16"/>
      <c r="U92" s="16"/>
      <c r="V92" s="16"/>
      <c r="W92" s="16"/>
      <c r="X92" s="16"/>
      <c r="Y92" s="16"/>
      <c r="Z92" s="16"/>
    </row>
    <row r="93" spans="1:26" ht="12.7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 r="A94" s="16"/>
      <c r="B94" s="16"/>
      <c r="C94" s="16"/>
      <c r="D94" s="15"/>
      <c r="E94" s="20"/>
      <c r="F94" s="16"/>
      <c r="G94" s="16"/>
      <c r="H94" s="16"/>
      <c r="I94" s="16"/>
      <c r="J94" s="16"/>
      <c r="K94" s="16"/>
      <c r="L94" s="16"/>
      <c r="M94" s="16"/>
      <c r="N94" s="16"/>
      <c r="O94" s="16"/>
      <c r="P94" s="16"/>
      <c r="Q94" s="16"/>
      <c r="R94" s="16"/>
      <c r="S94" s="16"/>
      <c r="T94" s="16"/>
      <c r="U94" s="16"/>
      <c r="V94" s="16"/>
      <c r="W94" s="16"/>
      <c r="X94" s="16"/>
      <c r="Y94" s="16"/>
      <c r="Z94" s="16"/>
    </row>
    <row r="95" spans="1:26" ht="12.7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65"/>
      <c r="Y100" s="16"/>
      <c r="Z100" s="16"/>
    </row>
    <row r="101" spans="5:30" ht="12.75" customHeight="1">
      <c r="E101" s="14"/>
      <c r="F101" s="14"/>
      <c r="T101" s="6">
        <f>F13</f>
        <v>12</v>
      </c>
      <c r="U101" t="s">
        <v>104</v>
      </c>
      <c r="X101" s="5" t="s">
        <v>103</v>
      </c>
      <c r="Y101" s="6">
        <v>2.5</v>
      </c>
      <c r="AA101" s="6"/>
      <c r="AC101" s="5"/>
      <c r="AD101" s="6"/>
    </row>
    <row r="102" spans="20:30" ht="12.75">
      <c r="T102" s="6">
        <f>F14</f>
        <v>36</v>
      </c>
      <c r="U102" t="s">
        <v>8</v>
      </c>
      <c r="X102" s="68" t="s">
        <v>105</v>
      </c>
      <c r="Y102" s="69">
        <v>1.18</v>
      </c>
      <c r="AA102" s="7"/>
      <c r="AC102" s="5"/>
      <c r="AD102" s="6"/>
    </row>
    <row r="103" spans="20:25" ht="12.75" customHeight="1">
      <c r="T103" s="6">
        <f>F15</f>
        <v>48</v>
      </c>
      <c r="U103" t="s">
        <v>9</v>
      </c>
      <c r="X103" s="70" t="s">
        <v>107</v>
      </c>
      <c r="Y103" s="71">
        <v>1.4</v>
      </c>
    </row>
    <row r="104" spans="20:30" ht="12.75">
      <c r="T104" s="6">
        <f>F16</f>
        <v>60</v>
      </c>
      <c r="U104" t="s">
        <v>10</v>
      </c>
      <c r="X104" s="70" t="s">
        <v>108</v>
      </c>
      <c r="Y104" s="71">
        <v>1.4</v>
      </c>
      <c r="AC104" s="5"/>
      <c r="AD104" s="6"/>
    </row>
    <row r="105" spans="20:30" ht="12.75">
      <c r="T105" s="6">
        <f>F17</f>
        <v>1</v>
      </c>
      <c r="U105" t="s">
        <v>11</v>
      </c>
      <c r="X105" s="72" t="s">
        <v>132</v>
      </c>
      <c r="Y105" s="73">
        <v>67</v>
      </c>
      <c r="AC105" s="5"/>
      <c r="AD105" s="6"/>
    </row>
    <row r="106" spans="20:30" ht="12.75">
      <c r="T106" s="6">
        <f>F28</f>
        <v>110.855</v>
      </c>
      <c r="U106" t="s">
        <v>25</v>
      </c>
      <c r="X106" s="5" t="s">
        <v>113</v>
      </c>
      <c r="Y106" s="6">
        <v>1</v>
      </c>
      <c r="AC106" s="5"/>
      <c r="AD106" s="6"/>
    </row>
    <row r="107" spans="20:25" ht="12.75">
      <c r="T107" s="6">
        <f>W115</f>
        <v>12</v>
      </c>
      <c r="U107" t="s">
        <v>133</v>
      </c>
      <c r="X107" s="5" t="s">
        <v>114</v>
      </c>
      <c r="Y107" s="6">
        <v>1.25</v>
      </c>
    </row>
    <row r="108" spans="20:25" ht="12.75">
      <c r="T108" s="6">
        <f>F35</f>
        <v>396</v>
      </c>
      <c r="U108" t="s">
        <v>111</v>
      </c>
      <c r="X108" s="5" t="s">
        <v>29</v>
      </c>
      <c r="Y108" s="6">
        <v>1.5</v>
      </c>
    </row>
    <row r="109" spans="20:30" ht="12.75">
      <c r="T109" s="7">
        <f>F48</f>
        <v>1</v>
      </c>
      <c r="U109" t="s">
        <v>118</v>
      </c>
      <c r="X109" s="5" t="s">
        <v>120</v>
      </c>
      <c r="Y109" s="6">
        <v>11.5</v>
      </c>
      <c r="AC109" s="5"/>
      <c r="AD109" s="7"/>
    </row>
    <row r="110" spans="20:30" ht="12.75">
      <c r="T110" s="7"/>
      <c r="AC110" s="5"/>
      <c r="AD110" s="7"/>
    </row>
    <row r="111" spans="20:30" ht="12.75">
      <c r="T111" s="7"/>
      <c r="AC111" s="5"/>
      <c r="AD111" s="7"/>
    </row>
    <row r="112" spans="29:30" ht="12.75">
      <c r="AC112" s="5"/>
      <c r="AD112" s="7"/>
    </row>
    <row r="113" spans="22:30" ht="15.75">
      <c r="V113" s="4" t="s">
        <v>16</v>
      </c>
      <c r="W113" s="6">
        <f>(F13/Y101)-1</f>
        <v>3.8</v>
      </c>
      <c r="AC113" s="5"/>
      <c r="AD113" s="7"/>
    </row>
    <row r="114" spans="22:30" ht="12.75">
      <c r="V114" s="4" t="s">
        <v>20</v>
      </c>
      <c r="W114" s="6">
        <f>F21*W113</f>
        <v>5.054</v>
      </c>
      <c r="AC114" s="5"/>
      <c r="AD114" s="7"/>
    </row>
    <row r="115" spans="22:23" ht="12.75">
      <c r="V115" s="4" t="s">
        <v>23</v>
      </c>
      <c r="W115" s="6">
        <f>Y101*(F21+F23)/F21</f>
        <v>12</v>
      </c>
    </row>
    <row r="117" spans="22:29" ht="12.75">
      <c r="V117" s="5" t="s">
        <v>12</v>
      </c>
      <c r="W117">
        <f>W115*1000000/(F16*150)</f>
        <v>1333.3333333333333</v>
      </c>
      <c r="AC117" s="4"/>
    </row>
    <row r="118" spans="22:29" ht="12.75">
      <c r="V118" s="5" t="s">
        <v>13</v>
      </c>
      <c r="W118">
        <f>(F14-W115)*1000000/(F14*300)</f>
        <v>2222.222222222222</v>
      </c>
      <c r="AC118" s="4"/>
    </row>
    <row r="119" spans="22:29" ht="12.75">
      <c r="V119" s="5" t="s">
        <v>14</v>
      </c>
      <c r="W119">
        <f>IF((W117&lt;W118),W117,W118)</f>
        <v>1333.3333333333333</v>
      </c>
      <c r="AC119" s="4"/>
    </row>
    <row r="120" spans="22:23" ht="12.75">
      <c r="V120" s="5" t="s">
        <v>101</v>
      </c>
      <c r="W120">
        <f>(W115*10000*(F15-Y104)/(Y102*F28*F15))-Y103</f>
        <v>889.2121831159807</v>
      </c>
    </row>
    <row r="121" spans="22:23" ht="12.75">
      <c r="V121" s="4" t="s">
        <v>102</v>
      </c>
      <c r="W121">
        <f>(W115*10000*(F15-Y104)/(Y102*W119*F15))-Y103</f>
        <v>72.64661016949152</v>
      </c>
    </row>
    <row r="122" spans="22:29" ht="12.75">
      <c r="V122" s="4" t="s">
        <v>26</v>
      </c>
      <c r="W122">
        <f>W115*10000*(F15-Y104)/(Y102*(F30+Y103)*F15)</f>
        <v>113.82155125584741</v>
      </c>
      <c r="AC122" s="4"/>
    </row>
    <row r="123" spans="22:29" ht="12.75">
      <c r="V123" s="4" t="s">
        <v>106</v>
      </c>
      <c r="W123">
        <f>(Y102*(F30+Y103)/(10*(F14-Y104)))+(Y105/1000)</f>
        <v>3.0251849710982657</v>
      </c>
      <c r="AC123" s="4"/>
    </row>
    <row r="124" ht="12.75">
      <c r="AC124" s="4"/>
    </row>
    <row r="125" ht="12.75">
      <c r="AC125" s="4"/>
    </row>
    <row r="126" spans="22:23" ht="12.75">
      <c r="V126" s="4" t="s">
        <v>109</v>
      </c>
      <c r="W126">
        <f>W115*1000*(F15-W115)/(F17*0.2*W122*F15)</f>
        <v>395.35570815450643</v>
      </c>
    </row>
    <row r="127" spans="22:23" ht="12.75">
      <c r="V127" s="5" t="s">
        <v>34</v>
      </c>
      <c r="W127">
        <f>W115*10^6*(F14-W115)/(F35*W122*F14)</f>
        <v>177.48853340269648</v>
      </c>
    </row>
    <row r="128" spans="22:23" ht="12.75">
      <c r="V128" s="5" t="s">
        <v>33</v>
      </c>
      <c r="W128">
        <f>W115*10^6*(F15-W115)/(F35*W122*F15)</f>
        <v>199.67460007803354</v>
      </c>
    </row>
    <row r="129" spans="22:29" ht="12.75">
      <c r="V129" s="5" t="s">
        <v>32</v>
      </c>
      <c r="W129">
        <f>W115*10^6*(F16-W115)/(F35*W122*F16)</f>
        <v>212.98624008323577</v>
      </c>
      <c r="AC129" s="5"/>
    </row>
    <row r="130" spans="22:29" ht="12.75">
      <c r="V130" s="5" t="s">
        <v>94</v>
      </c>
      <c r="W130">
        <f>F17+(W129/2000)</f>
        <v>1.106493120041618</v>
      </c>
      <c r="AC130" s="5"/>
    </row>
    <row r="131" spans="22:29" ht="12.75">
      <c r="V131" s="5" t="s">
        <v>112</v>
      </c>
      <c r="W131">
        <f>Y108+(W129/1000)</f>
        <v>1.7129862400832359</v>
      </c>
      <c r="AC131" s="5"/>
    </row>
    <row r="132" ht="12.75">
      <c r="AC132" s="5"/>
    </row>
    <row r="133" spans="22:29" ht="12.75">
      <c r="V133" s="5" t="s">
        <v>37</v>
      </c>
      <c r="W133">
        <f>Y106+(W127/2000)</f>
        <v>1.0887442667013483</v>
      </c>
      <c r="AC133" s="5"/>
    </row>
    <row r="134" spans="22:29" ht="12.75">
      <c r="V134" s="5" t="s">
        <v>38</v>
      </c>
      <c r="W134">
        <f>Y107+(W128/2000)</f>
        <v>1.3498373000390167</v>
      </c>
      <c r="AC134" s="5"/>
    </row>
    <row r="135" spans="22:29" ht="12.75">
      <c r="V135" s="5" t="s">
        <v>39</v>
      </c>
      <c r="W135">
        <f>Y108+(W129/2000)</f>
        <v>1.606493120041618</v>
      </c>
      <c r="AC135" s="5"/>
    </row>
    <row r="136" ht="12.75">
      <c r="AC136" s="5"/>
    </row>
    <row r="137" spans="22:29" ht="12.75">
      <c r="V137" s="5" t="s">
        <v>119</v>
      </c>
      <c r="W137">
        <f>F48*Y109/(Y101*1000)</f>
        <v>0.0046</v>
      </c>
      <c r="AC137" s="5"/>
    </row>
    <row r="138" spans="22:29" ht="12.75">
      <c r="V138" s="5" t="s">
        <v>123</v>
      </c>
      <c r="W138">
        <f>F50*Y101*1000/Y109</f>
        <v>1.0217391304347827</v>
      </c>
      <c r="AC138" s="5"/>
    </row>
    <row r="139" ht="12.75">
      <c r="AC139" s="5"/>
    </row>
    <row r="140" ht="12.75">
      <c r="AC140" s="5"/>
    </row>
    <row r="141" ht="12.75">
      <c r="W141" s="6" t="s">
        <v>40</v>
      </c>
    </row>
    <row r="142" spans="23:29" ht="12.75">
      <c r="W142" s="6" t="s">
        <v>41</v>
      </c>
      <c r="AC142" s="5"/>
    </row>
    <row r="143" spans="23:29" ht="12.75">
      <c r="W143" s="6" t="s">
        <v>42</v>
      </c>
      <c r="AC143" s="5"/>
    </row>
    <row r="144" spans="22:29" ht="12.75">
      <c r="V144" s="5" t="s">
        <v>44</v>
      </c>
      <c r="W144" s="6">
        <f>25*W115/Y101</f>
        <v>120</v>
      </c>
      <c r="AC144" s="5"/>
    </row>
    <row r="145" spans="22:29" ht="12.75">
      <c r="V145" s="5" t="s">
        <v>43</v>
      </c>
      <c r="W145">
        <f>W144/W127</f>
        <v>0.6761000144597337</v>
      </c>
      <c r="AC145" s="5"/>
    </row>
    <row r="146" spans="22:29" ht="12.75">
      <c r="V146" s="5" t="s">
        <v>68</v>
      </c>
      <c r="W146">
        <f>25/W127</f>
        <v>0.14085416967911116</v>
      </c>
      <c r="AC146" s="5"/>
    </row>
    <row r="147" spans="22:29" ht="12.75">
      <c r="V147" s="5" t="s">
        <v>69</v>
      </c>
      <c r="W147">
        <f>IF(F54="Type 1",W145,W146)</f>
        <v>0.14085416967911116</v>
      </c>
      <c r="AC147" s="5"/>
    </row>
    <row r="148" spans="22:23" ht="12.75">
      <c r="V148" s="5" t="s">
        <v>47</v>
      </c>
      <c r="W148">
        <f>3*W123*1000*(F21+F23)/(F21*F23)</f>
        <v>8619.4427352226</v>
      </c>
    </row>
    <row r="149" spans="22:23" ht="12.75">
      <c r="V149" s="5" t="s">
        <v>48</v>
      </c>
      <c r="W149" s="6">
        <f>W115-(0.65*(1-(W115/F14)))</f>
        <v>11.566666666666666</v>
      </c>
    </row>
    <row r="150" spans="22:23" ht="12.75">
      <c r="V150" s="5" t="s">
        <v>49</v>
      </c>
      <c r="W150">
        <f>(F14-W149)*W123/30</f>
        <v>2.4638450931278095</v>
      </c>
    </row>
    <row r="151" spans="22:23" ht="12.75">
      <c r="V151" s="5" t="s">
        <v>125</v>
      </c>
      <c r="W151" t="e">
        <f>W150*10^6/F59</f>
        <v>#VALUE!</v>
      </c>
    </row>
    <row r="152" ht="12.75">
      <c r="AC152" s="5"/>
    </row>
    <row r="153" ht="12.75">
      <c r="AC153" s="5"/>
    </row>
    <row r="154" spans="22:29" ht="12.75">
      <c r="V154" s="5" t="s">
        <v>100</v>
      </c>
      <c r="W154">
        <f>W129*1000/(8*W122*10)</f>
        <v>23.390368270909278</v>
      </c>
      <c r="AC154" s="5"/>
    </row>
    <row r="155" spans="22:29" ht="12.75">
      <c r="V155" s="5" t="s">
        <v>126</v>
      </c>
      <c r="W155">
        <f>W129*F56</f>
        <v>42.59724801664716</v>
      </c>
      <c r="AC155" s="5"/>
    </row>
    <row r="156" spans="22:29" ht="12.75">
      <c r="V156" s="5" t="s">
        <v>127</v>
      </c>
      <c r="W156">
        <f>W129*1000/(8*W122*F64)</f>
        <v>9.745986779545532</v>
      </c>
      <c r="AC156" s="5"/>
    </row>
    <row r="157" ht="12.75">
      <c r="AC157" s="5"/>
    </row>
    <row r="158" spans="22:29" ht="12.75">
      <c r="V158" s="5" t="s">
        <v>128</v>
      </c>
      <c r="W158">
        <f>F17*W123/0.5</f>
        <v>6.050369942196531</v>
      </c>
      <c r="AC158" s="5"/>
    </row>
    <row r="159" ht="12.75">
      <c r="AC159" s="5"/>
    </row>
    <row r="160" ht="12.75">
      <c r="AC160" s="5"/>
    </row>
    <row r="161" spans="22:29" ht="12.75">
      <c r="V161" s="5" t="s">
        <v>134</v>
      </c>
      <c r="W161" s="6">
        <f>F13</f>
        <v>12</v>
      </c>
      <c r="X161" s="6"/>
      <c r="AC161" s="5"/>
    </row>
    <row r="162" spans="22:29" ht="12.75">
      <c r="V162" s="5" t="s">
        <v>135</v>
      </c>
      <c r="W162" s="6">
        <v>6</v>
      </c>
      <c r="X162" s="6"/>
      <c r="AC162" s="5"/>
    </row>
    <row r="163" spans="22:23" ht="12.75">
      <c r="V163" s="5" t="s">
        <v>136</v>
      </c>
      <c r="W163" s="6">
        <f>IF(W161&gt;W162,W161,W162)</f>
        <v>12</v>
      </c>
    </row>
    <row r="164" ht="12.75">
      <c r="AC164" s="5"/>
    </row>
    <row r="166" ht="12.75">
      <c r="AC166" s="5"/>
    </row>
    <row r="167" ht="12.75">
      <c r="AC167" s="5"/>
    </row>
  </sheetData>
  <sheetProtection sheet="1" objects="1" scenarios="1" selectLockedCells="1"/>
  <conditionalFormatting sqref="F55">
    <cfRule type="expression" priority="1" dxfId="8" stopIfTrue="1">
      <formula>F54="Type 3"</formula>
    </cfRule>
  </conditionalFormatting>
  <conditionalFormatting sqref="F56">
    <cfRule type="expression" priority="2" dxfId="8" stopIfTrue="1">
      <formula>F54="Type 3"</formula>
    </cfRule>
  </conditionalFormatting>
  <conditionalFormatting sqref="F57">
    <cfRule type="expression" priority="3" dxfId="10" stopIfTrue="1">
      <formula>F54="Type 2"</formula>
    </cfRule>
  </conditionalFormatting>
  <conditionalFormatting sqref="F58">
    <cfRule type="expression" priority="4" dxfId="11" stopIfTrue="1">
      <formula>F54="Type 2"</formula>
    </cfRule>
  </conditionalFormatting>
  <conditionalFormatting sqref="F59">
    <cfRule type="expression" priority="5" dxfId="10" stopIfTrue="1">
      <formula>F54="Type 3"</formula>
    </cfRule>
  </conditionalFormatting>
  <conditionalFormatting sqref="F60">
    <cfRule type="expression" priority="6" dxfId="10" stopIfTrue="1">
      <formula>F54="Type 3"</formula>
    </cfRule>
  </conditionalFormatting>
  <conditionalFormatting sqref="F61">
    <cfRule type="expression" priority="7" dxfId="11" stopIfTrue="1">
      <formula>F54="Type 3"</formula>
    </cfRule>
  </conditionalFormatting>
  <conditionalFormatting sqref="F62">
    <cfRule type="expression" priority="8" dxfId="10" stopIfTrue="1">
      <formula>F54="Type 3"</formula>
    </cfRule>
  </conditionalFormatting>
  <conditionalFormatting sqref="F40">
    <cfRule type="cellIs" priority="9" dxfId="0" operator="greaterThanOrEqual" stopIfTrue="1">
      <formula>3.5</formula>
    </cfRule>
  </conditionalFormatting>
  <conditionalFormatting sqref="F43:F45">
    <cfRule type="cellIs" priority="10" dxfId="0" operator="greaterThanOrEqual" stopIfTrue="1">
      <formula>2</formula>
    </cfRule>
  </conditionalFormatting>
  <dataValidations count="12">
    <dataValidation type="decimal" allowBlank="1" showInputMessage="1" showErrorMessage="1" errorTitle="Nominal Input Voltage Error." error="The nominal input voltage must be between the minimum and maximum input voltages." sqref="F15">
      <formula1>F14</formula1>
      <formula2>F16</formula2>
    </dataValidation>
    <dataValidation type="decimal" allowBlank="1" showInputMessage="1" showErrorMessage="1" errorTitle="Maximum Input Voltage Error." error="The maximum input voltage must be no less than the nominal input voltage, and  no greater than 75V." sqref="F16">
      <formula1>F15</formula1>
      <formula2>75</formula2>
    </dataValidation>
    <dataValidation errorStyle="warning" type="decimal" operator="lessThanOrEqual" allowBlank="1" showInputMessage="1" showErrorMessage="1" errorTitle="Switching Frequency Error." error="The selected switching frequency is greater than the maximum allowed frequency based on the input voltage range and the minimum on-time and minimum off-time. The output voltage and/or frequency may be incorrect." sqref="F28">
      <formula1>W119</formula1>
    </dataValidation>
    <dataValidation errorStyle="warning" type="decimal" operator="greaterThanOrEqual" allowBlank="1" showInputMessage="1" showErrorMessage="1" errorTitle="Ron Value Warning" error="The selected value for Ron will result in a nominal frequency higher than the maximum allowed frequency, resulting in possible errors in Vout." sqref="F30">
      <formula1>W121</formula1>
    </dataValidation>
    <dataValidation errorStyle="warning" type="decimal" operator="greaterThanOrEqual" allowBlank="1" showInputMessage="1" showErrorMessage="1" errorTitle="Inductor Value Warning." error="The selected inductor value will result in a ripple current amplitude higher than 20% of the maximum load current." sqref="F35">
      <formula1>W126</formula1>
    </dataValidation>
    <dataValidation errorStyle="warning" type="decimal" operator="greaterThanOrEqual" allowBlank="1" showInputMessage="1" showErrorMessage="1" errorTitle="Cout Value Warning" error="A value smaller than the recommended value will result in higher ripple at Vout, and will affect transient response." sqref="F64">
      <formula1>F63</formula1>
    </dataValidation>
    <dataValidation errorStyle="warning" type="decimal" operator="greaterThanOrEqual" allowBlank="1" showInputMessage="1" showErrorMessage="1" errorTitle="Input Capacitor Value Warning" error="The selected value should generally be larger than the recommended minimum value to prevent the lower peak of the input ripple voltage from reaching the UVLO threshold." sqref="F69">
      <formula1>F68</formula1>
    </dataValidation>
    <dataValidation errorStyle="warning" type="decimal" operator="greaterThanOrEqual" allowBlank="1" showInputMessage="1" showErrorMessage="1" errorTitle="R3 Value Error!" error="The selected value for R3 may result in insufficient ripple voltage at the FB Pin. The switching waveform at SW may be jittery." sqref="F56">
      <formula1>F55</formula1>
    </dataValidation>
    <dataValidation type="list" allowBlank="1" showInputMessage="1" showErrorMessage="1" sqref="F54">
      <formula1>W141:W143</formula1>
    </dataValidation>
    <dataValidation type="decimal" allowBlank="1" showInputMessage="1" showErrorMessage="1" errorTitle="Output Voltage Error" error="The output voltage must be at least 2.5V and no greater than 70V." sqref="F13">
      <formula1>2.5</formula1>
      <formula2>70</formula2>
    </dataValidation>
    <dataValidation type="decimal" operator="greaterThanOrEqual" allowBlank="1" showInputMessage="1" showErrorMessage="1" errorTitle="Minimum Input Voltage error." error="The minimum input voltage must be the larger of 6V or the Desired Output Voltage (Vout)." sqref="F14">
      <formula1>W163</formula1>
    </dataValidation>
    <dataValidation errorStyle="warning" type="decimal" operator="lessThanOrEqual" allowBlank="1" showInputMessage="1" showErrorMessage="1" errorTitle="Possible Load Current Violation." error="Typically the maximum load current should not exceed 1A unless the current limit threshold is increased. See the data sheet for the procedure to do this." sqref="F17">
      <formula1>1</formula1>
    </dataValidation>
  </dataValidations>
  <printOptions/>
  <pageMargins left="0.75" right="0.75" top="1" bottom="1" header="0.5" footer="0.5"/>
  <pageSetup fitToHeight="6" fitToWidth="2" horizontalDpi="600" verticalDpi="600" orientation="landscape" scale="59" r:id="rId9"/>
  <rowBreaks count="2" manualBreakCount="2">
    <brk id="51" max="255" man="1"/>
    <brk id="100" max="255" man="1"/>
  </rowBreaks>
  <colBreaks count="1" manualBreakCount="1">
    <brk id="15" max="65535" man="1"/>
  </colBreaks>
  <drawing r:id="rId8"/>
  <legacyDrawing r:id="rId7"/>
  <oleObjects>
    <oleObject progId="Visio.Drawing.6" shapeId="791816" r:id="rId2"/>
    <oleObject progId="Visio.Drawing.6" shapeId="1389863" r:id="rId3"/>
    <oleObject progId="Visio.Drawing.6" shapeId="1391162" r:id="rId4"/>
    <oleObject progId="Visio.Drawing.6" shapeId="1392708" r:id="rId5"/>
    <oleObject progId="Visio.Drawing.6" shapeId="683571"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dmorgan</dc:creator>
  <cp:keywords/>
  <dc:description/>
  <cp:lastModifiedBy>Timur Haliulin</cp:lastModifiedBy>
  <cp:lastPrinted>2009-07-17T20:42:48Z</cp:lastPrinted>
  <dcterms:created xsi:type="dcterms:W3CDTF">2009-06-05T18:08:56Z</dcterms:created>
  <dcterms:modified xsi:type="dcterms:W3CDTF">2019-06-14T07:31:35Z</dcterms:modified>
  <cp:category/>
  <cp:version/>
  <cp:contentType/>
  <cp:contentStatus/>
</cp:coreProperties>
</file>