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jaewook.lee\Documents\자료\project\V6_6U_Chassis\Datasheet\"/>
    </mc:Choice>
  </mc:AlternateContent>
  <xr:revisionPtr revIDLastSave="0" documentId="13_ncr:1_{E080F08E-E8C7-403E-89B6-2DCC62E616A0}" xr6:coauthVersionLast="47" xr6:coauthVersionMax="47" xr10:uidLastSave="{00000000-0000-0000-0000-000000000000}"/>
  <bookViews>
    <workbookView xWindow="-108" yWindow="-108" windowWidth="46296" windowHeight="25536" tabRatio="529"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Calculator'!$F$62</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Calculator'!$A$1:$M$207</definedName>
    <definedName name="RDIV1">'Design Calculator'!$F$43</definedName>
    <definedName name="RDIV2">'Design Calculator'!$F$44</definedName>
    <definedName name="RDSON">'Design Calculator'!$AN$55</definedName>
    <definedName name="RPWR">'Design Calculator'!$F$67</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Calculator'!$F$78</definedName>
    <definedName name="Tfaultmax">'Design Calculator'!#REF!</definedName>
    <definedName name="ThetaJA">'Design Calculator'!$F$53</definedName>
    <definedName name="TINSERT">'Design Calculator'!$F$93</definedName>
    <definedName name="TINSERTMAX">Equations!$F$108</definedName>
    <definedName name="TINSERTMIN">Equations!$F$106</definedName>
    <definedName name="TJ">'Design Calculator'!$F$63</definedName>
    <definedName name="TJMAX">'Design Calculator'!$AN$56</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Calculator'!$AR$13:$AR$14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6" i="1" l="1"/>
  <c r="AN57" i="1"/>
  <c r="AN58" i="1"/>
  <c r="AN59" i="1"/>
  <c r="AN60" i="1"/>
  <c r="AN61" i="1"/>
  <c r="AN55" i="1"/>
  <c r="F148" i="1"/>
  <c r="F146" i="1"/>
  <c r="F145" i="1"/>
  <c r="G143" i="3" l="1"/>
  <c r="F143" i="3"/>
  <c r="G142" i="3"/>
  <c r="F142" i="3"/>
  <c r="G141" i="3"/>
  <c r="F141" i="3"/>
  <c r="G134" i="3"/>
  <c r="F134" i="3"/>
  <c r="G132" i="3"/>
  <c r="F132" i="3"/>
  <c r="H110" i="3" l="1"/>
  <c r="F41" i="3" l="1"/>
  <c r="F130" i="1" l="1"/>
  <c r="E21" i="14"/>
  <c r="F136" i="1" l="1"/>
  <c r="F135" i="1"/>
  <c r="F143" i="1" l="1"/>
  <c r="F142" i="1"/>
  <c r="F141" i="1"/>
  <c r="F120" i="1"/>
  <c r="F121" i="1" s="1"/>
  <c r="F39" i="3" l="1"/>
  <c r="H109" i="3"/>
  <c r="G139" i="3" l="1"/>
  <c r="F138" i="3"/>
  <c r="G140" i="3"/>
  <c r="G138" i="3"/>
  <c r="G130" i="3"/>
  <c r="G131" i="3" s="1"/>
  <c r="F103" i="1" s="1"/>
  <c r="F139" i="3"/>
  <c r="F140" i="3"/>
  <c r="G137" i="3"/>
  <c r="G133" i="3"/>
  <c r="F137" i="3"/>
  <c r="F136" i="3"/>
  <c r="G136" i="3"/>
  <c r="G135" i="3"/>
  <c r="F135" i="3"/>
  <c r="F110" i="1"/>
  <c r="F133" i="3"/>
  <c r="E29" i="14"/>
  <c r="E35" i="14" s="1"/>
  <c r="E36" i="14" s="1"/>
  <c r="E27" i="14"/>
  <c r="E26" i="14"/>
  <c r="H41" i="14" s="1"/>
  <c r="E25" i="14"/>
  <c r="C9" i="7"/>
  <c r="H24" i="7"/>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R2" i="13"/>
  <c r="Q2" i="13"/>
  <c r="J2" i="13"/>
  <c r="H2" i="13"/>
  <c r="G2" i="13"/>
  <c r="F2" i="13"/>
  <c r="O216" i="3"/>
  <c r="J111" i="3"/>
  <c r="J110" i="3"/>
  <c r="J109" i="3"/>
  <c r="I111" i="3"/>
  <c r="I110" i="3"/>
  <c r="I109" i="3"/>
  <c r="H111" i="3"/>
  <c r="G128" i="3"/>
  <c r="G129" i="3" s="1"/>
  <c r="F177" i="3"/>
  <c r="F176" i="3"/>
  <c r="F175" i="3"/>
  <c r="F152" i="3"/>
  <c r="F151" i="3"/>
  <c r="F128" i="3"/>
  <c r="F117" i="3"/>
  <c r="F116" i="3"/>
  <c r="K142" i="1" s="1"/>
  <c r="F115" i="3"/>
  <c r="F114" i="3"/>
  <c r="F113" i="3"/>
  <c r="K141" i="1" s="1"/>
  <c r="F112" i="3"/>
  <c r="F77" i="3"/>
  <c r="F78" i="3" s="1"/>
  <c r="F91" i="1" s="1"/>
  <c r="F75" i="3"/>
  <c r="F76" i="3" s="1"/>
  <c r="F89" i="1" s="1"/>
  <c r="F63" i="3"/>
  <c r="F61" i="3"/>
  <c r="F62" i="3" s="1"/>
  <c r="F84" i="1" s="1"/>
  <c r="F57" i="3"/>
  <c r="F58" i="3" s="1"/>
  <c r="F78" i="1" s="1"/>
  <c r="F54" i="3"/>
  <c r="F36" i="3"/>
  <c r="F35" i="3"/>
  <c r="F34" i="3"/>
  <c r="F33" i="3"/>
  <c r="E279" i="3"/>
  <c r="E277" i="3"/>
  <c r="E17" i="3"/>
  <c r="E16" i="3"/>
  <c r="E15" i="3"/>
  <c r="L18" i="6"/>
  <c r="M18" i="6" s="1"/>
  <c r="L17" i="6"/>
  <c r="M17" i="6" s="1"/>
  <c r="D26" i="6"/>
  <c r="D4" i="7"/>
  <c r="C4" i="7"/>
  <c r="B4" i="7"/>
  <c r="F62" i="1"/>
  <c r="AN43" i="1"/>
  <c r="G71" i="1"/>
  <c r="F137" i="1"/>
  <c r="F134" i="1"/>
  <c r="F133" i="1"/>
  <c r="F132" i="1"/>
  <c r="F131" i="1"/>
  <c r="F129" i="1"/>
  <c r="F126" i="1"/>
  <c r="F4" i="7"/>
  <c r="N18" i="6"/>
  <c r="N17" i="6"/>
  <c r="D2" i="13"/>
  <c r="C8" i="7" l="1"/>
  <c r="C10" i="7" s="1"/>
  <c r="C11" i="7" s="1"/>
  <c r="E32" i="14"/>
  <c r="F35" i="14" s="1"/>
  <c r="E37" i="14"/>
  <c r="E40" i="14" s="1"/>
  <c r="Y24" i="13"/>
  <c r="F111" i="1"/>
  <c r="E4" i="7"/>
  <c r="F63" i="1"/>
  <c r="H36" i="3" s="1"/>
  <c r="F100" i="1"/>
  <c r="F125" i="1"/>
  <c r="F153" i="3"/>
  <c r="H42" i="14"/>
  <c r="C113" i="13"/>
  <c r="C87" i="13"/>
  <c r="C114" i="13"/>
  <c r="F124" i="1"/>
  <c r="G41" i="14"/>
  <c r="G42" i="14" s="1"/>
  <c r="C111" i="13"/>
  <c r="C112" i="13"/>
  <c r="C34" i="7"/>
  <c r="J25" i="14" s="1"/>
  <c r="F41" i="14"/>
  <c r="F42" i="14" s="1"/>
  <c r="C10" i="13"/>
  <c r="C22" i="13"/>
  <c r="C34" i="13"/>
  <c r="C50" i="13"/>
  <c r="C78" i="13"/>
  <c r="C82" i="13"/>
  <c r="C86" i="13"/>
  <c r="C98" i="13"/>
  <c r="I41" i="14"/>
  <c r="I42" i="14" s="1"/>
  <c r="C80" i="13"/>
  <c r="F130" i="3"/>
  <c r="F129" i="3" s="1"/>
  <c r="F101" i="1" s="1"/>
  <c r="F107" i="3"/>
  <c r="F93" i="1" s="1"/>
  <c r="K134" i="1" s="1"/>
  <c r="F64" i="3"/>
  <c r="F66" i="3" s="1"/>
  <c r="F108" i="3"/>
  <c r="F111" i="3"/>
  <c r="E111" i="1"/>
  <c r="K138" i="1" s="1"/>
  <c r="E110" i="1"/>
  <c r="K137" i="1" s="1"/>
  <c r="D113" i="1"/>
  <c r="E113" i="1"/>
  <c r="K140" i="1" s="1"/>
  <c r="F113" i="1"/>
  <c r="D111" i="1"/>
  <c r="E112" i="1"/>
  <c r="K139" i="1" s="1"/>
  <c r="F112" i="1"/>
  <c r="D112" i="1"/>
  <c r="D110" i="1"/>
  <c r="F109" i="3"/>
  <c r="Q17" i="6"/>
  <c r="F20" i="3"/>
  <c r="F38" i="1" s="1"/>
  <c r="AO53" i="1"/>
  <c r="D34" i="7"/>
  <c r="F106" i="3"/>
  <c r="F110" i="3"/>
  <c r="F94" i="1" s="1"/>
  <c r="K136"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K135" i="1" l="1"/>
  <c r="H25" i="7"/>
  <c r="F127" i="1"/>
  <c r="F128" i="1"/>
  <c r="H35" i="3"/>
  <c r="H33" i="3"/>
  <c r="C25" i="7"/>
  <c r="H34" i="3"/>
  <c r="E23" i="14"/>
  <c r="K25" i="14"/>
  <c r="E34" i="7"/>
  <c r="C33" i="7"/>
  <c r="J24" i="14" s="1"/>
  <c r="F86" i="1"/>
  <c r="F65" i="3"/>
  <c r="P97" i="13" s="1"/>
  <c r="D33" i="7"/>
  <c r="K24" i="14" s="1"/>
  <c r="F102" i="1"/>
  <c r="F40" i="14"/>
  <c r="F39" i="14"/>
  <c r="E44" i="14"/>
  <c r="C12" i="7"/>
  <c r="C14" i="7"/>
  <c r="G36" i="14"/>
  <c r="H35" i="14"/>
  <c r="G37" i="14"/>
  <c r="F23" i="3"/>
  <c r="F21" i="3"/>
  <c r="F41" i="1" s="1"/>
  <c r="E19" i="14" l="1"/>
  <c r="H27" i="7"/>
  <c r="F42" i="3"/>
  <c r="F40" i="3"/>
  <c r="F66" i="1" s="1"/>
  <c r="C15" i="7"/>
  <c r="C13" i="7"/>
  <c r="E33" i="7"/>
  <c r="L24" i="14" s="1"/>
  <c r="F34" i="7"/>
  <c r="L25" i="14"/>
  <c r="F38" i="3"/>
  <c r="F64" i="1" s="1"/>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20"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42" i="1" s="1"/>
  <c r="G40" i="14"/>
  <c r="G39" i="14"/>
  <c r="I35" i="14"/>
  <c r="H36" i="14"/>
  <c r="H37" i="14"/>
  <c r="I2" i="13"/>
  <c r="F26" i="3"/>
  <c r="E278" i="3"/>
  <c r="F45" i="1"/>
  <c r="F25" i="3"/>
  <c r="F24" i="3"/>
  <c r="F44" i="14"/>
  <c r="C19" i="7" l="1"/>
  <c r="C18" i="7" s="1"/>
  <c r="C20" i="7" s="1"/>
  <c r="C22" i="7" s="1"/>
  <c r="C26" i="7" s="1"/>
  <c r="F33" i="7"/>
  <c r="M24" i="14" s="1"/>
  <c r="M25" i="14"/>
  <c r="Q6" i="13"/>
  <c r="Q5" i="13"/>
  <c r="F180" i="3"/>
  <c r="F47" i="1"/>
  <c r="H40" i="14"/>
  <c r="H39" i="14"/>
  <c r="F181" i="3"/>
  <c r="F27" i="3"/>
  <c r="F49" i="1" s="1"/>
  <c r="F48" i="1"/>
  <c r="AN53" i="1"/>
  <c r="F179" i="3"/>
  <c r="F46" i="1"/>
  <c r="G44" i="14"/>
  <c r="F47" i="3"/>
  <c r="F68" i="1"/>
  <c r="J35" i="14"/>
  <c r="I37" i="14"/>
  <c r="I36" i="14"/>
  <c r="O211" i="3" l="1"/>
  <c r="O212" i="3" s="1"/>
  <c r="C42" i="7"/>
  <c r="C39" i="7"/>
  <c r="C43" i="7"/>
  <c r="C40" i="7"/>
  <c r="C41" i="7"/>
  <c r="F59" i="3"/>
  <c r="F79" i="1" s="1"/>
  <c r="X193" i="3"/>
  <c r="V272" i="3" s="1"/>
  <c r="F79" i="3"/>
  <c r="F80" i="3" s="1"/>
  <c r="F92" i="1" s="1"/>
  <c r="O201" i="3"/>
  <c r="O203" i="3" s="1"/>
  <c r="O197" i="3"/>
  <c r="O206" i="3"/>
  <c r="K130" i="1"/>
  <c r="K132" i="1"/>
  <c r="B2" i="13"/>
  <c r="K131" i="1"/>
  <c r="K35" i="14"/>
  <c r="J36" i="14"/>
  <c r="J37" i="14"/>
  <c r="C2" i="13"/>
  <c r="I39" i="14"/>
  <c r="I40" i="14"/>
  <c r="F48" i="3"/>
  <c r="F185" i="3" s="1"/>
  <c r="F184" i="3"/>
  <c r="F46" i="3"/>
  <c r="F183" i="3" s="1"/>
  <c r="H44" i="14"/>
  <c r="O214" i="3" l="1"/>
  <c r="O207" i="3"/>
  <c r="O215" i="3"/>
  <c r="O213" i="3"/>
  <c r="O208" i="3"/>
  <c r="V265" i="3"/>
  <c r="O209" i="3"/>
  <c r="V196" i="3"/>
  <c r="V271" i="3"/>
  <c r="V230" i="3"/>
  <c r="V258" i="3"/>
  <c r="V228" i="3"/>
  <c r="V227" i="3"/>
  <c r="V200" i="3"/>
  <c r="V226" i="3"/>
  <c r="V257" i="3"/>
  <c r="V223" i="3"/>
  <c r="V245" i="3"/>
  <c r="V218" i="3"/>
  <c r="V263" i="3"/>
  <c r="V253" i="3"/>
  <c r="V242" i="3"/>
  <c r="V215" i="3"/>
  <c r="V268" i="3"/>
  <c r="V229" i="3"/>
  <c r="V205" i="3"/>
  <c r="V206" i="3"/>
  <c r="V197" i="3"/>
  <c r="V195" i="3"/>
  <c r="V241" i="3"/>
  <c r="V216" i="3"/>
  <c r="V262" i="3"/>
  <c r="V251" i="3"/>
  <c r="V240" i="3"/>
  <c r="V213" i="3"/>
  <c r="V231" i="3"/>
  <c r="V193" i="3"/>
  <c r="V198" i="3"/>
  <c r="V194" i="3"/>
  <c r="V207" i="3"/>
  <c r="V247" i="3"/>
  <c r="V237" i="3"/>
  <c r="V220" i="3"/>
  <c r="V210" i="3"/>
  <c r="V266" i="3"/>
  <c r="V259" i="3"/>
  <c r="V254" i="3"/>
  <c r="V233" i="3"/>
  <c r="V244" i="3"/>
  <c r="V234" i="3"/>
  <c r="V219" i="3"/>
  <c r="V270" i="3"/>
  <c r="V201" i="3"/>
  <c r="V204" i="3"/>
  <c r="V203" i="3"/>
  <c r="V249" i="3"/>
  <c r="V239" i="3"/>
  <c r="V224" i="3"/>
  <c r="V212" i="3"/>
  <c r="V267" i="3"/>
  <c r="V261" i="3"/>
  <c r="V255" i="3"/>
  <c r="V250" i="3"/>
  <c r="V248" i="3"/>
  <c r="V236" i="3"/>
  <c r="V221" i="3"/>
  <c r="V211" i="3"/>
  <c r="V209" i="3"/>
  <c r="V202" i="3"/>
  <c r="V208" i="3"/>
  <c r="V199" i="3"/>
  <c r="V243" i="3"/>
  <c r="V235" i="3"/>
  <c r="V222" i="3"/>
  <c r="V214" i="3"/>
  <c r="V269" i="3"/>
  <c r="V264" i="3"/>
  <c r="V260" i="3"/>
  <c r="V256" i="3"/>
  <c r="V252" i="3"/>
  <c r="V232" i="3"/>
  <c r="V246" i="3"/>
  <c r="V238" i="3"/>
  <c r="V225" i="3"/>
  <c r="V217" i="3"/>
  <c r="O198" i="3"/>
  <c r="O200" i="3"/>
  <c r="O204" i="3"/>
  <c r="O210" i="3"/>
  <c r="O199" i="3"/>
  <c r="O202" i="3"/>
  <c r="O205" i="3"/>
  <c r="D113" i="13"/>
  <c r="D109" i="13"/>
  <c r="E109" i="13" s="1"/>
  <c r="D105" i="13"/>
  <c r="E105" i="13" s="1"/>
  <c r="D101" i="13"/>
  <c r="E101" i="13" s="1"/>
  <c r="D97" i="13"/>
  <c r="E97" i="13" s="1"/>
  <c r="D93" i="13"/>
  <c r="E93" i="13" s="1"/>
  <c r="D89" i="13"/>
  <c r="E89" i="13" s="1"/>
  <c r="D85" i="13"/>
  <c r="E85" i="13" s="1"/>
  <c r="D81" i="13"/>
  <c r="E81" i="13" s="1"/>
  <c r="D77" i="13"/>
  <c r="E77" i="13" s="1"/>
  <c r="D73" i="13"/>
  <c r="E73" i="13" s="1"/>
  <c r="D69" i="13"/>
  <c r="E69" i="13" s="1"/>
  <c r="D65" i="13"/>
  <c r="E65" i="13" s="1"/>
  <c r="D61" i="13"/>
  <c r="E61" i="13" s="1"/>
  <c r="D57" i="13"/>
  <c r="E57" i="13" s="1"/>
  <c r="D53" i="13"/>
  <c r="E53" i="13" s="1"/>
  <c r="D49" i="13"/>
  <c r="E49" i="13" s="1"/>
  <c r="D45" i="13"/>
  <c r="E45" i="13" s="1"/>
  <c r="D41" i="13"/>
  <c r="E41" i="13" s="1"/>
  <c r="D37" i="13"/>
  <c r="E37" i="13" s="1"/>
  <c r="D33" i="13"/>
  <c r="E33" i="13" s="1"/>
  <c r="D29" i="13"/>
  <c r="E29" i="13" s="1"/>
  <c r="G29" i="13" s="1"/>
  <c r="D25" i="13"/>
  <c r="E25" i="13" s="1"/>
  <c r="M25" i="13" s="1"/>
  <c r="D21" i="13"/>
  <c r="E21" i="13" s="1"/>
  <c r="D17" i="13"/>
  <c r="E17" i="13" s="1"/>
  <c r="M17" i="13" s="1"/>
  <c r="D13" i="13"/>
  <c r="E13" i="13" s="1"/>
  <c r="M13" i="13" s="1"/>
  <c r="D112" i="13"/>
  <c r="D108" i="13"/>
  <c r="E108" i="13" s="1"/>
  <c r="D104" i="13"/>
  <c r="E104" i="13" s="1"/>
  <c r="D100" i="13"/>
  <c r="E100" i="13" s="1"/>
  <c r="D96" i="13"/>
  <c r="E96" i="13" s="1"/>
  <c r="D92" i="13"/>
  <c r="E92" i="13" s="1"/>
  <c r="D88" i="13"/>
  <c r="E88" i="13" s="1"/>
  <c r="D84" i="13"/>
  <c r="E84" i="13" s="1"/>
  <c r="D80" i="13"/>
  <c r="E80" i="13" s="1"/>
  <c r="D76" i="13"/>
  <c r="E76" i="13" s="1"/>
  <c r="D72" i="13"/>
  <c r="E72" i="13" s="1"/>
  <c r="D68" i="13"/>
  <c r="E68" i="13" s="1"/>
  <c r="D64" i="13"/>
  <c r="E64" i="13" s="1"/>
  <c r="D60" i="13"/>
  <c r="E60" i="13" s="1"/>
  <c r="D56" i="13"/>
  <c r="E56" i="13" s="1"/>
  <c r="D52" i="13"/>
  <c r="E52" i="13" s="1"/>
  <c r="D48" i="13"/>
  <c r="E48" i="13" s="1"/>
  <c r="D44" i="13"/>
  <c r="E44" i="13" s="1"/>
  <c r="D40" i="13"/>
  <c r="E40" i="13" s="1"/>
  <c r="D36" i="13"/>
  <c r="E36" i="13" s="1"/>
  <c r="D32" i="13"/>
  <c r="E32" i="13" s="1"/>
  <c r="D28" i="13"/>
  <c r="E28" i="13" s="1"/>
  <c r="M28" i="13" s="1"/>
  <c r="D24" i="13"/>
  <c r="E24" i="13" s="1"/>
  <c r="M24" i="13" s="1"/>
  <c r="D20" i="13"/>
  <c r="E20" i="13" s="1"/>
  <c r="D16" i="13"/>
  <c r="E16" i="13" s="1"/>
  <c r="M16" i="13" s="1"/>
  <c r="D12" i="13"/>
  <c r="E12" i="13" s="1"/>
  <c r="M12" i="13" s="1"/>
  <c r="D111" i="13"/>
  <c r="D107" i="13"/>
  <c r="E107" i="13" s="1"/>
  <c r="D103" i="13"/>
  <c r="E103" i="13" s="1"/>
  <c r="D99" i="13"/>
  <c r="E99" i="13" s="1"/>
  <c r="D95" i="13"/>
  <c r="E95" i="13" s="1"/>
  <c r="D91" i="13"/>
  <c r="E91" i="13" s="1"/>
  <c r="D87" i="13"/>
  <c r="E87" i="13" s="1"/>
  <c r="D83" i="13"/>
  <c r="E83" i="13" s="1"/>
  <c r="D79" i="13"/>
  <c r="E79" i="13" s="1"/>
  <c r="D75" i="13"/>
  <c r="E75" i="13" s="1"/>
  <c r="D71" i="13"/>
  <c r="E71" i="13" s="1"/>
  <c r="D67" i="13"/>
  <c r="E67" i="13" s="1"/>
  <c r="D63" i="13"/>
  <c r="E63" i="13" s="1"/>
  <c r="D59" i="13"/>
  <c r="E59" i="13" s="1"/>
  <c r="D55" i="13"/>
  <c r="E55" i="13" s="1"/>
  <c r="D51" i="13"/>
  <c r="E51" i="13" s="1"/>
  <c r="D47" i="13"/>
  <c r="E47" i="13" s="1"/>
  <c r="D43" i="13"/>
  <c r="E43" i="13" s="1"/>
  <c r="D39" i="13"/>
  <c r="E39" i="13" s="1"/>
  <c r="D35" i="13"/>
  <c r="E35" i="13" s="1"/>
  <c r="D31" i="13"/>
  <c r="E31" i="13" s="1"/>
  <c r="M31" i="13" s="1"/>
  <c r="D27" i="13"/>
  <c r="E27" i="13" s="1"/>
  <c r="M27" i="13" s="1"/>
  <c r="D23" i="13"/>
  <c r="E23" i="13" s="1"/>
  <c r="D19" i="13"/>
  <c r="E19" i="13" s="1"/>
  <c r="D15" i="13"/>
  <c r="E15" i="13" s="1"/>
  <c r="M15" i="13" s="1"/>
  <c r="D11" i="13"/>
  <c r="E11" i="13" s="1"/>
  <c r="M11" i="13" s="1"/>
  <c r="D114" i="13"/>
  <c r="D110" i="13"/>
  <c r="E110" i="13" s="1"/>
  <c r="D106" i="13"/>
  <c r="E106" i="13" s="1"/>
  <c r="D102" i="13"/>
  <c r="E102" i="13" s="1"/>
  <c r="D98" i="13"/>
  <c r="E98" i="13" s="1"/>
  <c r="D94" i="13"/>
  <c r="E94" i="13" s="1"/>
  <c r="D90" i="13"/>
  <c r="E90" i="13" s="1"/>
  <c r="D82" i="13"/>
  <c r="E82" i="13" s="1"/>
  <c r="D66" i="13"/>
  <c r="E66" i="13" s="1"/>
  <c r="D50" i="13"/>
  <c r="E50" i="13" s="1"/>
  <c r="D34" i="13"/>
  <c r="E34" i="13" s="1"/>
  <c r="D18" i="13"/>
  <c r="E18" i="13" s="1"/>
  <c r="D78" i="13"/>
  <c r="E78" i="13" s="1"/>
  <c r="D62" i="13"/>
  <c r="E62" i="13" s="1"/>
  <c r="D46" i="13"/>
  <c r="E46" i="13" s="1"/>
  <c r="D30" i="13"/>
  <c r="E30" i="13" s="1"/>
  <c r="M30" i="13" s="1"/>
  <c r="D14" i="13"/>
  <c r="E14" i="13" s="1"/>
  <c r="M14" i="13" s="1"/>
  <c r="D74" i="13"/>
  <c r="E74" i="13" s="1"/>
  <c r="D58" i="13"/>
  <c r="E58" i="13" s="1"/>
  <c r="D42" i="13"/>
  <c r="E42" i="13" s="1"/>
  <c r="D26" i="13"/>
  <c r="E26" i="13" s="1"/>
  <c r="D86" i="13"/>
  <c r="E86" i="13" s="1"/>
  <c r="D70" i="13"/>
  <c r="E70" i="13" s="1"/>
  <c r="D54" i="13"/>
  <c r="E54" i="13" s="1"/>
  <c r="D38" i="13"/>
  <c r="E38" i="13" s="1"/>
  <c r="D22" i="13"/>
  <c r="E22" i="13" s="1"/>
  <c r="M22" i="13" s="1"/>
  <c r="D10" i="13"/>
  <c r="E10" i="13" s="1"/>
  <c r="M10" i="13" s="1"/>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F209" i="3"/>
  <c r="F205" i="3"/>
  <c r="F201" i="3"/>
  <c r="F197" i="3"/>
  <c r="F193" i="3"/>
  <c r="F204" i="3"/>
  <c r="F206" i="3"/>
  <c r="F202" i="3"/>
  <c r="F198" i="3"/>
  <c r="F194" i="3"/>
  <c r="F208" i="3"/>
  <c r="F200" i="3"/>
  <c r="F196" i="3"/>
  <c r="F203" i="3"/>
  <c r="F199" i="3"/>
  <c r="F207" i="3"/>
  <c r="F195" i="3"/>
  <c r="J39" i="14"/>
  <c r="J40" i="14"/>
  <c r="I44" i="14"/>
  <c r="E112" i="13"/>
  <c r="E111" i="13"/>
  <c r="E114" i="13"/>
  <c r="E113" i="13"/>
  <c r="L35" i="14"/>
  <c r="K37" i="14"/>
  <c r="K36" i="14"/>
  <c r="G24" i="13" l="1"/>
  <c r="H24" i="13" s="1"/>
  <c r="G30" i="13"/>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22" i="3"/>
  <c r="L222" i="3" s="1"/>
  <c r="U222" i="3" s="1"/>
  <c r="K222" i="3"/>
  <c r="T222" i="3" s="1"/>
  <c r="B222" i="3"/>
  <c r="E222" i="3"/>
  <c r="J222" i="3" s="1"/>
  <c r="S222" i="3" s="1"/>
  <c r="B217" i="3"/>
  <c r="G217" i="3"/>
  <c r="L217" i="3" s="1"/>
  <c r="U217" i="3" s="1"/>
  <c r="K217" i="3"/>
  <c r="T217" i="3" s="1"/>
  <c r="E217" i="3"/>
  <c r="J217" i="3" s="1"/>
  <c r="S217" i="3" s="1"/>
  <c r="K211" i="3"/>
  <c r="T211" i="3" s="1"/>
  <c r="E211" i="3"/>
  <c r="J211" i="3" s="1"/>
  <c r="S211" i="3" s="1"/>
  <c r="B211" i="3"/>
  <c r="G211" i="3"/>
  <c r="L211" i="3" s="1"/>
  <c r="U211" i="3" s="1"/>
  <c r="B241" i="3"/>
  <c r="G241" i="3"/>
  <c r="L241" i="3" s="1"/>
  <c r="U241" i="3" s="1"/>
  <c r="K241" i="3"/>
  <c r="T241" i="3" s="1"/>
  <c r="E241" i="3"/>
  <c r="J241" i="3" s="1"/>
  <c r="S241" i="3" s="1"/>
  <c r="E265" i="3"/>
  <c r="J265" i="3" s="1"/>
  <c r="S265" i="3" s="1"/>
  <c r="K265" i="3"/>
  <c r="T265" i="3" s="1"/>
  <c r="G265" i="3"/>
  <c r="L265" i="3" s="1"/>
  <c r="U265" i="3" s="1"/>
  <c r="B265" i="3"/>
  <c r="G216" i="3"/>
  <c r="L216" i="3" s="1"/>
  <c r="U216" i="3" s="1"/>
  <c r="K216" i="3"/>
  <c r="T216" i="3" s="1"/>
  <c r="E216" i="3"/>
  <c r="J216" i="3" s="1"/>
  <c r="S216" i="3" s="1"/>
  <c r="B216" i="3"/>
  <c r="G240" i="3"/>
  <c r="L240" i="3" s="1"/>
  <c r="U240" i="3" s="1"/>
  <c r="B240" i="3"/>
  <c r="K240" i="3"/>
  <c r="T240" i="3" s="1"/>
  <c r="E240" i="3"/>
  <c r="J240" i="3" s="1"/>
  <c r="S240" i="3" s="1"/>
  <c r="G272" i="3"/>
  <c r="L272" i="3" s="1"/>
  <c r="U272" i="3" s="1"/>
  <c r="B272" i="3"/>
  <c r="K272" i="3"/>
  <c r="T272" i="3" s="1"/>
  <c r="E272" i="3"/>
  <c r="J272" i="3" s="1"/>
  <c r="S272" i="3" s="1"/>
  <c r="G256" i="3"/>
  <c r="L256" i="3" s="1"/>
  <c r="U256" i="3" s="1"/>
  <c r="B256" i="3"/>
  <c r="K256" i="3"/>
  <c r="T256" i="3" s="1"/>
  <c r="E256" i="3"/>
  <c r="J256" i="3" s="1"/>
  <c r="S256" i="3" s="1"/>
  <c r="G242" i="3"/>
  <c r="L242" i="3" s="1"/>
  <c r="U242" i="3" s="1"/>
  <c r="K242" i="3"/>
  <c r="T242" i="3" s="1"/>
  <c r="B242" i="3"/>
  <c r="E242" i="3"/>
  <c r="J242" i="3" s="1"/>
  <c r="S242" i="3" s="1"/>
  <c r="G226" i="3"/>
  <c r="L226" i="3" s="1"/>
  <c r="U226" i="3" s="1"/>
  <c r="K226" i="3"/>
  <c r="T226" i="3" s="1"/>
  <c r="B226" i="3"/>
  <c r="E226" i="3"/>
  <c r="J226" i="3" s="1"/>
  <c r="S226" i="3" s="1"/>
  <c r="G210" i="3"/>
  <c r="L210" i="3" s="1"/>
  <c r="U210" i="3" s="1"/>
  <c r="K210" i="3"/>
  <c r="T210" i="3" s="1"/>
  <c r="B210" i="3"/>
  <c r="E210" i="3"/>
  <c r="J210" i="3" s="1"/>
  <c r="S210" i="3" s="1"/>
  <c r="G258" i="3"/>
  <c r="L258" i="3" s="1"/>
  <c r="U258" i="3" s="1"/>
  <c r="K258" i="3"/>
  <c r="T258" i="3" s="1"/>
  <c r="B258" i="3"/>
  <c r="E258" i="3"/>
  <c r="J258" i="3" s="1"/>
  <c r="S258" i="3" s="1"/>
  <c r="K239" i="3"/>
  <c r="T239" i="3" s="1"/>
  <c r="B239" i="3"/>
  <c r="G239" i="3"/>
  <c r="L239" i="3" s="1"/>
  <c r="U239" i="3" s="1"/>
  <c r="E239" i="3"/>
  <c r="J239" i="3" s="1"/>
  <c r="S239" i="3" s="1"/>
  <c r="K223" i="3"/>
  <c r="T223" i="3" s="1"/>
  <c r="B223" i="3"/>
  <c r="G223" i="3"/>
  <c r="L223" i="3" s="1"/>
  <c r="U223" i="3" s="1"/>
  <c r="E223" i="3"/>
  <c r="J223" i="3" s="1"/>
  <c r="S223" i="3" s="1"/>
  <c r="B233" i="3"/>
  <c r="G233" i="3"/>
  <c r="L233" i="3" s="1"/>
  <c r="U233" i="3" s="1"/>
  <c r="E233" i="3"/>
  <c r="J233" i="3" s="1"/>
  <c r="S233" i="3" s="1"/>
  <c r="K233" i="3"/>
  <c r="T233" i="3" s="1"/>
  <c r="K255" i="3"/>
  <c r="T255" i="3" s="1"/>
  <c r="G255" i="3"/>
  <c r="L255" i="3" s="1"/>
  <c r="U255" i="3" s="1"/>
  <c r="B255" i="3"/>
  <c r="E255" i="3"/>
  <c r="J255" i="3" s="1"/>
  <c r="S255" i="3" s="1"/>
  <c r="G270" i="3"/>
  <c r="L270" i="3" s="1"/>
  <c r="U270" i="3" s="1"/>
  <c r="K270" i="3"/>
  <c r="T270" i="3" s="1"/>
  <c r="B270" i="3"/>
  <c r="E270" i="3"/>
  <c r="J270" i="3" s="1"/>
  <c r="S270" i="3" s="1"/>
  <c r="G268" i="3"/>
  <c r="L268" i="3" s="1"/>
  <c r="U268" i="3" s="1"/>
  <c r="B268" i="3"/>
  <c r="E268" i="3"/>
  <c r="J268" i="3" s="1"/>
  <c r="S268" i="3" s="1"/>
  <c r="K268" i="3"/>
  <c r="T268" i="3" s="1"/>
  <c r="G230" i="3"/>
  <c r="L230" i="3" s="1"/>
  <c r="U230" i="3" s="1"/>
  <c r="K230" i="3"/>
  <c r="T230" i="3" s="1"/>
  <c r="B230" i="3"/>
  <c r="E230" i="3"/>
  <c r="J230" i="3" s="1"/>
  <c r="S230" i="3" s="1"/>
  <c r="G254" i="3"/>
  <c r="L254" i="3" s="1"/>
  <c r="U254" i="3" s="1"/>
  <c r="K254" i="3"/>
  <c r="T254" i="3" s="1"/>
  <c r="B254" i="3"/>
  <c r="E254" i="3"/>
  <c r="J254" i="3" s="1"/>
  <c r="S254" i="3" s="1"/>
  <c r="G262" i="3"/>
  <c r="L262" i="3" s="1"/>
  <c r="U262" i="3" s="1"/>
  <c r="K262" i="3"/>
  <c r="T262" i="3" s="1"/>
  <c r="B262" i="3"/>
  <c r="E262" i="3"/>
  <c r="J262" i="3" s="1"/>
  <c r="S262" i="3" s="1"/>
  <c r="K235" i="3"/>
  <c r="T235" i="3" s="1"/>
  <c r="B235" i="3"/>
  <c r="G235" i="3"/>
  <c r="L235" i="3" s="1"/>
  <c r="U235" i="3" s="1"/>
  <c r="E235" i="3"/>
  <c r="J235" i="3" s="1"/>
  <c r="S235" i="3" s="1"/>
  <c r="K267" i="3"/>
  <c r="T267" i="3" s="1"/>
  <c r="B267" i="3"/>
  <c r="G267" i="3"/>
  <c r="L267" i="3" s="1"/>
  <c r="U267" i="3" s="1"/>
  <c r="E267" i="3"/>
  <c r="J267" i="3" s="1"/>
  <c r="S267" i="3" s="1"/>
  <c r="E253" i="3"/>
  <c r="J253" i="3" s="1"/>
  <c r="S253" i="3" s="1"/>
  <c r="K253" i="3"/>
  <c r="T253" i="3" s="1"/>
  <c r="B253" i="3"/>
  <c r="G253" i="3"/>
  <c r="L253" i="3" s="1"/>
  <c r="U253" i="3" s="1"/>
  <c r="B237" i="3"/>
  <c r="K237" i="3"/>
  <c r="T237" i="3" s="1"/>
  <c r="E237" i="3"/>
  <c r="J237" i="3" s="1"/>
  <c r="S237" i="3" s="1"/>
  <c r="G237" i="3"/>
  <c r="L237" i="3" s="1"/>
  <c r="U237" i="3" s="1"/>
  <c r="B221" i="3"/>
  <c r="K221" i="3"/>
  <c r="T221" i="3" s="1"/>
  <c r="E221" i="3"/>
  <c r="J221" i="3" s="1"/>
  <c r="S221" i="3" s="1"/>
  <c r="G221" i="3"/>
  <c r="L221" i="3" s="1"/>
  <c r="U221" i="3" s="1"/>
  <c r="E269" i="3"/>
  <c r="J269" i="3" s="1"/>
  <c r="S269" i="3" s="1"/>
  <c r="G269" i="3"/>
  <c r="L269" i="3" s="1"/>
  <c r="U269" i="3" s="1"/>
  <c r="K269" i="3"/>
  <c r="T269" i="3" s="1"/>
  <c r="B269" i="3"/>
  <c r="G252" i="3"/>
  <c r="L252" i="3" s="1"/>
  <c r="U252" i="3" s="1"/>
  <c r="B252" i="3"/>
  <c r="E252" i="3"/>
  <c r="J252" i="3" s="1"/>
  <c r="S252" i="3" s="1"/>
  <c r="K252" i="3"/>
  <c r="T252" i="3" s="1"/>
  <c r="G236" i="3"/>
  <c r="L236" i="3" s="1"/>
  <c r="U236" i="3" s="1"/>
  <c r="B236" i="3"/>
  <c r="K236" i="3"/>
  <c r="T236" i="3" s="1"/>
  <c r="E236" i="3"/>
  <c r="J236" i="3" s="1"/>
  <c r="S236" i="3" s="1"/>
  <c r="G220" i="3"/>
  <c r="L220" i="3" s="1"/>
  <c r="U220" i="3" s="1"/>
  <c r="E220" i="3"/>
  <c r="J220" i="3" s="1"/>
  <c r="S220" i="3" s="1"/>
  <c r="B220" i="3"/>
  <c r="K220" i="3"/>
  <c r="T220" i="3" s="1"/>
  <c r="K271" i="3"/>
  <c r="T271" i="3" s="1"/>
  <c r="G271" i="3"/>
  <c r="L271" i="3" s="1"/>
  <c r="U271" i="3" s="1"/>
  <c r="B271" i="3"/>
  <c r="E271" i="3"/>
  <c r="J271" i="3" s="1"/>
  <c r="S271" i="3" s="1"/>
  <c r="G260" i="3"/>
  <c r="L260" i="3" s="1"/>
  <c r="U260" i="3" s="1"/>
  <c r="B260" i="3"/>
  <c r="K260" i="3"/>
  <c r="T260" i="3" s="1"/>
  <c r="E260" i="3"/>
  <c r="J260" i="3" s="1"/>
  <c r="S260" i="3" s="1"/>
  <c r="G248" i="3"/>
  <c r="L248" i="3" s="1"/>
  <c r="U248" i="3" s="1"/>
  <c r="E248" i="3"/>
  <c r="J248" i="3" s="1"/>
  <c r="S248" i="3" s="1"/>
  <c r="K248" i="3"/>
  <c r="T248" i="3" s="1"/>
  <c r="B248" i="3"/>
  <c r="K263" i="3"/>
  <c r="T263" i="3" s="1"/>
  <c r="G263" i="3"/>
  <c r="L263" i="3" s="1"/>
  <c r="U263" i="3" s="1"/>
  <c r="B263" i="3"/>
  <c r="E263" i="3"/>
  <c r="J263" i="3" s="1"/>
  <c r="S263" i="3" s="1"/>
  <c r="B225" i="3"/>
  <c r="G225" i="3"/>
  <c r="L225" i="3" s="1"/>
  <c r="U225" i="3" s="1"/>
  <c r="K225" i="3"/>
  <c r="T225" i="3" s="1"/>
  <c r="E225" i="3"/>
  <c r="J225" i="3" s="1"/>
  <c r="S225" i="3" s="1"/>
  <c r="K243" i="3"/>
  <c r="T243" i="3" s="1"/>
  <c r="E243" i="3"/>
  <c r="J243" i="3" s="1"/>
  <c r="S243" i="3" s="1"/>
  <c r="B243" i="3"/>
  <c r="G243" i="3"/>
  <c r="L243" i="3" s="1"/>
  <c r="U243" i="3" s="1"/>
  <c r="E257" i="3"/>
  <c r="J257" i="3" s="1"/>
  <c r="S257" i="3" s="1"/>
  <c r="G257" i="3"/>
  <c r="L257" i="3" s="1"/>
  <c r="U257" i="3" s="1"/>
  <c r="K257" i="3"/>
  <c r="T257" i="3" s="1"/>
  <c r="B257" i="3"/>
  <c r="G224" i="3"/>
  <c r="L224" i="3" s="1"/>
  <c r="U224" i="3" s="1"/>
  <c r="B224" i="3"/>
  <c r="E224" i="3"/>
  <c r="J224" i="3" s="1"/>
  <c r="S224" i="3" s="1"/>
  <c r="K224" i="3"/>
  <c r="T224" i="3" s="1"/>
  <c r="G264" i="3"/>
  <c r="L264" i="3" s="1"/>
  <c r="U264" i="3" s="1"/>
  <c r="K264" i="3"/>
  <c r="T264" i="3" s="1"/>
  <c r="B264" i="3"/>
  <c r="E264" i="3"/>
  <c r="J264" i="3" s="1"/>
  <c r="S264" i="3" s="1"/>
  <c r="G250" i="3"/>
  <c r="L250" i="3" s="1"/>
  <c r="U250" i="3" s="1"/>
  <c r="B250" i="3"/>
  <c r="K250" i="3"/>
  <c r="T250" i="3" s="1"/>
  <c r="E250" i="3"/>
  <c r="J250" i="3" s="1"/>
  <c r="S250" i="3" s="1"/>
  <c r="G234" i="3"/>
  <c r="L234" i="3" s="1"/>
  <c r="U234" i="3" s="1"/>
  <c r="B234" i="3"/>
  <c r="K234" i="3"/>
  <c r="T234" i="3" s="1"/>
  <c r="E234" i="3"/>
  <c r="J234" i="3" s="1"/>
  <c r="S234" i="3" s="1"/>
  <c r="G218" i="3"/>
  <c r="L218" i="3" s="1"/>
  <c r="U218" i="3" s="1"/>
  <c r="B218" i="3"/>
  <c r="K218" i="3"/>
  <c r="T218" i="3" s="1"/>
  <c r="E218" i="3"/>
  <c r="J218" i="3" s="1"/>
  <c r="S218" i="3" s="1"/>
  <c r="G266" i="3"/>
  <c r="L266" i="3" s="1"/>
  <c r="U266" i="3" s="1"/>
  <c r="B266" i="3"/>
  <c r="K266" i="3"/>
  <c r="T266" i="3" s="1"/>
  <c r="E266" i="3"/>
  <c r="J266" i="3" s="1"/>
  <c r="S266" i="3" s="1"/>
  <c r="K247" i="3"/>
  <c r="T247" i="3" s="1"/>
  <c r="G247" i="3"/>
  <c r="L247" i="3" s="1"/>
  <c r="U247" i="3" s="1"/>
  <c r="B247" i="3"/>
  <c r="E247" i="3"/>
  <c r="J247" i="3" s="1"/>
  <c r="S247" i="3" s="1"/>
  <c r="K231" i="3"/>
  <c r="T231" i="3" s="1"/>
  <c r="G231" i="3"/>
  <c r="L231" i="3" s="1"/>
  <c r="U231" i="3" s="1"/>
  <c r="B231" i="3"/>
  <c r="E231" i="3"/>
  <c r="J231" i="3" s="1"/>
  <c r="S231" i="3" s="1"/>
  <c r="K215" i="3"/>
  <c r="T215" i="3" s="1"/>
  <c r="G215" i="3"/>
  <c r="L215" i="3" s="1"/>
  <c r="U215" i="3" s="1"/>
  <c r="E215" i="3"/>
  <c r="J215" i="3" s="1"/>
  <c r="S215" i="3" s="1"/>
  <c r="B215" i="3"/>
  <c r="B249" i="3"/>
  <c r="G249" i="3"/>
  <c r="L249" i="3" s="1"/>
  <c r="U249" i="3" s="1"/>
  <c r="E249" i="3"/>
  <c r="J249" i="3" s="1"/>
  <c r="S249" i="3" s="1"/>
  <c r="K249" i="3"/>
  <c r="T249" i="3" s="1"/>
  <c r="G238" i="3"/>
  <c r="L238" i="3" s="1"/>
  <c r="U238" i="3" s="1"/>
  <c r="K238" i="3"/>
  <c r="T238" i="3" s="1"/>
  <c r="B238" i="3"/>
  <c r="E238" i="3"/>
  <c r="J238" i="3" s="1"/>
  <c r="S238" i="3" s="1"/>
  <c r="K227" i="3"/>
  <c r="T227" i="3" s="1"/>
  <c r="E227" i="3"/>
  <c r="J227" i="3" s="1"/>
  <c r="S227" i="3" s="1"/>
  <c r="B227" i="3"/>
  <c r="G227" i="3"/>
  <c r="L227" i="3" s="1"/>
  <c r="U227" i="3" s="1"/>
  <c r="G246" i="3"/>
  <c r="L246" i="3" s="1"/>
  <c r="U246" i="3" s="1"/>
  <c r="K246" i="3"/>
  <c r="T246" i="3" s="1"/>
  <c r="B246" i="3"/>
  <c r="E246" i="3"/>
  <c r="J246" i="3" s="1"/>
  <c r="S246" i="3" s="1"/>
  <c r="G214" i="3"/>
  <c r="L214" i="3" s="1"/>
  <c r="U214" i="3" s="1"/>
  <c r="K214" i="3"/>
  <c r="T214" i="3" s="1"/>
  <c r="B214" i="3"/>
  <c r="E214" i="3"/>
  <c r="J214" i="3" s="1"/>
  <c r="S214" i="3" s="1"/>
  <c r="G232" i="3"/>
  <c r="L232" i="3" s="1"/>
  <c r="U232" i="3" s="1"/>
  <c r="E232" i="3"/>
  <c r="J232" i="3" s="1"/>
  <c r="S232" i="3" s="1"/>
  <c r="K232" i="3"/>
  <c r="T232" i="3" s="1"/>
  <c r="B232" i="3"/>
  <c r="K251" i="3"/>
  <c r="T251" i="3" s="1"/>
  <c r="B251" i="3"/>
  <c r="G251" i="3"/>
  <c r="L251" i="3" s="1"/>
  <c r="U251" i="3" s="1"/>
  <c r="E251" i="3"/>
  <c r="J251" i="3" s="1"/>
  <c r="S251" i="3" s="1"/>
  <c r="K219" i="3"/>
  <c r="T219" i="3" s="1"/>
  <c r="E219" i="3"/>
  <c r="J219" i="3" s="1"/>
  <c r="S219" i="3" s="1"/>
  <c r="B219" i="3"/>
  <c r="G219" i="3"/>
  <c r="L219" i="3" s="1"/>
  <c r="U219" i="3" s="1"/>
  <c r="K259" i="3"/>
  <c r="T259" i="3" s="1"/>
  <c r="G259" i="3"/>
  <c r="L259" i="3" s="1"/>
  <c r="U259" i="3" s="1"/>
  <c r="E259" i="3"/>
  <c r="J259" i="3" s="1"/>
  <c r="S259" i="3" s="1"/>
  <c r="B259" i="3"/>
  <c r="B245" i="3"/>
  <c r="K245" i="3"/>
  <c r="T245" i="3" s="1"/>
  <c r="G245" i="3"/>
  <c r="L245" i="3" s="1"/>
  <c r="U245" i="3" s="1"/>
  <c r="E245" i="3"/>
  <c r="J245" i="3" s="1"/>
  <c r="S245" i="3" s="1"/>
  <c r="B229" i="3"/>
  <c r="K229" i="3"/>
  <c r="T229" i="3" s="1"/>
  <c r="G229" i="3"/>
  <c r="L229" i="3" s="1"/>
  <c r="U229" i="3" s="1"/>
  <c r="E229" i="3"/>
  <c r="J229" i="3" s="1"/>
  <c r="S229" i="3" s="1"/>
  <c r="B213" i="3"/>
  <c r="E213" i="3"/>
  <c r="J213" i="3" s="1"/>
  <c r="S213" i="3" s="1"/>
  <c r="K213" i="3"/>
  <c r="T213" i="3" s="1"/>
  <c r="G213" i="3"/>
  <c r="L213" i="3" s="1"/>
  <c r="U213" i="3" s="1"/>
  <c r="E261" i="3"/>
  <c r="J261" i="3" s="1"/>
  <c r="S261" i="3" s="1"/>
  <c r="G261" i="3"/>
  <c r="L261" i="3" s="1"/>
  <c r="U261" i="3" s="1"/>
  <c r="K261" i="3"/>
  <c r="T261" i="3" s="1"/>
  <c r="B261" i="3"/>
  <c r="G244" i="3"/>
  <c r="L244" i="3" s="1"/>
  <c r="U244" i="3" s="1"/>
  <c r="B244" i="3"/>
  <c r="E244" i="3"/>
  <c r="J244" i="3" s="1"/>
  <c r="S244" i="3" s="1"/>
  <c r="K244" i="3"/>
  <c r="T244" i="3" s="1"/>
  <c r="G228" i="3"/>
  <c r="L228" i="3" s="1"/>
  <c r="U228" i="3" s="1"/>
  <c r="B228" i="3"/>
  <c r="E228" i="3"/>
  <c r="J228" i="3" s="1"/>
  <c r="S228" i="3" s="1"/>
  <c r="K228" i="3"/>
  <c r="T228" i="3" s="1"/>
  <c r="G212" i="3"/>
  <c r="L212" i="3" s="1"/>
  <c r="U212" i="3" s="1"/>
  <c r="B212" i="3"/>
  <c r="E212" i="3"/>
  <c r="J212" i="3" s="1"/>
  <c r="S212" i="3" s="1"/>
  <c r="K212" i="3"/>
  <c r="T212" i="3" s="1"/>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s="1"/>
  <c r="E194" i="3"/>
  <c r="J194" i="3" s="1"/>
  <c r="S194" i="3" s="1"/>
  <c r="G194" i="3"/>
  <c r="L194" i="3" s="1"/>
  <c r="U194" i="3" s="1"/>
  <c r="K205" i="3"/>
  <c r="T205" i="3" s="1"/>
  <c r="G205" i="3"/>
  <c r="L205" i="3" s="1"/>
  <c r="U205" i="3" s="1"/>
  <c r="E205" i="3"/>
  <c r="J205" i="3" s="1"/>
  <c r="S205" i="3" s="1"/>
  <c r="B205" i="3"/>
  <c r="O10" i="13"/>
  <c r="M105" i="13"/>
  <c r="G105" i="13"/>
  <c r="M75" i="13"/>
  <c r="G75" i="13"/>
  <c r="M89" i="13"/>
  <c r="G89" i="13"/>
  <c r="M92" i="13"/>
  <c r="G92" i="13"/>
  <c r="M60" i="13"/>
  <c r="G60" i="13"/>
  <c r="M79" i="13"/>
  <c r="G79" i="13"/>
  <c r="M90" i="13"/>
  <c r="G90" i="13"/>
  <c r="M46" i="13"/>
  <c r="G46" i="13"/>
  <c r="M42" i="13"/>
  <c r="G42" i="13"/>
  <c r="M93" i="13"/>
  <c r="G93" i="13"/>
  <c r="E195" i="3"/>
  <c r="J195" i="3" s="1"/>
  <c r="S195" i="3" s="1"/>
  <c r="B195" i="3"/>
  <c r="G195" i="3"/>
  <c r="L195" i="3" s="1"/>
  <c r="U195" i="3" s="1"/>
  <c r="K195" i="3"/>
  <c r="T195" i="3" s="1"/>
  <c r="G196" i="3"/>
  <c r="L196" i="3" s="1"/>
  <c r="U196" i="3" s="1"/>
  <c r="E196" i="3"/>
  <c r="J196" i="3" s="1"/>
  <c r="S196" i="3" s="1"/>
  <c r="K196" i="3"/>
  <c r="T196" i="3" s="1"/>
  <c r="B196" i="3"/>
  <c r="K193" i="3"/>
  <c r="T193" i="3" s="1"/>
  <c r="B193" i="3"/>
  <c r="G193" i="3"/>
  <c r="L193" i="3" s="1"/>
  <c r="U193" i="3" s="1"/>
  <c r="E193" i="3"/>
  <c r="J193" i="3" s="1"/>
  <c r="S193" i="3" s="1"/>
  <c r="K209" i="3"/>
  <c r="T209" i="3" s="1"/>
  <c r="B209" i="3"/>
  <c r="G209" i="3"/>
  <c r="L209" i="3" s="1"/>
  <c r="U209" i="3" s="1"/>
  <c r="E209" i="3"/>
  <c r="J209" i="3" s="1"/>
  <c r="S209"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s="1"/>
  <c r="U207" i="3" s="1"/>
  <c r="E207" i="3"/>
  <c r="J207" i="3" s="1"/>
  <c r="S207" i="3" s="1"/>
  <c r="K207" i="3"/>
  <c r="T207" i="3" s="1"/>
  <c r="G200" i="3"/>
  <c r="L200" i="3" s="1"/>
  <c r="U200" i="3" s="1"/>
  <c r="E200" i="3"/>
  <c r="J200" i="3" s="1"/>
  <c r="S200" i="3" s="1"/>
  <c r="K200" i="3"/>
  <c r="T200" i="3" s="1"/>
  <c r="B200" i="3"/>
  <c r="B202" i="3"/>
  <c r="K202" i="3"/>
  <c r="T202" i="3" s="1"/>
  <c r="E202" i="3"/>
  <c r="J202" i="3" s="1"/>
  <c r="S202" i="3" s="1"/>
  <c r="G202" i="3"/>
  <c r="L202" i="3" s="1"/>
  <c r="U202" i="3" s="1"/>
  <c r="K197" i="3"/>
  <c r="T197" i="3" s="1"/>
  <c r="G197" i="3"/>
  <c r="L197" i="3" s="1"/>
  <c r="U197" i="3" s="1"/>
  <c r="E197" i="3"/>
  <c r="J197" i="3" s="1"/>
  <c r="S197" i="3" s="1"/>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s="1"/>
  <c r="S203" i="3" s="1"/>
  <c r="B203" i="3"/>
  <c r="G203" i="3"/>
  <c r="L203" i="3" s="1"/>
  <c r="U203" i="3" s="1"/>
  <c r="K203" i="3"/>
  <c r="T203" i="3" s="1"/>
  <c r="G204" i="3"/>
  <c r="L204" i="3" s="1"/>
  <c r="U204" i="3" s="1"/>
  <c r="E204" i="3"/>
  <c r="J204" i="3" s="1"/>
  <c r="S204" i="3" s="1"/>
  <c r="K204" i="3"/>
  <c r="T204" i="3" s="1"/>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s="1"/>
  <c r="G198" i="3"/>
  <c r="L198" i="3" s="1"/>
  <c r="U198" i="3" s="1"/>
  <c r="E198" i="3"/>
  <c r="J198" i="3" s="1"/>
  <c r="S198"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B199" i="3"/>
  <c r="G199" i="3"/>
  <c r="L199" i="3" s="1"/>
  <c r="U199" i="3" s="1"/>
  <c r="E199" i="3"/>
  <c r="J199" i="3" s="1"/>
  <c r="S199" i="3" s="1"/>
  <c r="K199" i="3"/>
  <c r="T199" i="3" s="1"/>
  <c r="G208" i="3"/>
  <c r="L208" i="3" s="1"/>
  <c r="U208" i="3" s="1"/>
  <c r="E208" i="3"/>
  <c r="J208" i="3" s="1"/>
  <c r="S208" i="3" s="1"/>
  <c r="K208" i="3"/>
  <c r="T208" i="3" s="1"/>
  <c r="B208" i="3"/>
  <c r="B206" i="3"/>
  <c r="K206" i="3"/>
  <c r="T206" i="3" s="1"/>
  <c r="G206" i="3"/>
  <c r="L206" i="3" s="1"/>
  <c r="U206" i="3" s="1"/>
  <c r="E206" i="3"/>
  <c r="J206" i="3" s="1"/>
  <c r="S206" i="3" s="1"/>
  <c r="K201" i="3"/>
  <c r="T201" i="3" s="1"/>
  <c r="B201" i="3"/>
  <c r="G201" i="3"/>
  <c r="L201" i="3" s="1"/>
  <c r="U201" i="3" s="1"/>
  <c r="E201" i="3"/>
  <c r="J201" i="3" s="1"/>
  <c r="S201" i="3" s="1"/>
  <c r="O24" i="13" l="1"/>
  <c r="H26" i="13"/>
  <c r="I26" i="13" s="1"/>
  <c r="N26" i="13" s="1"/>
  <c r="H30" i="13"/>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L26" i="13" l="1"/>
  <c r="I30" i="13"/>
  <c r="N30" i="13" s="1"/>
  <c r="L11" i="13"/>
  <c r="L20" i="13"/>
  <c r="I15" i="13"/>
  <c r="N15" i="13" s="1"/>
  <c r="I16" i="13"/>
  <c r="N16" i="13" s="1"/>
  <c r="I28" i="13"/>
  <c r="N28" i="13" s="1"/>
  <c r="L14" i="13"/>
  <c r="I22" i="13"/>
  <c r="N22" i="13" s="1"/>
  <c r="I17" i="13"/>
  <c r="N17" i="13" s="1"/>
  <c r="Q4" i="13"/>
  <c r="F68"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4" i="1" s="1"/>
  <c r="K10" i="13"/>
  <c r="J11" i="13"/>
  <c r="O37" i="14"/>
  <c r="O36" i="14"/>
  <c r="P35" i="14"/>
  <c r="N5" i="13"/>
  <c r="F67" i="3" s="1"/>
  <c r="E22" i="14" s="1"/>
  <c r="N40" i="14"/>
  <c r="N39" i="14"/>
  <c r="E38" i="14" l="1"/>
  <c r="F69" i="3"/>
  <c r="H8" i="7" s="1"/>
  <c r="H10" i="7" s="1"/>
  <c r="H11" i="7" s="1"/>
  <c r="H14" i="7" s="1"/>
  <c r="O40" i="14"/>
  <c r="O39" i="14"/>
  <c r="K11" i="13"/>
  <c r="J12" i="13"/>
  <c r="N44" i="14"/>
  <c r="P37" i="14"/>
  <c r="P36" i="14"/>
  <c r="Q35" i="14"/>
  <c r="O44" i="14" l="1"/>
  <c r="H12" i="7"/>
  <c r="H13" i="7" s="1"/>
  <c r="H15" i="7" s="1"/>
  <c r="H19" i="7" s="1"/>
  <c r="H18" i="7" s="1"/>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O45" i="14" l="1"/>
  <c r="O47" i="14" s="1"/>
  <c r="H20" i="7"/>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H22" i="7" l="1"/>
  <c r="H28" i="7" s="1"/>
  <c r="F70" i="3" s="1"/>
  <c r="F71" i="3" s="1"/>
  <c r="F87" i="1" s="1"/>
  <c r="O48" i="14"/>
  <c r="O50" i="14" s="1"/>
  <c r="O51" i="14" s="1"/>
  <c r="O52" i="14" s="1"/>
  <c r="O54" i="14"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1" i="1" s="1"/>
  <c r="I29" i="14"/>
  <c r="J29" i="14" s="1"/>
  <c r="F82"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33" i="1" s="1"/>
  <c r="F53" i="3" l="1"/>
  <c r="F55" i="3" s="1"/>
  <c r="F73" i="1"/>
  <c r="F56" i="3" l="1"/>
  <c r="F76" i="1" s="1"/>
  <c r="F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bdemsc</author>
    <author>a0272042</author>
    <author>TI User</author>
    <author>Alex Triano</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7" authorId="1" shapeId="0" xr:uid="{00000000-0006-0000-0100-000004000000}">
      <text>
        <r>
          <rPr>
            <b/>
            <sz val="8"/>
            <color indexed="81"/>
            <rFont val="Tahoma"/>
            <family val="2"/>
          </rPr>
          <t>Select either 26mV or 50mV current limit.
26mV will result in less power loss in the Rs resistor.</t>
        </r>
      </text>
    </comment>
    <comment ref="F39" authorId="2" shapeId="0" xr:uid="{00000000-0006-0000-0100-000005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xr:uid="{00000000-0006-0000-0100-000006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2" shapeId="0" xr:uid="{00000000-0006-0000-0100-000007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2" shapeId="0" xr:uid="{00000000-0006-0000-0100-000008000000}">
      <text>
        <r>
          <rPr>
            <b/>
            <sz val="9"/>
            <color indexed="81"/>
            <rFont val="Tahoma"/>
            <family val="2"/>
          </rPr>
          <t xml:space="preserve">Ensure that the minimum current limit is above maximum load. </t>
        </r>
      </text>
    </comment>
    <comment ref="F49" authorId="0" shapeId="0" xr:uid="{00000000-0006-0000-0100-000009000000}">
      <text>
        <r>
          <rPr>
            <b/>
            <sz val="8"/>
            <color indexed="81"/>
            <rFont val="Tahoma"/>
            <family val="2"/>
          </rPr>
          <t>The power dissipation is calculated using the maximum normal load current.
Ensure the selected resistor is rated for this power dissipation.</t>
        </r>
      </text>
    </comment>
    <comment ref="F53" authorId="2" shapeId="0" xr:uid="{00000000-0006-0000-0100-00000A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3" authorId="2" shapeId="0" xr:uid="{00000000-0006-0000-0100-00000B000000}">
      <text>
        <r>
          <rPr>
            <sz val="9"/>
            <color indexed="81"/>
            <rFont val="Tahoma"/>
            <family val="2"/>
          </rPr>
          <t xml:space="preserve">If FET temperature is too high, increase the # of FETs, reduce the load, or reduce the RθJA by adding more heat sinking to MOSFETs. 
</t>
        </r>
      </text>
    </comment>
    <comment ref="F65" authorId="2" shapeId="0" xr:uid="{00000000-0006-0000-0100-00000C000000}">
      <text>
        <r>
          <rPr>
            <sz val="9"/>
            <color indexed="81"/>
            <rFont val="Tahoma"/>
            <family val="2"/>
          </rPr>
          <t>Usually this can be set to PLIM,MIN.  If a load is present during start-up a higher Plim, may be preferred. 
Lowe Plim,min can be attained by using a larger Rsns and the 50mV CL threshold</t>
        </r>
      </text>
    </comment>
    <comment ref="F68" authorId="2" shapeId="0" xr:uid="{00000000-0006-0000-0100-00000D000000}">
      <text>
        <r>
          <rPr>
            <sz val="9"/>
            <color indexed="81"/>
            <rFont val="Tahoma"/>
            <family val="2"/>
          </rPr>
          <t xml:space="preserve">Cell turns Red if the actual power limit is below Minimum Power Limit (cell F47)
</t>
        </r>
      </text>
    </comment>
    <comment ref="I68" authorId="3" shapeId="0" xr:uid="{00000000-0006-0000-0100-00000E000000}">
      <text>
        <r>
          <rPr>
            <sz val="9"/>
            <color indexed="81"/>
            <rFont val="Tahoma"/>
            <family val="2"/>
          </rPr>
          <t>3 Parameters:
Step 1: Max Ambient Operating Temperature 
Step 3: Estimated MOSFET RQJA
Step 3: FET Power Dissipation at full load 
**This includes air flow</t>
        </r>
      </text>
    </comment>
    <comment ref="F70" authorId="1" shapeId="0" xr:uid="{00000000-0006-0000-0100-00000F000000}">
      <text>
        <r>
          <rPr>
            <b/>
            <sz val="8"/>
            <color indexed="81"/>
            <rFont val="Tahoma"/>
            <family val="2"/>
          </rPr>
          <t>Select if the load will draw current during start-up. 
For no Load, choose constant current and set to zero</t>
        </r>
      </text>
    </comment>
    <comment ref="F72" authorId="1" shapeId="0" xr:uid="{00000000-0006-0000-0100-000010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4" authorId="2" shapeId="0" xr:uid="{00000000-0006-0000-0100-000011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5" authorId="0" shapeId="0" xr:uid="{00000000-0006-0000-0100-00001200000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7" authorId="2" shapeId="0" xr:uid="{00000000-0006-0000-0100-000013000000}">
      <text>
        <r>
          <rPr>
            <b/>
            <sz val="9"/>
            <color indexed="81"/>
            <rFont val="Tahoma"/>
            <family val="2"/>
          </rPr>
          <t>Pick closest capacitor that is larger than the Target capacitance</t>
        </r>
        <r>
          <rPr>
            <sz val="9"/>
            <color indexed="81"/>
            <rFont val="Tahoma"/>
            <family val="2"/>
          </rPr>
          <t xml:space="preserve">
</t>
        </r>
      </text>
    </comment>
    <comment ref="F79" authorId="2" shapeId="0" xr:uid="{00000000-0006-0000-0100-000014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80" authorId="1" shapeId="0" xr:uid="{00000000-0006-0000-0100-000015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1" authorId="2" shapeId="0" xr:uid="{00000000-0006-0000-0100-000016000000}">
      <text>
        <r>
          <rPr>
            <b/>
            <sz val="9"/>
            <color indexed="81"/>
            <rFont val="Tahoma"/>
            <family val="2"/>
          </rPr>
          <t xml:space="preserve">If these cells are red, there is no suitable slew rate for keeping FET whithin SOA. 
Reduce load at start-up or pick FET with better SOA. </t>
        </r>
      </text>
    </comment>
    <comment ref="F82" authorId="2" shapeId="0" xr:uid="{00000000-0006-0000-0100-000017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3" authorId="2" shapeId="0" xr:uid="{00000000-0006-0000-0100-000018000000}">
      <text>
        <r>
          <rPr>
            <b/>
            <sz val="9"/>
            <color indexed="81"/>
            <rFont val="Tahoma"/>
            <family val="2"/>
          </rPr>
          <t>Ensure that this is lower than max ss slew rate in the cell above</t>
        </r>
        <r>
          <rPr>
            <sz val="9"/>
            <color indexed="81"/>
            <rFont val="Tahoma"/>
            <family val="2"/>
          </rPr>
          <t xml:space="preserve">
</t>
        </r>
      </text>
    </comment>
    <comment ref="F86" authorId="2" shapeId="0" xr:uid="{00000000-0006-0000-0100-000019000000}">
      <text>
        <r>
          <rPr>
            <b/>
            <sz val="9"/>
            <color indexed="81"/>
            <rFont val="Tahoma"/>
            <family val="2"/>
          </rPr>
          <t>Ensure that this is lower than max ss slew rate.</t>
        </r>
      </text>
    </comment>
    <comment ref="F87" authorId="2" shapeId="0" xr:uid="{00000000-0006-0000-0100-00001A000000}">
      <text>
        <r>
          <rPr>
            <sz val="9"/>
            <color indexed="81"/>
            <rFont val="Tahoma"/>
            <family val="2"/>
          </rPr>
          <t>A margin of &gt;1.1 is required and a margin of &gt;1.3 is recommended to accout for the variation in the gate current. 
Reduce dv/dt rate to reduce inrush current and increase SOA margin</t>
        </r>
      </text>
    </comment>
    <comment ref="F92" authorId="2" shapeId="0" xr:uid="{00000000-0006-0000-0100-00001B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4" authorId="0" shapeId="0" xr:uid="{00000000-0006-0000-0100-00001C000000}">
      <text>
        <r>
          <rPr>
            <b/>
            <sz val="8"/>
            <color indexed="81"/>
            <rFont val="Tahoma"/>
            <family val="2"/>
          </rPr>
          <t>This calculation applies only when the RETRY option is selected.</t>
        </r>
      </text>
    </comment>
    <comment ref="F95" authorId="1" shapeId="0" xr:uid="{00000000-0006-0000-0100-00001D000000}">
      <text>
        <r>
          <rPr>
            <b/>
            <sz val="8"/>
            <color indexed="81"/>
            <rFont val="Tahoma"/>
            <family val="2"/>
          </rPr>
          <t>See the schematics above to select the appropriate option for setting the input voltage UVLO and OVLO thresholds.</t>
        </r>
      </text>
    </comment>
    <comment ref="F96" authorId="0" shapeId="0" xr:uid="{00000000-0006-0000-0100-00001E000000}">
      <text>
        <r>
          <rPr>
            <b/>
            <sz val="8"/>
            <color indexed="81"/>
            <rFont val="Tahoma"/>
            <family val="2"/>
          </rPr>
          <t>This threshold must be between 10V and 80V.</t>
        </r>
      </text>
    </comment>
    <comment ref="F97" authorId="0" shapeId="0" xr:uid="{00000000-0006-0000-0100-00001F000000}">
      <text>
        <r>
          <rPr>
            <b/>
            <sz val="8"/>
            <color indexed="81"/>
            <rFont val="Tahoma"/>
            <family val="2"/>
          </rPr>
          <t>This threshold must be greater than 10V, and less than the upper UVLO threshold.</t>
        </r>
      </text>
    </comment>
    <comment ref="F98" authorId="0" shapeId="0" xr:uid="{00000000-0006-0000-0100-000020000000}">
      <text>
        <r>
          <rPr>
            <b/>
            <sz val="8"/>
            <color indexed="81"/>
            <rFont val="Tahoma"/>
            <family val="2"/>
          </rPr>
          <t>This threshold must be greater than the upper UVLO Threshold, and less than 80V.</t>
        </r>
      </text>
    </comment>
    <comment ref="F144" authorId="2" shapeId="0" xr:uid="{00000000-0006-0000-0100-000021000000}">
      <text>
        <r>
          <rPr>
            <sz val="9"/>
            <color indexed="81"/>
            <rFont val="Tahoma"/>
            <family val="2"/>
          </rPr>
          <t xml:space="preserve">TI recommended. Same as EVM
</t>
        </r>
      </text>
    </comment>
    <comment ref="F147" authorId="4" shapeId="0" xr:uid="{00000000-0006-0000-0100-000022000000}">
      <text>
        <r>
          <rPr>
            <sz val="9"/>
            <color indexed="81"/>
            <rFont val="Tahoma"/>
            <family val="2"/>
          </rPr>
          <t xml:space="preserve">TI recommended. Same as EVM
</t>
        </r>
      </text>
    </comment>
    <comment ref="F149" authorId="2" shapeId="0" xr:uid="{00000000-0006-0000-0100-000023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<sst xmlns="http://schemas.openxmlformats.org/spreadsheetml/2006/main" count="767" uniqueCount="525">
  <si>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</si>
  <si>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</si>
  <si>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</si>
  <si>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</si>
  <si>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</si>
  <si>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</si>
  <si>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</si>
  <si>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</si>
  <si>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</si>
  <si>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</si>
  <si>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</si>
  <si>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</si>
  <si>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</si>
  <si>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</si>
  <si>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</si>
  <si>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</si>
  <si>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</si>
  <si>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</si>
  <si>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</si>
  <si>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</si>
  <si>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</si>
  <si>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</si>
  <si>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</si>
  <si>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</si>
  <si>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</si>
  <si>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</si>
  <si>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</si>
  <si>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</si>
  <si>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</si>
  <si>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</si>
  <si>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</si>
  <si>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</si>
  <si>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</si>
  <si>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</si>
  <si>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</si>
  <si>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</si>
  <si>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</si>
  <si>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</si>
  <si>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</si>
  <si>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</si>
  <si>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</si>
  <si>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</si>
  <si>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</si>
  <si>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</si>
  <si>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</si>
  <si>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</si>
  <si>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</si>
  <si>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</si>
  <si>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</si>
  <si>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</si>
  <si>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</si>
  <si>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</si>
  <si>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</si>
  <si>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</si>
  <si>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</si>
  <si>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</si>
  <si>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</si>
  <si>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</si>
  <si>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</si>
  <si>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</si>
  <si>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</si>
  <si>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</si>
  <si>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</si>
  <si>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</si>
  <si>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</si>
  <si>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</si>
  <si>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</si>
  <si>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</si>
  <si>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</si>
  <si>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</si>
  <si>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</si>
  <si>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</si>
  <si>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</si>
  <si>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</si>
  <si>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</si>
  <si>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</si>
  <si>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</si>
  <si>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</si>
  <si>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</si>
  <si>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</si>
  <si>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</si>
  <si>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</si>
  <si>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</si>
  <si>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</si>
  <si>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</si>
  <si>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</si>
  <si>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</si>
  <si>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</si>
  <si>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</si>
  <si>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</si>
  <si>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</si>
  <si>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</si>
  <si>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</si>
  <si>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</si>
  <si>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</si>
  <si>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</si>
  <si>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</si>
  <si>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</si>
  <si>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</si>
  <si>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</si>
  <si>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</si>
  <si>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</si>
  <si>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</si>
  <si>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</si>
  <si>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</si>
  <si>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</si>
  <si>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</si>
  <si>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</si>
  <si>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</si>
  <si>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</si>
  <si>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</si>
  <si>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</si>
  <si>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</si>
  <si>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</si>
  <si>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</si>
  <si>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Desired PGD Rising Threshold</t>
  </si>
  <si>
    <t>Desired PGD Hysteresis</t>
  </si>
  <si>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</si>
  <si>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</si>
  <si>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</si>
  <si>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</si>
  <si>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</si>
  <si>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</si>
  <si>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</si>
  <si>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</si>
  <si>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</si>
  <si>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</si>
  <si>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</si>
  <si>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</si>
  <si>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</si>
  <si>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</si>
  <si>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</si>
  <si>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</si>
  <si>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</si>
  <si>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</si>
  <si>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</si>
  <si>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</si>
  <si>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</si>
  <si>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</si>
  <si>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</si>
  <si>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</si>
  <si>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</si>
  <si>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</si>
  <si>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</si>
  <si>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</si>
  <si>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</si>
  <si>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</si>
  <si>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</si>
  <si>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</si>
  <si>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</si>
  <si>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</si>
  <si>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</si>
  <si>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</si>
  <si>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</si>
  <si>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</si>
  <si>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</si>
  <si>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</si>
  <si>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</si>
  <si>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</si>
  <si>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GND</t>
  </si>
  <si>
    <t>Threshold Voltage CL = VDD</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</si>
  <si>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</si>
  <si>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</si>
  <si>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</si>
  <si>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</si>
  <si>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</si>
  <si>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</si>
  <si>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</si>
  <si>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</si>
  <si>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</si>
  <si>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</si>
  <si>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</si>
  <si>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</si>
  <si>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</si>
  <si>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</si>
  <si>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</si>
  <si>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</si>
  <si>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</si>
  <si>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</si>
  <si>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</si>
  <si>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</si>
  <si>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</si>
  <si>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</si>
  <si>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</si>
  <si>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</si>
  <si>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</si>
  <si>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</si>
  <si>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</si>
  <si>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</si>
  <si>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</si>
  <si>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</si>
  <si>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</si>
  <si>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</si>
  <si>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</si>
  <si>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</si>
  <si>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</si>
  <si>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</si>
  <si>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</si>
  <si>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</si>
  <si>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</si>
  <si>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</si>
  <si>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</si>
  <si>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</si>
  <si>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</si>
  <si>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</si>
  <si>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</si>
  <si>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</si>
  <si>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</si>
  <si>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</si>
  <si>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</si>
  <si>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</si>
  <si>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</si>
  <si>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</si>
  <si>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</si>
  <si>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</si>
  <si>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C</t>
    </r>
    <r>
      <rPr>
        <vertAlign val="subscript"/>
        <sz val="10"/>
        <rFont val="Arial"/>
        <family val="2"/>
      </rPr>
      <t>VDD</t>
    </r>
    <r>
      <rPr>
        <sz val="10"/>
        <rFont val="Arial"/>
        <family val="2"/>
      </rPr>
      <t xml:space="preserve"> =</t>
    </r>
  </si>
  <si>
    <r>
      <t>C</t>
    </r>
    <r>
      <rPr>
        <vertAlign val="subscript"/>
        <sz val="10"/>
        <rFont val="Arial"/>
        <family val="2"/>
      </rPr>
      <t>VREF</t>
    </r>
    <r>
      <rPr>
        <sz val="10"/>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</si>
  <si>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</si>
  <si>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</si>
  <si>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</si>
  <si>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</si>
  <si>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</si>
  <si>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</si>
  <si>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</si>
  <si>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</si>
  <si>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</si>
  <si>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</si>
  <si>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</si>
  <si>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</si>
  <si>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PGD Hystersis</t>
  </si>
  <si>
    <t>Circuit Breaker Current</t>
  </si>
  <si>
    <t>PGD Threshold</t>
  </si>
  <si>
    <t>100us</t>
  </si>
  <si>
    <t>Step 2: Current Limit and Circuit Breaker</t>
  </si>
  <si>
    <t>Circuit Breaker to Current Limit Raitio</t>
  </si>
  <si>
    <r>
      <t>Maximum Output Load Capacitance: C</t>
    </r>
    <r>
      <rPr>
        <vertAlign val="subscript"/>
        <sz val="10"/>
        <rFont val="Arial"/>
        <family val="2"/>
      </rPr>
      <t>LOAD</t>
    </r>
  </si>
  <si>
    <t>Connect CB Pin to</t>
  </si>
  <si>
    <t>Connect CL Pin to</t>
  </si>
  <si>
    <t>Nominal PGD Rising Threhold</t>
  </si>
  <si>
    <t>Nominal PGD Hysteresis</t>
  </si>
  <si>
    <t>Connect /Retry to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</si>
  <si>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</si>
  <si>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</si>
  <si>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</si>
  <si>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</si>
  <si>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</si>
  <si>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</si>
  <si>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</si>
  <si>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</si>
  <si>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</si>
  <si>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</si>
  <si>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</si>
  <si>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</si>
  <si>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</si>
  <si>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</si>
  <si>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</si>
  <si>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</si>
  <si>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</si>
  <si>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</si>
  <si>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</si>
  <si>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</si>
  <si>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</si>
  <si>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</si>
  <si>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</si>
  <si>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</si>
  <si>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</si>
  <si>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</si>
  <si>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</si>
  <si>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</si>
  <si>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</si>
  <si>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</si>
  <si>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</si>
  <si>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</si>
  <si>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</si>
  <si>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</si>
  <si>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</si>
  <si>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</si>
  <si>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</si>
  <si>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</si>
  <si>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</si>
  <si>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</si>
  <si>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</si>
  <si>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</si>
  <si>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</si>
  <si>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</si>
  <si>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</si>
  <si>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</si>
  <si>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</si>
  <si>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</si>
  <si>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</si>
  <si>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</si>
  <si>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</si>
  <si>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</si>
  <si>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</si>
  <si>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</si>
  <si>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</si>
  <si>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</si>
  <si>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</si>
  <si>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</si>
  <si>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</si>
  <si>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</si>
  <si>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</si>
  <si>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</si>
  <si>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</si>
  <si>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</si>
  <si>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</si>
  <si>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</si>
  <si>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</si>
  <si>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</si>
  <si>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</si>
  <si>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</si>
  <si>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</si>
  <si>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</si>
  <si>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</si>
  <si>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</si>
  <si>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</si>
  <si>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</si>
  <si>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</si>
  <si>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</si>
  <si>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</si>
  <si>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</si>
  <si>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</si>
  <si>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</si>
  <si>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</si>
  <si>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</si>
  <si>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</si>
  <si>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</si>
  <si>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</si>
  <si>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</si>
  <si>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</si>
  <si>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</si>
  <si>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</si>
  <si>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</si>
  <si>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</si>
  <si>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</si>
  <si>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</si>
  <si>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</si>
  <si>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</si>
  <si>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</si>
  <si>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</si>
  <si>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</si>
  <si>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</si>
  <si>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</si>
  <si>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</si>
  <si>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</si>
  <si>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</si>
  <si>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</si>
  <si>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</si>
  <si>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</si>
  <si>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</si>
  <si>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</si>
  <si>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</si>
  <si>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</si>
  <si>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</si>
  <si>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</si>
  <si>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</si>
  <si>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</si>
  <si>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</si>
  <si>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</si>
  <si>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</si>
  <si>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</si>
  <si>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</si>
  <si>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</si>
  <si>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</si>
  <si>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</si>
  <si>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</si>
  <si>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</si>
  <si>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</si>
  <si>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</si>
  <si>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</si>
  <si>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</si>
  <si>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</si>
  <si>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</si>
  <si>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</si>
  <si>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</si>
  <si>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</si>
  <si>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</si>
  <si>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</si>
  <si>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</si>
  <si>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</si>
  <si>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</si>
  <si>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</si>
  <si>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</si>
  <si>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</si>
  <si>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</si>
  <si>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</si>
  <si>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</si>
  <si>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</si>
  <si>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</si>
  <si>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</si>
  <si>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</si>
  <si>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</si>
  <si>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</si>
  <si>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</si>
  <si>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</si>
  <si>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</si>
  <si>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</si>
  <si>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</si>
  <si>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</si>
  <si>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</si>
  <si>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</si>
  <si>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</si>
  <si>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</si>
  <si>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</si>
  <si>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</si>
  <si>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</si>
  <si>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</si>
  <si>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</si>
  <si>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</si>
  <si>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</si>
  <si>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</si>
  <si>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</si>
  <si>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</si>
  <si>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</si>
  <si>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</si>
  <si>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</si>
  <si>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</si>
  <si>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</si>
  <si>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</si>
  <si>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</si>
  <si>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</si>
  <si>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</si>
  <si>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</si>
  <si>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</si>
  <si>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</si>
  <si>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</si>
  <si>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</si>
  <si>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</si>
  <si>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</si>
  <si>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</si>
  <si>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</si>
  <si>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</si>
  <si>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</si>
  <si>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26 mV</t>
  </si>
  <si>
    <t>50 mV</t>
  </si>
  <si>
    <t>26mV</t>
  </si>
  <si>
    <t>50mV</t>
  </si>
  <si>
    <t>1.9 x Threshold</t>
  </si>
  <si>
    <t>1.9x CB:CL Ratio</t>
  </si>
  <si>
    <t>3.9 x Threshold</t>
  </si>
  <si>
    <t>3.9x CB:CL Ratio</t>
  </si>
  <si>
    <t>1.9 x Current Limit</t>
  </si>
  <si>
    <t>3.9 x Current Limit</t>
  </si>
  <si>
    <t>Plim (Vds) = 1/Rs * [ Rpwr/A + Vds * Vos, syst=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</si>
  <si>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</si>
  <si>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</si>
  <si>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</si>
  <si>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</si>
  <si>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</si>
  <si>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</si>
  <si>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</si>
  <si>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</si>
  <si>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</si>
  <si>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</si>
  <si>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t>R5 =</t>
  </si>
  <si>
    <t>R6 =</t>
  </si>
  <si>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</si>
  <si>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</si>
  <si>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</si>
  <si>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</si>
  <si>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</si>
  <si>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</si>
  <si>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</si>
  <si>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Q3</t>
  </si>
  <si>
    <t>Recommended Resistance for:  R5</t>
  </si>
  <si>
    <t>R6</t>
  </si>
  <si>
    <t>Enter Resistance for: R5</t>
  </si>
  <si>
    <t>Rpwr =  A * [PLIM(Vds) * Rs - 0.043]</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</si>
  <si>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</si>
  <si>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</si>
  <si>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</si>
  <si>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</si>
  <si>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</si>
  <si>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</si>
  <si>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</si>
  <si>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</si>
  <si>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</si>
  <si>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</si>
  <si>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</si>
  <si>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</si>
  <si>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</si>
  <si>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</si>
  <si>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</si>
  <si>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</si>
  <si>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</si>
  <si>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</si>
  <si>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</si>
  <si>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</si>
  <si>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</si>
  <si>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</si>
  <si>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</si>
  <si>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</si>
  <si>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</si>
  <si>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</si>
  <si>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</si>
  <si>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r>
      <t xml:space="preserve">                         </t>
    </r>
    <r>
      <rPr>
        <sz val="22"/>
        <color theme="0"/>
        <rFont val="Arial"/>
        <family val="2"/>
      </rPr>
      <t>LM5066 PMBus Hot Swap Design Tool</t>
    </r>
  </si>
  <si>
    <t>LM5066 Datasheet (See "Design-In Procedure")</t>
  </si>
  <si>
    <r>
      <t>Minimum Power Limit to Ensure Vsns &gt; 4mV (P</t>
    </r>
    <r>
      <rPr>
        <vertAlign val="subscript"/>
        <sz val="10"/>
        <rFont val="Arial"/>
        <family val="2"/>
      </rPr>
      <t>LIM,MIN</t>
    </r>
    <r>
      <rPr>
        <sz val="10"/>
        <rFont val="Arial"/>
        <family val="2"/>
      </rPr>
      <t>)</t>
    </r>
  </si>
  <si>
    <t>Note: This is the typical dv/dt rate, but max value can be 1.3x. This is because the gate source current can vary from 20uA to 26uA. Thus TI recommends keeping the overall SOA margin during start-up &gt;1.3 in order to compensate for this.</t>
  </si>
  <si>
    <t>Q1</t>
  </si>
  <si>
    <t>Q2</t>
  </si>
  <si>
    <t>MMBT3904</t>
  </si>
  <si>
    <t>Q1 FET Name</t>
  </si>
  <si>
    <t>5.0SMDJxx</t>
  </si>
  <si>
    <t>Use External Soft-Start Control (dv/dt)</t>
  </si>
  <si>
    <t>MOSFET's SOA</t>
  </si>
  <si>
    <r>
      <t>V</t>
    </r>
    <r>
      <rPr>
        <b/>
        <vertAlign val="subscript"/>
        <sz val="10"/>
        <rFont val="Arial"/>
        <family val="2"/>
      </rPr>
      <t>DS</t>
    </r>
  </si>
  <si>
    <r>
      <t>I</t>
    </r>
    <r>
      <rPr>
        <b/>
        <vertAlign val="subscript"/>
        <sz val="10"/>
        <rFont val="Arial"/>
        <family val="2"/>
      </rPr>
      <t>D</t>
    </r>
  </si>
  <si>
    <t>(V)</t>
  </si>
  <si>
    <t>(A)</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</si>
  <si>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</si>
  <si>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</si>
  <si>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</si>
  <si>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</si>
  <si>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</si>
  <si>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</si>
  <si>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</si>
  <si>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</si>
  <si>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</si>
  <si>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</si>
  <si>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LM5066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</si>
  <si>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</si>
  <si>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</si>
  <si>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LM5066 Design Tool- Rev. B</t>
  </si>
  <si>
    <t>PSMN4R8-100BSE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</si>
</sst>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0E+0"/>
    <numFmt numFmtId="179" formatCode="0.0000"/>
  </numFmts>
  <fonts count="52">
    <font>
      <sz val="10"/>
      <name val="Arial"/>
    </font>
    <font>
      <sz val="11"/>
      <color theme="1"/>
      <name val="맑은 고딕"/>
      <family val="2"/>
      <scheme val="minor"/>
    </font>
    <font>
      <sz val="11"/>
      <color theme="1"/>
      <name val="맑은 고딕"/>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맑은 고딕"/>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vertAlign val="subscript"/>
      <sz val="1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
      <sz val="8"/>
      <name val="돋움"/>
      <family val="3"/>
      <charset val="129"/>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5" fillId="0" borderId="0" applyNumberFormat="0" applyFill="0" applyBorder="0" applyAlignment="0" applyProtection="0">
      <alignment vertical="top"/>
      <protection locked="0"/>
    </xf>
    <xf numFmtId="0" fontId="3" fillId="0" borderId="0"/>
    <xf numFmtId="0" fontId="3" fillId="2" borderId="0">
      <alignment horizontal="center"/>
    </xf>
    <xf numFmtId="0" fontId="3" fillId="5" borderId="1">
      <alignment horizontal="center" vertical="center"/>
      <protection locked="0"/>
    </xf>
    <xf numFmtId="0" fontId="3" fillId="9" borderId="1">
      <alignment horizontal="center" vertical="center"/>
      <protection locked="0"/>
    </xf>
    <xf numFmtId="0" fontId="3" fillId="0" borderId="13"/>
    <xf numFmtId="0" fontId="3" fillId="9" borderId="1">
      <alignment horizontal="center" vertical="center"/>
      <protection locked="0"/>
    </xf>
    <xf numFmtId="0" fontId="3" fillId="9" borderId="1">
      <alignment horizontal="center" vertical="center"/>
      <protection locked="0"/>
    </xf>
    <xf numFmtId="0" fontId="3" fillId="9" borderId="1">
      <alignment horizontal="center" vertical="center"/>
      <protection locked="0"/>
    </xf>
    <xf numFmtId="0" fontId="2" fillId="0" borderId="0"/>
    <xf numFmtId="0" fontId="1" fillId="0" borderId="0"/>
  </cellStyleXfs>
  <cellXfs count="371">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76"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10" fillId="2" borderId="0" xfId="0" applyFont="1" applyFill="1" applyAlignment="1">
      <alignment horizontal="left"/>
    </xf>
    <xf numFmtId="14" fontId="10" fillId="2" borderId="0" xfId="0" applyNumberFormat="1" applyFont="1" applyFill="1" applyAlignment="1">
      <alignment horizontal="left"/>
    </xf>
    <xf numFmtId="0" fontId="0" fillId="0" borderId="1" xfId="0" applyFill="1" applyBorder="1" applyAlignment="1">
      <alignment horizontal="center"/>
    </xf>
    <xf numFmtId="0" fontId="4"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3" fillId="0" borderId="0" xfId="0" applyFont="1"/>
    <xf numFmtId="0" fontId="3" fillId="0" borderId="0" xfId="0" applyFont="1" applyAlignment="1">
      <alignment horizontal="right"/>
    </xf>
    <xf numFmtId="0" fontId="3" fillId="2" borderId="0" xfId="0" applyFont="1" applyFill="1" applyBorder="1" applyAlignment="1">
      <alignment horizontal="left"/>
    </xf>
    <xf numFmtId="0" fontId="0" fillId="3" borderId="0" xfId="0" applyFill="1"/>
    <xf numFmtId="0" fontId="3" fillId="2" borderId="0" xfId="0" applyFont="1" applyFill="1" applyBorder="1" applyAlignment="1">
      <alignment horizontal="right"/>
    </xf>
    <xf numFmtId="0" fontId="16" fillId="2" borderId="0" xfId="1" applyFont="1" applyFill="1" applyAlignment="1" applyProtection="1"/>
    <xf numFmtId="0" fontId="17" fillId="3" borderId="0" xfId="0" applyFont="1" applyFill="1" applyProtection="1"/>
    <xf numFmtId="0" fontId="20" fillId="3" borderId="0" xfId="0" applyFont="1" applyFill="1" applyBorder="1" applyProtection="1"/>
    <xf numFmtId="0" fontId="20" fillId="3" borderId="0" xfId="0" applyFont="1" applyFill="1" applyProtection="1"/>
    <xf numFmtId="0" fontId="19" fillId="3" borderId="24" xfId="0" applyFont="1" applyFill="1" applyBorder="1" applyAlignment="1" applyProtection="1">
      <alignment horizontal="center" vertical="center"/>
    </xf>
    <xf numFmtId="0" fontId="21" fillId="2" borderId="0" xfId="0" applyFont="1" applyFill="1"/>
    <xf numFmtId="0" fontId="24"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77"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2" fontId="0" fillId="3" borderId="1" xfId="0" applyNumberFormat="1" applyFill="1" applyBorder="1" applyAlignment="1" applyProtection="1">
      <alignment horizontal="center"/>
    </xf>
    <xf numFmtId="177"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Alignment="1">
      <alignment horizontal="right"/>
    </xf>
    <xf numFmtId="0" fontId="0" fillId="0" borderId="1" xfId="0" applyFill="1" applyBorder="1" applyAlignment="1" applyProtection="1">
      <alignment horizontal="center" vertical="center"/>
      <protection locked="0"/>
    </xf>
    <xf numFmtId="0" fontId="3" fillId="0" borderId="0" xfId="2" applyAlignment="1" applyProtection="1">
      <alignment horizontal="center"/>
    </xf>
    <xf numFmtId="0" fontId="3" fillId="0" borderId="0" xfId="2"/>
    <xf numFmtId="176" fontId="3" fillId="0" borderId="0" xfId="2" applyNumberFormat="1" applyAlignment="1" applyProtection="1">
      <alignment horizontal="center"/>
    </xf>
    <xf numFmtId="178" fontId="3" fillId="0" borderId="0" xfId="2" applyNumberFormat="1" applyAlignment="1" applyProtection="1">
      <alignment horizontal="center"/>
    </xf>
    <xf numFmtId="2" fontId="3" fillId="0" borderId="25" xfId="2" applyNumberFormat="1" applyBorder="1" applyAlignment="1" applyProtection="1">
      <alignment horizontal="center"/>
    </xf>
    <xf numFmtId="0" fontId="3" fillId="0" borderId="1" xfId="2" applyFont="1" applyBorder="1"/>
    <xf numFmtId="0" fontId="3" fillId="0" borderId="1" xfId="2" applyBorder="1"/>
    <xf numFmtId="0" fontId="3" fillId="0" borderId="0" xfId="0" applyFont="1" applyFill="1" applyBorder="1"/>
    <xf numFmtId="0" fontId="0" fillId="0" borderId="0" xfId="0" applyFill="1" applyBorder="1" applyAlignment="1" applyProtection="1">
      <alignment horizontal="center" vertical="center"/>
      <protection locked="0"/>
    </xf>
    <xf numFmtId="0" fontId="3" fillId="0" borderId="0" xfId="0" applyFont="1" applyFill="1" applyAlignment="1">
      <alignment horizontal="right"/>
    </xf>
    <xf numFmtId="178" fontId="3" fillId="0" borderId="0" xfId="2" applyNumberFormat="1" applyAlignment="1">
      <alignment horizontal="center"/>
    </xf>
    <xf numFmtId="2" fontId="3" fillId="0" borderId="0" xfId="2" applyNumberFormat="1" applyAlignment="1">
      <alignment horizontal="center"/>
    </xf>
    <xf numFmtId="0" fontId="3" fillId="0" borderId="0" xfId="0" applyFont="1" applyAlignment="1">
      <alignment horizontal="center"/>
    </xf>
    <xf numFmtId="0" fontId="0" fillId="0" borderId="1" xfId="0" applyBorder="1"/>
    <xf numFmtId="0" fontId="0" fillId="0" borderId="0" xfId="0" applyFill="1" applyBorder="1" applyAlignment="1">
      <alignment horizontal="center"/>
    </xf>
    <xf numFmtId="0" fontId="3"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3" fillId="0" borderId="0" xfId="0" applyFont="1" applyBorder="1"/>
    <xf numFmtId="0" fontId="28" fillId="0" borderId="0" xfId="0" applyFont="1"/>
    <xf numFmtId="0" fontId="29"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3" fillId="0" borderId="0" xfId="0" applyFont="1" applyBorder="1" applyAlignment="1">
      <alignment horizontal="right"/>
    </xf>
    <xf numFmtId="2" fontId="3" fillId="0" borderId="0" xfId="0" applyNumberFormat="1" applyFont="1" applyBorder="1" applyAlignment="1">
      <alignment horizontal="left"/>
    </xf>
    <xf numFmtId="0" fontId="3" fillId="0" borderId="0" xfId="0" applyFont="1" applyBorder="1" applyAlignment="1">
      <alignment horizontal="center"/>
    </xf>
    <xf numFmtId="0" fontId="0" fillId="2" borderId="24" xfId="0" applyFill="1" applyBorder="1"/>
    <xf numFmtId="0" fontId="3" fillId="2" borderId="24" xfId="0" applyFont="1" applyFill="1" applyBorder="1" applyAlignment="1">
      <alignment horizontal="right" vertical="center"/>
    </xf>
    <xf numFmtId="0" fontId="21"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4" fillId="2" borderId="25" xfId="0" applyFont="1" applyFill="1" applyBorder="1"/>
    <xf numFmtId="0" fontId="3" fillId="2" borderId="24" xfId="0" applyFont="1" applyFill="1" applyBorder="1" applyAlignment="1">
      <alignment horizontal="right"/>
    </xf>
    <xf numFmtId="0" fontId="0" fillId="0" borderId="25" xfId="0" applyBorder="1"/>
    <xf numFmtId="0" fontId="0" fillId="0" borderId="0" xfId="0" applyAlignment="1">
      <alignment horizontal="left"/>
    </xf>
    <xf numFmtId="2"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4" fillId="2" borderId="0" xfId="0" applyFont="1" applyFill="1" applyBorder="1" applyAlignment="1">
      <alignment horizontal="right"/>
    </xf>
    <xf numFmtId="0" fontId="4" fillId="2" borderId="0" xfId="0" applyFont="1" applyFill="1" applyBorder="1" applyAlignment="1">
      <alignment horizontal="center"/>
    </xf>
    <xf numFmtId="0" fontId="9" fillId="2" borderId="0" xfId="0" applyFont="1" applyFill="1" applyBorder="1"/>
    <xf numFmtId="0" fontId="0" fillId="2" borderId="30" xfId="0" applyFill="1" applyBorder="1"/>
    <xf numFmtId="0" fontId="3" fillId="2" borderId="29" xfId="0" applyFont="1" applyFill="1" applyBorder="1"/>
    <xf numFmtId="0" fontId="22"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3" fillId="2" borderId="13" xfId="0" applyFont="1" applyFill="1" applyBorder="1" applyAlignment="1">
      <alignment horizontal="right" vertical="center"/>
    </xf>
    <xf numFmtId="0" fontId="3"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3" fillId="2" borderId="7" xfId="0" applyFont="1" applyFill="1" applyBorder="1" applyAlignment="1">
      <alignment horizontal="right"/>
    </xf>
    <xf numFmtId="0" fontId="0" fillId="5" borderId="0" xfId="0" applyFill="1" applyBorder="1"/>
    <xf numFmtId="0" fontId="3" fillId="5" borderId="0" xfId="0" applyFont="1" applyFill="1" applyBorder="1" applyAlignment="1">
      <alignment horizontal="right" vertical="center"/>
    </xf>
    <xf numFmtId="0" fontId="0" fillId="6" borderId="0" xfId="0" applyFill="1" applyBorder="1"/>
    <xf numFmtId="0" fontId="3" fillId="6" borderId="0" xfId="0" applyFont="1" applyFill="1" applyBorder="1" applyAlignment="1">
      <alignment horizontal="right" vertical="center"/>
    </xf>
    <xf numFmtId="1" fontId="3" fillId="2" borderId="1" xfId="0" applyNumberFormat="1" applyFont="1" applyFill="1" applyBorder="1" applyAlignment="1">
      <alignment horizontal="center" vertical="center"/>
    </xf>
    <xf numFmtId="0" fontId="17" fillId="0" borderId="0" xfId="0" applyFont="1" applyFill="1" applyBorder="1" applyProtection="1"/>
    <xf numFmtId="0" fontId="0" fillId="2" borderId="28" xfId="0" applyFill="1" applyBorder="1"/>
    <xf numFmtId="0" fontId="3" fillId="2" borderId="0" xfId="0" applyFont="1" applyFill="1" applyBorder="1"/>
    <xf numFmtId="0" fontId="22" fillId="2" borderId="24" xfId="0" applyFont="1" applyFill="1" applyBorder="1" applyAlignment="1">
      <alignment horizontal="right" vertical="center"/>
    </xf>
    <xf numFmtId="14" fontId="3" fillId="2" borderId="0" xfId="0" applyNumberFormat="1" applyFont="1" applyFill="1" applyBorder="1" applyAlignment="1">
      <alignment horizontal="center"/>
    </xf>
    <xf numFmtId="0" fontId="3" fillId="2" borderId="26" xfId="0" applyFont="1" applyFill="1" applyBorder="1" applyAlignment="1">
      <alignment horizontal="left"/>
    </xf>
    <xf numFmtId="0" fontId="4" fillId="2" borderId="0" xfId="0" applyFont="1" applyFill="1" applyBorder="1"/>
    <xf numFmtId="0" fontId="4" fillId="2" borderId="29" xfId="0" applyFont="1" applyFill="1" applyBorder="1" applyAlignment="1">
      <alignment horizontal="left"/>
    </xf>
    <xf numFmtId="0" fontId="0" fillId="2" borderId="21" xfId="0" applyFill="1" applyBorder="1" applyAlignment="1">
      <alignment horizontal="center"/>
    </xf>
    <xf numFmtId="1" fontId="0" fillId="2" borderId="1" xfId="0" applyNumberFormat="1" applyFill="1" applyBorder="1" applyAlignment="1">
      <alignment horizontal="center"/>
    </xf>
    <xf numFmtId="176" fontId="0" fillId="2" borderId="1" xfId="0" applyNumberFormat="1" applyFill="1" applyBorder="1" applyAlignment="1">
      <alignment horizontal="center"/>
    </xf>
    <xf numFmtId="0" fontId="30" fillId="0" borderId="0" xfId="0" applyFont="1"/>
    <xf numFmtId="0" fontId="3" fillId="2" borderId="32" xfId="0" applyFont="1" applyFill="1" applyBorder="1" applyAlignment="1">
      <alignment horizontal="right" vertical="center"/>
    </xf>
    <xf numFmtId="2" fontId="0" fillId="3" borderId="11" xfId="0" applyNumberFormat="1" applyFill="1" applyBorder="1" applyAlignment="1" applyProtection="1">
      <alignment horizontal="center"/>
    </xf>
    <xf numFmtId="177"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pplyProtection="1">
      <alignment horizontal="center"/>
    </xf>
    <xf numFmtId="1" fontId="3"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3" fillId="8" borderId="0" xfId="0" applyFont="1" applyFill="1" applyBorder="1" applyAlignment="1">
      <alignment horizontal="right" vertical="center"/>
    </xf>
    <xf numFmtId="0" fontId="24"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0" xfId="0" applyFont="1" applyAlignment="1">
      <alignment horizontal="left"/>
    </xf>
    <xf numFmtId="11" fontId="0" fillId="0" borderId="0" xfId="0" applyNumberFormat="1" applyAlignment="1">
      <alignment horizontal="center"/>
    </xf>
    <xf numFmtId="179" fontId="0" fillId="0" borderId="0" xfId="0" applyNumberFormat="1"/>
    <xf numFmtId="1" fontId="0" fillId="0" borderId="0" xfId="0" applyNumberFormat="1"/>
    <xf numFmtId="2" fontId="3"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3"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28" fillId="0" borderId="0" xfId="2" applyFont="1"/>
    <xf numFmtId="177" fontId="0" fillId="0" borderId="1" xfId="0" applyNumberFormat="1" applyFill="1" applyBorder="1" applyAlignment="1" applyProtection="1">
      <alignment horizontal="center" vertical="center"/>
    </xf>
    <xf numFmtId="0" fontId="28" fillId="0" borderId="0" xfId="0" applyFont="1" applyBorder="1" applyAlignment="1">
      <alignment horizontal="center"/>
    </xf>
    <xf numFmtId="0" fontId="3" fillId="3" borderId="0" xfId="0" applyFont="1" applyFill="1" applyBorder="1" applyAlignment="1">
      <alignment horizontal="right" vertical="center"/>
    </xf>
    <xf numFmtId="0" fontId="3" fillId="3" borderId="0" xfId="0" applyFont="1" applyFill="1" applyAlignment="1">
      <alignment horizontal="right"/>
    </xf>
    <xf numFmtId="0" fontId="3" fillId="0" borderId="13" xfId="0" applyFont="1" applyBorder="1" applyAlignment="1">
      <alignment horizontal="center"/>
    </xf>
    <xf numFmtId="0" fontId="3" fillId="2" borderId="33"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3" xfId="0" applyFill="1" applyBorder="1" applyAlignment="1">
      <alignment horizontal="center" vertical="center"/>
    </xf>
    <xf numFmtId="0" fontId="3" fillId="2" borderId="31" xfId="0" applyFont="1" applyFill="1" applyBorder="1" applyAlignment="1">
      <alignment horizontal="center" vertical="center"/>
    </xf>
    <xf numFmtId="0" fontId="0" fillId="0" borderId="33" xfId="0" applyBorder="1" applyAlignment="1">
      <alignment horizontal="center" vertical="center"/>
    </xf>
    <xf numFmtId="0" fontId="11" fillId="2" borderId="13" xfId="0" applyFont="1" applyFill="1" applyBorder="1" applyAlignment="1">
      <alignment horizontal="center" vertical="center"/>
    </xf>
    <xf numFmtId="0" fontId="0" fillId="2" borderId="33" xfId="0" applyFill="1" applyBorder="1" applyAlignment="1">
      <alignment horizontal="center" vertical="center"/>
    </xf>
    <xf numFmtId="0" fontId="8" fillId="2" borderId="13" xfId="0" applyFont="1" applyFill="1" applyBorder="1" applyAlignment="1">
      <alignment horizontal="center" vertical="center"/>
    </xf>
    <xf numFmtId="0" fontId="0" fillId="2" borderId="34" xfId="0" applyFill="1" applyBorder="1" applyAlignment="1">
      <alignment horizontal="center" vertical="center"/>
    </xf>
    <xf numFmtId="0" fontId="3"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7" xfId="0" applyFill="1" applyBorder="1" applyAlignment="1">
      <alignment horizontal="center"/>
    </xf>
    <xf numFmtId="0" fontId="8" fillId="2" borderId="7" xfId="0" applyFont="1" applyFill="1" applyBorder="1" applyAlignment="1">
      <alignment horizontal="center"/>
    </xf>
    <xf numFmtId="0" fontId="3" fillId="2" borderId="7" xfId="0" applyFont="1" applyFill="1" applyBorder="1" applyAlignment="1">
      <alignment horizontal="center"/>
    </xf>
    <xf numFmtId="0" fontId="8" fillId="2" borderId="24" xfId="0" applyFont="1" applyFill="1" applyBorder="1" applyAlignment="1">
      <alignment horizontal="center" vertical="center"/>
    </xf>
    <xf numFmtId="0" fontId="11"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3" fillId="0" borderId="0" xfId="0" applyFont="1" applyFill="1" applyBorder="1" applyAlignment="1">
      <alignment horizontal="right"/>
    </xf>
    <xf numFmtId="0" fontId="28"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3" fillId="2" borderId="0" xfId="0" applyFont="1" applyFill="1"/>
    <xf numFmtId="0" fontId="3" fillId="6" borderId="16"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7"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3" fillId="0" borderId="1" xfId="0" applyFont="1" applyFill="1" applyBorder="1"/>
    <xf numFmtId="0" fontId="28"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77" fontId="3" fillId="0" borderId="0" xfId="2" applyNumberFormat="1" applyAlignment="1">
      <alignment horizontal="center"/>
    </xf>
    <xf numFmtId="177" fontId="3" fillId="0" borderId="0" xfId="2" applyNumberFormat="1"/>
    <xf numFmtId="0" fontId="28" fillId="10" borderId="0" xfId="0" applyFont="1" applyFill="1"/>
    <xf numFmtId="2" fontId="28" fillId="0" borderId="0" xfId="0" applyNumberFormat="1" applyFont="1" applyBorder="1" applyAlignment="1">
      <alignment horizontal="center"/>
    </xf>
    <xf numFmtId="0" fontId="0" fillId="0" borderId="0" xfId="0" applyAlignment="1">
      <alignment horizontal="center"/>
    </xf>
    <xf numFmtId="0" fontId="30" fillId="4" borderId="1" xfId="0" applyFont="1" applyFill="1" applyBorder="1" applyAlignment="1">
      <alignment horizontal="center"/>
    </xf>
    <xf numFmtId="0" fontId="0" fillId="5" borderId="1" xfId="0" applyFill="1" applyBorder="1" applyAlignment="1">
      <alignment horizontal="center"/>
    </xf>
    <xf numFmtId="2" fontId="3"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3" fillId="0" borderId="0" xfId="0" applyFont="1" applyFill="1"/>
    <xf numFmtId="0" fontId="4" fillId="0" borderId="0" xfId="0" applyFont="1" applyFill="1" applyAlignment="1">
      <alignment horizontal="center"/>
    </xf>
    <xf numFmtId="0" fontId="3" fillId="0" borderId="0" xfId="0" applyFont="1" applyFill="1" applyAlignment="1">
      <alignment horizontal="center"/>
    </xf>
    <xf numFmtId="0" fontId="27" fillId="0" borderId="0" xfId="0" applyFont="1" applyFill="1" applyAlignment="1">
      <alignment horizontal="center"/>
    </xf>
    <xf numFmtId="2" fontId="3" fillId="0" borderId="0" xfId="0" applyNumberFormat="1" applyFont="1" applyFill="1"/>
    <xf numFmtId="0" fontId="4"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4" fillId="11" borderId="0" xfId="0" applyFont="1" applyFill="1" applyBorder="1" applyProtection="1"/>
    <xf numFmtId="0" fontId="35" fillId="11" borderId="0" xfId="0" applyFont="1" applyFill="1" applyBorder="1" applyProtection="1"/>
    <xf numFmtId="0" fontId="36" fillId="11" borderId="0" xfId="0" applyFont="1" applyFill="1" applyBorder="1" applyProtection="1"/>
    <xf numFmtId="0" fontId="37" fillId="11" borderId="0" xfId="0" applyFont="1" applyFill="1" applyProtection="1"/>
    <xf numFmtId="0" fontId="0" fillId="11" borderId="0" xfId="0" applyFill="1" applyProtection="1"/>
    <xf numFmtId="0" fontId="38" fillId="11" borderId="0" xfId="0" applyFont="1" applyFill="1" applyAlignment="1" applyProtection="1"/>
    <xf numFmtId="0" fontId="38" fillId="11" borderId="0" xfId="0" applyFont="1" applyFill="1" applyAlignment="1" applyProtection="1">
      <alignment wrapText="1"/>
    </xf>
    <xf numFmtId="0" fontId="39" fillId="11" borderId="0" xfId="0" applyFont="1" applyFill="1" applyAlignment="1" applyProtection="1">
      <alignment vertical="center"/>
    </xf>
    <xf numFmtId="0" fontId="39" fillId="11" borderId="0" xfId="0" applyFont="1" applyFill="1" applyProtection="1"/>
    <xf numFmtId="0" fontId="0" fillId="11" borderId="40" xfId="0" applyFill="1" applyBorder="1" applyProtection="1"/>
    <xf numFmtId="0" fontId="0" fillId="11" borderId="41" xfId="0" applyFill="1" applyBorder="1" applyProtection="1"/>
    <xf numFmtId="0" fontId="0" fillId="11" borderId="42" xfId="0" applyFill="1" applyBorder="1" applyProtection="1"/>
    <xf numFmtId="0" fontId="3" fillId="11" borderId="0" xfId="0" applyFont="1" applyFill="1" applyBorder="1" applyProtection="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3" fillId="0" borderId="0" xfId="0" applyFont="1"/>
    <xf numFmtId="0" fontId="3" fillId="2" borderId="1" xfId="0" applyFont="1" applyFill="1" applyBorder="1" applyAlignment="1">
      <alignment horizontal="right"/>
    </xf>
    <xf numFmtId="0" fontId="3" fillId="0" borderId="1" xfId="0" applyFont="1" applyBorder="1" applyAlignment="1">
      <alignment horizontal="right"/>
    </xf>
    <xf numFmtId="176" fontId="3" fillId="2" borderId="1" xfId="0" applyNumberFormat="1" applyFont="1" applyFill="1" applyBorder="1" applyAlignment="1">
      <alignment horizontal="right"/>
    </xf>
    <xf numFmtId="0" fontId="0" fillId="12" borderId="23" xfId="0" applyFill="1" applyBorder="1"/>
    <xf numFmtId="0" fontId="3" fillId="12" borderId="24" xfId="0" applyFont="1" applyFill="1" applyBorder="1" applyAlignment="1">
      <alignment horizontal="center"/>
    </xf>
    <xf numFmtId="0" fontId="4" fillId="12" borderId="24" xfId="0" applyFont="1" applyFill="1" applyBorder="1" applyAlignment="1">
      <alignment horizontal="center"/>
    </xf>
    <xf numFmtId="0" fontId="4" fillId="12" borderId="28" xfId="0" applyFont="1" applyFill="1" applyBorder="1" applyAlignment="1">
      <alignment horizontal="left"/>
    </xf>
    <xf numFmtId="0" fontId="0" fillId="2" borderId="18" xfId="0" applyFill="1" applyBorder="1"/>
    <xf numFmtId="0" fontId="3" fillId="2" borderId="19" xfId="0" applyFont="1" applyFill="1" applyBorder="1"/>
    <xf numFmtId="0" fontId="0" fillId="2" borderId="20" xfId="0" applyFill="1" applyBorder="1"/>
    <xf numFmtId="176" fontId="3" fillId="2" borderId="21" xfId="0" applyNumberFormat="1" applyFont="1" applyFill="1" applyBorder="1" applyAlignment="1">
      <alignment horizontal="right"/>
    </xf>
    <xf numFmtId="0" fontId="3" fillId="2" borderId="22" xfId="0" applyFont="1" applyFill="1" applyBorder="1"/>
    <xf numFmtId="0" fontId="4" fillId="0" borderId="0" xfId="0" applyFont="1" applyFill="1" applyAlignment="1" applyProtection="1">
      <alignment horizontal="left"/>
      <protection locked="0"/>
    </xf>
    <xf numFmtId="0" fontId="0" fillId="0" borderId="0" xfId="0" applyFill="1"/>
    <xf numFmtId="0" fontId="4" fillId="0" borderId="1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3" fillId="6" borderId="11"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3" fillId="2" borderId="0" xfId="2" applyFill="1" applyBorder="1"/>
    <xf numFmtId="0" fontId="3" fillId="2" borderId="0" xfId="2" applyFont="1" applyFill="1" applyBorder="1" applyAlignment="1">
      <alignment horizontal="right" vertical="center"/>
    </xf>
    <xf numFmtId="0" fontId="3" fillId="2" borderId="24" xfId="2" applyFill="1" applyBorder="1"/>
    <xf numFmtId="0" fontId="3" fillId="2" borderId="25" xfId="2" applyFill="1" applyBorder="1"/>
    <xf numFmtId="0" fontId="3" fillId="2" borderId="27" xfId="2" applyFill="1" applyBorder="1"/>
    <xf numFmtId="0" fontId="3" fillId="2" borderId="26" xfId="2" applyFill="1" applyBorder="1"/>
    <xf numFmtId="0" fontId="3" fillId="2" borderId="29" xfId="2" applyFill="1" applyBorder="1"/>
    <xf numFmtId="0" fontId="3" fillId="2" borderId="30" xfId="2" applyFill="1" applyBorder="1"/>
    <xf numFmtId="0" fontId="3" fillId="2" borderId="28" xfId="2" applyFill="1" applyBorder="1"/>
    <xf numFmtId="0" fontId="3" fillId="2" borderId="0" xfId="2" applyFont="1" applyFill="1" applyBorder="1"/>
    <xf numFmtId="0" fontId="24" fillId="7" borderId="23" xfId="2" applyFont="1" applyFill="1" applyBorder="1"/>
    <xf numFmtId="0" fontId="24" fillId="3" borderId="25" xfId="2" applyFont="1" applyFill="1" applyBorder="1"/>
    <xf numFmtId="0" fontId="46" fillId="2" borderId="0" xfId="2" applyFont="1" applyFill="1" applyBorder="1"/>
    <xf numFmtId="0" fontId="46" fillId="2" borderId="0" xfId="2" applyFont="1" applyFill="1" applyBorder="1" applyAlignment="1">
      <alignment horizontal="right" vertical="center"/>
    </xf>
    <xf numFmtId="0" fontId="3" fillId="2" borderId="26" xfId="2" applyFont="1" applyFill="1" applyBorder="1" applyAlignment="1">
      <alignment horizontal="center" vertical="center"/>
    </xf>
    <xf numFmtId="0" fontId="3" fillId="2" borderId="26" xfId="2" applyFont="1" applyFill="1" applyBorder="1"/>
    <xf numFmtId="0" fontId="47" fillId="2" borderId="0" xfId="1" applyFont="1" applyFill="1" applyBorder="1" applyAlignment="1" applyProtection="1">
      <alignment horizontal="left"/>
    </xf>
    <xf numFmtId="0" fontId="43" fillId="2" borderId="25" xfId="2" applyFont="1" applyFill="1" applyBorder="1" applyAlignment="1">
      <alignment vertical="top" wrapText="1"/>
    </xf>
    <xf numFmtId="0" fontId="3" fillId="2" borderId="0" xfId="2" applyFont="1" applyFill="1" applyBorder="1" applyAlignment="1">
      <alignment horizontal="center" vertical="center"/>
    </xf>
    <xf numFmtId="0" fontId="47" fillId="2" borderId="24" xfId="1" applyFont="1" applyFill="1" applyBorder="1" applyAlignment="1" applyProtection="1">
      <alignment wrapText="1"/>
    </xf>
    <xf numFmtId="0" fontId="47" fillId="2" borderId="0" xfId="1" applyFont="1" applyFill="1" applyBorder="1" applyAlignment="1" applyProtection="1">
      <alignment horizontal="left" wrapText="1"/>
    </xf>
    <xf numFmtId="0" fontId="46" fillId="3" borderId="0" xfId="2" applyFont="1" applyFill="1" applyBorder="1"/>
    <xf numFmtId="0" fontId="46" fillId="3" borderId="24" xfId="2" applyFont="1" applyFill="1" applyBorder="1"/>
    <xf numFmtId="0" fontId="3" fillId="2" borderId="26" xfId="2" applyFont="1" applyFill="1" applyBorder="1" applyAlignment="1">
      <alignment vertical="top" wrapText="1"/>
    </xf>
    <xf numFmtId="0" fontId="38" fillId="6" borderId="45" xfId="2" applyFont="1" applyFill="1" applyBorder="1" applyAlignment="1" applyProtection="1">
      <alignment horizontal="center" vertical="top"/>
      <protection locked="0"/>
    </xf>
    <xf numFmtId="0" fontId="38" fillId="6" borderId="47" xfId="2" applyFont="1" applyFill="1" applyBorder="1" applyAlignment="1" applyProtection="1">
      <alignment horizontal="center" vertical="top"/>
      <protection locked="0"/>
    </xf>
    <xf numFmtId="0" fontId="49" fillId="2" borderId="0" xfId="1" applyFont="1" applyFill="1" applyBorder="1" applyAlignment="1" applyProtection="1"/>
    <xf numFmtId="0" fontId="0" fillId="9" borderId="1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40" fillId="2" borderId="25" xfId="0" applyFont="1" applyFill="1" applyBorder="1" applyAlignment="1">
      <alignment vertical="top" wrapText="1"/>
    </xf>
    <xf numFmtId="0" fontId="15" fillId="3" borderId="25" xfId="1" applyFill="1" applyBorder="1" applyAlignment="1" applyProtection="1">
      <alignment horizontal="left"/>
    </xf>
    <xf numFmtId="0" fontId="15" fillId="3" borderId="25" xfId="1" applyFill="1" applyBorder="1" applyAlignment="1" applyProtection="1"/>
    <xf numFmtId="0" fontId="15" fillId="2" borderId="25" xfId="1" applyFill="1" applyBorder="1" applyAlignment="1" applyProtection="1"/>
    <xf numFmtId="0" fontId="15" fillId="5" borderId="0" xfId="1" applyFill="1" applyAlignment="1" applyProtection="1"/>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30" xfId="0" applyFont="1" applyBorder="1" applyAlignment="1">
      <alignment horizontal="center" vertical="center" wrapText="1"/>
    </xf>
    <xf numFmtId="0" fontId="9" fillId="2" borderId="0" xfId="0" applyFont="1" applyFill="1" applyBorder="1" applyAlignment="1">
      <alignment horizontal="left" wrapText="1"/>
    </xf>
    <xf numFmtId="0" fontId="9" fillId="2" borderId="7" xfId="0" applyFont="1" applyFill="1" applyBorder="1" applyAlignment="1">
      <alignment horizontal="left" wrapText="1"/>
    </xf>
    <xf numFmtId="0" fontId="33" fillId="2" borderId="25" xfId="0" applyFont="1" applyFill="1" applyBorder="1" applyAlignment="1">
      <alignment horizontal="left" vertical="top" wrapText="1"/>
    </xf>
    <xf numFmtId="0" fontId="33" fillId="2" borderId="0" xfId="0" applyFont="1" applyFill="1" applyBorder="1" applyAlignment="1">
      <alignment horizontal="left" vertical="top" wrapText="1"/>
    </xf>
    <xf numFmtId="0" fontId="45" fillId="2" borderId="25" xfId="2" applyFont="1" applyFill="1" applyBorder="1" applyAlignment="1">
      <alignment horizontal="left" vertical="top" wrapText="1"/>
    </xf>
    <xf numFmtId="0" fontId="45" fillId="2" borderId="24" xfId="1" applyFont="1" applyFill="1" applyBorder="1" applyAlignment="1" applyProtection="1">
      <alignment horizontal="left" wrapText="1"/>
    </xf>
    <xf numFmtId="0" fontId="45" fillId="2" borderId="0" xfId="1" applyFont="1" applyFill="1" applyBorder="1" applyAlignment="1" applyProtection="1">
      <alignment horizontal="left" wrapText="1"/>
    </xf>
    <xf numFmtId="0" fontId="48" fillId="5" borderId="43" xfId="2" applyFont="1" applyFill="1" applyBorder="1" applyAlignment="1">
      <alignment horizontal="left" vertical="top" wrapText="1"/>
    </xf>
    <xf numFmtId="0" fontId="48" fillId="5" borderId="44" xfId="2" applyFont="1" applyFill="1" applyBorder="1" applyAlignment="1">
      <alignment horizontal="left" vertical="top" wrapText="1"/>
    </xf>
    <xf numFmtId="0" fontId="48" fillId="5" borderId="46" xfId="2" applyFont="1" applyFill="1" applyBorder="1" applyAlignment="1">
      <alignment horizontal="left" vertical="top" wrapText="1"/>
    </xf>
    <xf numFmtId="0" fontId="15"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24" fillId="5" borderId="48" xfId="2" applyFont="1" applyFill="1" applyBorder="1" applyAlignment="1">
      <alignment horizontal="left" wrapText="1"/>
    </xf>
    <xf numFmtId="0" fontId="3" fillId="5" borderId="49" xfId="2" applyFill="1" applyBorder="1" applyAlignment="1">
      <alignment horizontal="left" wrapText="1"/>
    </xf>
    <xf numFmtId="0" fontId="3" fillId="5" borderId="45" xfId="2" applyFill="1" applyBorder="1" applyAlignment="1">
      <alignment horizontal="left" wrapText="1"/>
    </xf>
    <xf numFmtId="0" fontId="15" fillId="3" borderId="25" xfId="1" applyFill="1" applyBorder="1" applyAlignment="1" applyProtection="1">
      <alignment horizontal="left" wrapText="1"/>
    </xf>
    <xf numFmtId="0" fontId="33" fillId="2" borderId="26" xfId="2" applyFont="1" applyFill="1" applyBorder="1" applyAlignment="1">
      <alignment horizontal="left" vertical="top" wrapText="1"/>
    </xf>
    <xf numFmtId="0" fontId="4" fillId="2" borderId="26" xfId="2" applyFont="1" applyFill="1" applyBorder="1" applyAlignment="1">
      <alignment horizontal="left" vertical="top" wrapText="1"/>
    </xf>
    <xf numFmtId="0" fontId="15" fillId="3" borderId="25" xfId="1" applyFill="1" applyBorder="1" applyAlignment="1" applyProtection="1">
      <alignment horizontal="left" vertical="top" wrapText="1"/>
    </xf>
    <xf numFmtId="0" fontId="40" fillId="2" borderId="25" xfId="0" applyFont="1" applyFill="1" applyBorder="1" applyAlignment="1">
      <alignment horizontal="left" vertical="top" wrapText="1"/>
    </xf>
    <xf numFmtId="0" fontId="14" fillId="3" borderId="0" xfId="0" applyFont="1" applyFill="1" applyBorder="1" applyAlignment="1" applyProtection="1">
      <alignment horizontal="center" vertical="center"/>
    </xf>
    <xf numFmtId="0" fontId="18" fillId="4" borderId="23" xfId="0" applyFont="1" applyFill="1" applyBorder="1" applyAlignment="1" applyProtection="1">
      <alignment horizontal="left" vertical="center"/>
    </xf>
    <xf numFmtId="0" fontId="18" fillId="4" borderId="24" xfId="0" applyFont="1" applyFill="1" applyBorder="1" applyAlignment="1" applyProtection="1">
      <alignment horizontal="lef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0" fillId="0" borderId="0" xfId="0" applyAlignment="1">
      <alignment horizontal="center"/>
    </xf>
    <xf numFmtId="0" fontId="27" fillId="0" borderId="0" xfId="0" applyFont="1" applyFill="1" applyAlignment="1">
      <alignment horizontal="center"/>
    </xf>
    <xf numFmtId="0" fontId="28" fillId="0" borderId="0" xfId="0" applyFont="1" applyFill="1" applyAlignment="1">
      <alignment horizontal="center"/>
    </xf>
    <xf numFmtId="0" fontId="4" fillId="0" borderId="0" xfId="0" applyFont="1" applyFill="1" applyAlignment="1">
      <alignment horizontal="center"/>
    </xf>
    <xf numFmtId="0" fontId="27" fillId="0" borderId="1" xfId="2" applyFont="1" applyBorder="1" applyAlignment="1">
      <alignment horizontal="center"/>
    </xf>
    <xf numFmtId="0" fontId="3" fillId="0" borderId="11" xfId="0" applyFont="1" applyBorder="1" applyAlignment="1">
      <alignment horizontal="center"/>
    </xf>
    <xf numFmtId="0" fontId="0" fillId="0" borderId="11" xfId="0" applyBorder="1" applyAlignment="1">
      <alignment horizontal="center"/>
    </xf>
    <xf numFmtId="0" fontId="28" fillId="0" borderId="0" xfId="0" applyFont="1" applyBorder="1" applyAlignment="1">
      <alignment horizontal="center"/>
    </xf>
    <xf numFmtId="2" fontId="3" fillId="0" borderId="0" xfId="0" applyNumberFormat="1" applyFont="1" applyBorder="1" applyAlignment="1">
      <alignment horizontal="center"/>
    </xf>
    <xf numFmtId="2" fontId="0" fillId="0" borderId="0" xfId="0" applyNumberFormat="1" applyBorder="1" applyAlignment="1">
      <alignment horizontal="center"/>
    </xf>
  </cellXfs>
  <cellStyles count="12">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Normal 2" xfId="2" xr:uid="{00000000-0005-0000-0000-000006000000}"/>
    <cellStyle name="Normal 3" xfId="10" xr:uid="{00000000-0005-0000-0000-000007000000}"/>
    <cellStyle name="Normal 3 2" xfId="11" xr:uid="{00000000-0005-0000-0000-000008000000}"/>
    <cellStyle name="Style 1" xfId="3" xr:uid="{00000000-0005-0000-0000-000009000000}"/>
    <cellStyle name="Style 2" xfId="4" xr:uid="{00000000-0005-0000-0000-00000A000000}"/>
    <cellStyle name="UNIT" xfId="6" xr:uid="{00000000-0005-0000-0000-00000B000000}"/>
    <cellStyle name="표준" xfId="0" builtinId="0"/>
    <cellStyle name="하이퍼링크" xfId="1" builtinId="8"/>
  </cellStyles>
  <dxfs count="3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bgColor indexed="1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SOA!$B$39:$B$43</c:f>
              <c:numCache>
                <c:formatCode>General</c:formatCode>
                <c:ptCount val="5"/>
                <c:pt idx="0">
                  <c:v>1</c:v>
                </c:pt>
                <c:pt idx="1">
                  <c:v>1.2</c:v>
                </c:pt>
                <c:pt idx="2">
                  <c:v>30</c:v>
                </c:pt>
                <c:pt idx="3">
                  <c:v>50</c:v>
                </c:pt>
                <c:pt idx="4">
                  <c:v>100</c:v>
                </c:pt>
              </c:numCache>
            </c:numRef>
          </c:xVal>
          <c:yVal>
            <c:numRef>
              <c:f>SOA!$C$39:$C$43</c:f>
              <c:numCache>
                <c:formatCode>General</c:formatCode>
                <c:ptCount val="5"/>
                <c:pt idx="0">
                  <c:v>289.99522462688617</c:v>
                </c:pt>
                <c:pt idx="1">
                  <c:v>241.66268718907182</c:v>
                </c:pt>
                <c:pt idx="2">
                  <c:v>9.6665074875628729</c:v>
                </c:pt>
                <c:pt idx="3">
                  <c:v>5.7999044925377232</c:v>
                </c:pt>
                <c:pt idx="4">
                  <c:v>2.8999522462688616</c:v>
                </c:pt>
              </c:numCache>
            </c:numRef>
          </c:yVal>
          <c:smooth val="0"/>
          <c:extLst>
            <c:ext xmlns:c16="http://schemas.microsoft.com/office/drawing/2014/chart" uri="{C3380CC4-5D6E-409C-BE32-E72D297353CC}">
              <c16:uniqueId val="{00000000-8B25-4F27-8721-425316F3D297}"/>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16.666666666666668</c:v>
                </c:pt>
                <c:pt idx="1">
                  <c:v>16.666666666666668</c:v>
                </c:pt>
                <c:pt idx="2">
                  <c:v>16.666666666666668</c:v>
                </c:pt>
                <c:pt idx="3">
                  <c:v>16.666666666666668</c:v>
                </c:pt>
                <c:pt idx="4">
                  <c:v>16.666666666666668</c:v>
                </c:pt>
                <c:pt idx="5">
                  <c:v>15.499999999999998</c:v>
                </c:pt>
                <c:pt idx="6">
                  <c:v>13.357142857142856</c:v>
                </c:pt>
                <c:pt idx="7">
                  <c:v>11.749999999999998</c:v>
                </c:pt>
                <c:pt idx="8">
                  <c:v>10.499999999999998</c:v>
                </c:pt>
                <c:pt idx="9">
                  <c:v>9.4999999999999982</c:v>
                </c:pt>
                <c:pt idx="10">
                  <c:v>8.6818181818181799</c:v>
                </c:pt>
                <c:pt idx="11">
                  <c:v>7.9999999999999991</c:v>
                </c:pt>
                <c:pt idx="12">
                  <c:v>7.4230769230769216</c:v>
                </c:pt>
                <c:pt idx="13">
                  <c:v>6.9285714285714279</c:v>
                </c:pt>
                <c:pt idx="14">
                  <c:v>6.4999999999999991</c:v>
                </c:pt>
                <c:pt idx="15">
                  <c:v>6.1249999999999991</c:v>
                </c:pt>
                <c:pt idx="16">
                  <c:v>5.7941176470588225</c:v>
                </c:pt>
                <c:pt idx="17">
                  <c:v>5.4999999999999991</c:v>
                </c:pt>
                <c:pt idx="18">
                  <c:v>5.2368421052631575</c:v>
                </c:pt>
                <c:pt idx="19">
                  <c:v>4.9999999999999991</c:v>
                </c:pt>
                <c:pt idx="20">
                  <c:v>4.7857142857142847</c:v>
                </c:pt>
                <c:pt idx="21">
                  <c:v>4.5909090909090899</c:v>
                </c:pt>
                <c:pt idx="22">
                  <c:v>4.4130434782608692</c:v>
                </c:pt>
                <c:pt idx="23">
                  <c:v>4.2499999999999991</c:v>
                </c:pt>
                <c:pt idx="24">
                  <c:v>4.0999999999999996</c:v>
                </c:pt>
                <c:pt idx="25">
                  <c:v>3.9615384615384608</c:v>
                </c:pt>
                <c:pt idx="26">
                  <c:v>3.8333333333333326</c:v>
                </c:pt>
                <c:pt idx="27">
                  <c:v>3.714285714285714</c:v>
                </c:pt>
                <c:pt idx="28">
                  <c:v>3.6034482758620685</c:v>
                </c:pt>
                <c:pt idx="29">
                  <c:v>3.4999999999999996</c:v>
                </c:pt>
                <c:pt idx="30">
                  <c:v>3.4032258064516125</c:v>
                </c:pt>
                <c:pt idx="31">
                  <c:v>3.3124999999999996</c:v>
                </c:pt>
                <c:pt idx="32">
                  <c:v>3.2272727272727266</c:v>
                </c:pt>
                <c:pt idx="33">
                  <c:v>3.1470588235294112</c:v>
                </c:pt>
                <c:pt idx="34">
                  <c:v>3.0714285714285712</c:v>
                </c:pt>
                <c:pt idx="35">
                  <c:v>2.9999999999999996</c:v>
                </c:pt>
                <c:pt idx="36">
                  <c:v>2.932432432432432</c:v>
                </c:pt>
                <c:pt idx="37">
                  <c:v>2.8684210526315788</c:v>
                </c:pt>
                <c:pt idx="38">
                  <c:v>2.8076923076923075</c:v>
                </c:pt>
                <c:pt idx="39">
                  <c:v>2.7499999999999996</c:v>
                </c:pt>
                <c:pt idx="40">
                  <c:v>2.6951219512195119</c:v>
                </c:pt>
                <c:pt idx="41">
                  <c:v>2.6428571428571423</c:v>
                </c:pt>
                <c:pt idx="42">
                  <c:v>2.5930232558139532</c:v>
                </c:pt>
                <c:pt idx="43">
                  <c:v>2.545454545454545</c:v>
                </c:pt>
                <c:pt idx="44">
                  <c:v>2.4999999999999996</c:v>
                </c:pt>
                <c:pt idx="45">
                  <c:v>2.4565217391304346</c:v>
                </c:pt>
                <c:pt idx="46">
                  <c:v>2.4148936170212765</c:v>
                </c:pt>
                <c:pt idx="47">
                  <c:v>2.3749999999999996</c:v>
                </c:pt>
                <c:pt idx="48">
                  <c:v>2.3367346938775508</c:v>
                </c:pt>
                <c:pt idx="49">
                  <c:v>2.2999999999999998</c:v>
                </c:pt>
                <c:pt idx="50">
                  <c:v>2.2647058823529407</c:v>
                </c:pt>
                <c:pt idx="51">
                  <c:v>2.2307692307692304</c:v>
                </c:pt>
                <c:pt idx="52">
                  <c:v>2.1981132075471694</c:v>
                </c:pt>
                <c:pt idx="53">
                  <c:v>2.1666666666666665</c:v>
                </c:pt>
                <c:pt idx="54">
                  <c:v>2.1363636363636362</c:v>
                </c:pt>
                <c:pt idx="55">
                  <c:v>2.1071428571428568</c:v>
                </c:pt>
                <c:pt idx="56">
                  <c:v>2.0789473684210522</c:v>
                </c:pt>
                <c:pt idx="57">
                  <c:v>2.0517241379310343</c:v>
                </c:pt>
                <c:pt idx="58">
                  <c:v>2.0254237288135593</c:v>
                </c:pt>
                <c:pt idx="59">
                  <c:v>1.9999999999999998</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8B25-4F27-8721-425316F3D297}"/>
            </c:ext>
          </c:extLst>
        </c:ser>
        <c:dLbls>
          <c:showLegendKey val="0"/>
          <c:showVal val="0"/>
          <c:showCatName val="0"/>
          <c:showSerName val="0"/>
          <c:showPercent val="0"/>
          <c:showBubbleSize val="0"/>
        </c:dLbls>
        <c:axId val="97778688"/>
        <c:axId val="97965184"/>
      </c:scatterChart>
      <c:valAx>
        <c:axId val="97778688"/>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ko-KR"/>
          </a:p>
        </c:txPr>
        <c:crossAx val="97965184"/>
        <c:crossesAt val="0.1"/>
        <c:crossBetween val="midCat"/>
      </c:valAx>
      <c:valAx>
        <c:axId val="9796518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ko-KR"/>
          </a:p>
        </c:txPr>
        <c:crossAx val="97778688"/>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93"/>
          <c:y val="5.8933081466572404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ko-KR"/>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ko-KR"/>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4"/>
          <c:y val="3.0591748387251087E-2"/>
        </c:manualLayout>
      </c:layout>
      <c:overlay val="1"/>
      <c:spPr>
        <a:solidFill>
          <a:schemeClr val="bg1"/>
        </a:solidFill>
      </c:spPr>
    </c:title>
    <c:autoTitleDeleted val="0"/>
    <c:plotArea>
      <c:layout>
        <c:manualLayout>
          <c:layoutTarget val="inner"/>
          <c:xMode val="edge"/>
          <c:yMode val="edge"/>
          <c:x val="0.15203109554174488"/>
          <c:y val="0.13835811263066838"/>
          <c:w val="0.768657511036137"/>
          <c:h val="0.701658902091126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9945-4B73-8CEC-BB4AD84B20EC}"/>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1.9999999999999998</c:v>
                </c:pt>
                <c:pt idx="1">
                  <c:v>2.0145631067961163</c:v>
                </c:pt>
                <c:pt idx="2">
                  <c:v>2.0294117647058822</c:v>
                </c:pt>
                <c:pt idx="3">
                  <c:v>2.0445544554455446</c:v>
                </c:pt>
                <c:pt idx="4">
                  <c:v>2.0599999999999996</c:v>
                </c:pt>
                <c:pt idx="5">
                  <c:v>2.0757575757575757</c:v>
                </c:pt>
                <c:pt idx="6">
                  <c:v>2.0918367346938771</c:v>
                </c:pt>
                <c:pt idx="7">
                  <c:v>2.108247422680412</c:v>
                </c:pt>
                <c:pt idx="8">
                  <c:v>2.1249999999999996</c:v>
                </c:pt>
                <c:pt idx="9">
                  <c:v>2.1421052631578945</c:v>
                </c:pt>
                <c:pt idx="10">
                  <c:v>2.1595744680851059</c:v>
                </c:pt>
                <c:pt idx="11">
                  <c:v>2.1774193548387095</c:v>
                </c:pt>
                <c:pt idx="12">
                  <c:v>2.195652173913043</c:v>
                </c:pt>
                <c:pt idx="13">
                  <c:v>2.214285714285714</c:v>
                </c:pt>
                <c:pt idx="14">
                  <c:v>2.2333333333333334</c:v>
                </c:pt>
                <c:pt idx="15">
                  <c:v>2.2528089887640448</c:v>
                </c:pt>
                <c:pt idx="16">
                  <c:v>2.2727272727272725</c:v>
                </c:pt>
                <c:pt idx="17">
                  <c:v>2.2931034482758617</c:v>
                </c:pt>
                <c:pt idx="18">
                  <c:v>2.3139534883720927</c:v>
                </c:pt>
                <c:pt idx="19">
                  <c:v>2.3352941176470585</c:v>
                </c:pt>
                <c:pt idx="20">
                  <c:v>2.3571428571428568</c:v>
                </c:pt>
                <c:pt idx="21">
                  <c:v>2.3795180722891565</c:v>
                </c:pt>
                <c:pt idx="22">
                  <c:v>2.4024390243902438</c:v>
                </c:pt>
                <c:pt idx="23">
                  <c:v>2.4259259259259256</c:v>
                </c:pt>
                <c:pt idx="24">
                  <c:v>2.4499999999999997</c:v>
                </c:pt>
                <c:pt idx="25">
                  <c:v>2.4746835443037969</c:v>
                </c:pt>
                <c:pt idx="26">
                  <c:v>2.4999999999999996</c:v>
                </c:pt>
                <c:pt idx="27">
                  <c:v>2.5259740259740258</c:v>
                </c:pt>
                <c:pt idx="28">
                  <c:v>2.5526315789473681</c:v>
                </c:pt>
                <c:pt idx="29">
                  <c:v>2.5799999999999996</c:v>
                </c:pt>
                <c:pt idx="30">
                  <c:v>2.6081081081081079</c:v>
                </c:pt>
                <c:pt idx="31">
                  <c:v>2.6369863013698627</c:v>
                </c:pt>
                <c:pt idx="32">
                  <c:v>2.666666666666667</c:v>
                </c:pt>
                <c:pt idx="33">
                  <c:v>2.6971830985915486</c:v>
                </c:pt>
                <c:pt idx="34">
                  <c:v>2.7285714285714282</c:v>
                </c:pt>
                <c:pt idx="35">
                  <c:v>2.7608695652173907</c:v>
                </c:pt>
                <c:pt idx="36">
                  <c:v>2.7941176470588234</c:v>
                </c:pt>
                <c:pt idx="37">
                  <c:v>2.8283582089552235</c:v>
                </c:pt>
                <c:pt idx="38">
                  <c:v>2.8636363636363629</c:v>
                </c:pt>
                <c:pt idx="39">
                  <c:v>2.8999999999999995</c:v>
                </c:pt>
                <c:pt idx="40">
                  <c:v>2.9375</c:v>
                </c:pt>
                <c:pt idx="41">
                  <c:v>2.9761904761904758</c:v>
                </c:pt>
                <c:pt idx="42">
                  <c:v>3.0161290322580636</c:v>
                </c:pt>
                <c:pt idx="43">
                  <c:v>3.0573770491803276</c:v>
                </c:pt>
                <c:pt idx="44">
                  <c:v>3.0999999999999996</c:v>
                </c:pt>
                <c:pt idx="45">
                  <c:v>3.1440677966101696</c:v>
                </c:pt>
                <c:pt idx="46">
                  <c:v>3.1896551724137918</c:v>
                </c:pt>
                <c:pt idx="47">
                  <c:v>3.2368421052631571</c:v>
                </c:pt>
                <c:pt idx="48">
                  <c:v>3.2857142857142851</c:v>
                </c:pt>
                <c:pt idx="49">
                  <c:v>3.336363636363636</c:v>
                </c:pt>
                <c:pt idx="50">
                  <c:v>3.3888888888888884</c:v>
                </c:pt>
                <c:pt idx="51">
                  <c:v>3.4433962264150937</c:v>
                </c:pt>
                <c:pt idx="52">
                  <c:v>3.4999999999999996</c:v>
                </c:pt>
                <c:pt idx="53">
                  <c:v>3.5588235294117641</c:v>
                </c:pt>
                <c:pt idx="54">
                  <c:v>3.6199999999999997</c:v>
                </c:pt>
                <c:pt idx="55">
                  <c:v>3.6836734693877546</c:v>
                </c:pt>
                <c:pt idx="56">
                  <c:v>3.7499999999999996</c:v>
                </c:pt>
                <c:pt idx="57">
                  <c:v>3.8191489361702127</c:v>
                </c:pt>
                <c:pt idx="58">
                  <c:v>3.8913043478260865</c:v>
                </c:pt>
                <c:pt idx="59">
                  <c:v>3.9666666666666663</c:v>
                </c:pt>
                <c:pt idx="60">
                  <c:v>4.045454545454545</c:v>
                </c:pt>
                <c:pt idx="61">
                  <c:v>4.1279069767441854</c:v>
                </c:pt>
                <c:pt idx="62">
                  <c:v>4.2142857142857135</c:v>
                </c:pt>
                <c:pt idx="63">
                  <c:v>4.3048780487804876</c:v>
                </c:pt>
                <c:pt idx="64">
                  <c:v>4.3999999999999995</c:v>
                </c:pt>
                <c:pt idx="65">
                  <c:v>4.4999999999999991</c:v>
                </c:pt>
                <c:pt idx="66">
                  <c:v>4.6052631578947354</c:v>
                </c:pt>
                <c:pt idx="67">
                  <c:v>4.7162162162162149</c:v>
                </c:pt>
                <c:pt idx="68">
                  <c:v>4.833333333333333</c:v>
                </c:pt>
                <c:pt idx="69">
                  <c:v>4.9571428571428564</c:v>
                </c:pt>
                <c:pt idx="70">
                  <c:v>5.0882352941176467</c:v>
                </c:pt>
                <c:pt idx="71">
                  <c:v>5.2272727272727266</c:v>
                </c:pt>
                <c:pt idx="72">
                  <c:v>5.3749999999999991</c:v>
                </c:pt>
                <c:pt idx="73">
                  <c:v>5.5322580645161272</c:v>
                </c:pt>
                <c:pt idx="74">
                  <c:v>5.6999999999999993</c:v>
                </c:pt>
                <c:pt idx="75">
                  <c:v>5.8793103448275845</c:v>
                </c:pt>
                <c:pt idx="76">
                  <c:v>6.0714285714285712</c:v>
                </c:pt>
                <c:pt idx="77">
                  <c:v>6.2777777777777777</c:v>
                </c:pt>
                <c:pt idx="78">
                  <c:v>6.4999999999999991</c:v>
                </c:pt>
                <c:pt idx="79">
                  <c:v>6.7399999999999975</c:v>
                </c:pt>
                <c:pt idx="80">
                  <c:v>6.9999999999999982</c:v>
                </c:pt>
                <c:pt idx="81">
                  <c:v>7.2826086956521747</c:v>
                </c:pt>
                <c:pt idx="82">
                  <c:v>7.5909090909090899</c:v>
                </c:pt>
                <c:pt idx="83">
                  <c:v>7.9285714285714288</c:v>
                </c:pt>
                <c:pt idx="84">
                  <c:v>8.2999999999999972</c:v>
                </c:pt>
                <c:pt idx="85">
                  <c:v>8.7105263157894726</c:v>
                </c:pt>
                <c:pt idx="86">
                  <c:v>9.1666666666666643</c:v>
                </c:pt>
                <c:pt idx="87">
                  <c:v>9.6764705882352935</c:v>
                </c:pt>
                <c:pt idx="88">
                  <c:v>10.249999999999995</c:v>
                </c:pt>
                <c:pt idx="89">
                  <c:v>10.899999999999999</c:v>
                </c:pt>
                <c:pt idx="90">
                  <c:v>11.642857142857146</c:v>
                </c:pt>
                <c:pt idx="91">
                  <c:v>12.499999999999998</c:v>
                </c:pt>
                <c:pt idx="92">
                  <c:v>13.499999999999991</c:v>
                </c:pt>
                <c:pt idx="93">
                  <c:v>14.681818181818178</c:v>
                </c:pt>
                <c:pt idx="94">
                  <c:v>16.100000000000005</c:v>
                </c:pt>
                <c:pt idx="95">
                  <c:v>16.666666666666668</c:v>
                </c:pt>
                <c:pt idx="96">
                  <c:v>16.666666666666668</c:v>
                </c:pt>
                <c:pt idx="97">
                  <c:v>16.666666666666668</c:v>
                </c:pt>
                <c:pt idx="98">
                  <c:v>16.666666666666668</c:v>
                </c:pt>
                <c:pt idx="99">
                  <c:v>16.666666666666668</c:v>
                </c:pt>
                <c:pt idx="100">
                  <c:v>16.666666666666668</c:v>
                </c:pt>
                <c:pt idx="101">
                  <c:v>16.666666666666668</c:v>
                </c:pt>
                <c:pt idx="102">
                  <c:v>16.666666666666668</c:v>
                </c:pt>
              </c:numCache>
            </c:numRef>
          </c:yVal>
          <c:smooth val="1"/>
          <c:extLst>
            <c:ext xmlns:c16="http://schemas.microsoft.com/office/drawing/2014/chart" uri="{C3380CC4-5D6E-409C-BE32-E72D297353CC}">
              <c16:uniqueId val="{00000001-9945-4B73-8CEC-BB4AD84B20EC}"/>
            </c:ext>
          </c:extLst>
        </c:ser>
        <c:dLbls>
          <c:showLegendKey val="0"/>
          <c:showVal val="0"/>
          <c:showCatName val="0"/>
          <c:showSerName val="0"/>
          <c:showPercent val="0"/>
          <c:showBubbleSize val="0"/>
        </c:dLbls>
        <c:axId val="98908032"/>
        <c:axId val="98910208"/>
      </c:scatterChart>
      <c:valAx>
        <c:axId val="98908032"/>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64"/>
              <c:y val="0.92545001031614371"/>
            </c:manualLayout>
          </c:layout>
          <c:overlay val="0"/>
        </c:title>
        <c:numFmt formatCode="0.00" sourceLinked="1"/>
        <c:majorTickMark val="out"/>
        <c:minorTickMark val="none"/>
        <c:tickLblPos val="nextTo"/>
        <c:txPr>
          <a:bodyPr/>
          <a:lstStyle/>
          <a:p>
            <a:pPr>
              <a:defRPr b="1"/>
            </a:pPr>
            <a:endParaRPr lang="ko-KR"/>
          </a:p>
        </c:txPr>
        <c:crossAx val="98910208"/>
        <c:crosses val="autoZero"/>
        <c:crossBetween val="midCat"/>
      </c:valAx>
      <c:valAx>
        <c:axId val="98910208"/>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9E-2"/>
              <c:y val="0.40230013499530881"/>
            </c:manualLayout>
          </c:layout>
          <c:overlay val="0"/>
        </c:title>
        <c:numFmt formatCode="0.00" sourceLinked="0"/>
        <c:majorTickMark val="out"/>
        <c:minorTickMark val="none"/>
        <c:tickLblPos val="nextTo"/>
        <c:txPr>
          <a:bodyPr/>
          <a:lstStyle/>
          <a:p>
            <a:pPr>
              <a:defRPr b="1"/>
            </a:pPr>
            <a:endParaRPr lang="ko-KR"/>
          </a:p>
        </c:txPr>
        <c:crossAx val="98908032"/>
        <c:crosses val="autoZero"/>
        <c:crossBetween val="midCat"/>
      </c:valAx>
    </c:plotArea>
    <c:legend>
      <c:legendPos val="r"/>
      <c:layout>
        <c:manualLayout>
          <c:xMode val="edge"/>
          <c:yMode val="edge"/>
          <c:x val="0.69663816666481326"/>
          <c:y val="0.30818045699407481"/>
          <c:w val="0.21462230092985587"/>
          <c:h val="0.18516649249275957"/>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ko-K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32"/>
          <c:y val="8.0967958803185427E-2"/>
          <c:w val="0.76768118867008672"/>
          <c:h val="0.71875545525738094"/>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6.0139017608897137E-2</c:v>
                </c:pt>
                <c:pt idx="4" formatCode="0.0">
                  <c:v>0.11983801426441554</c:v>
                </c:pt>
                <c:pt idx="5" formatCode="0.0">
                  <c:v>0.17909485911448073</c:v>
                </c:pt>
                <c:pt idx="6" formatCode="0.0">
                  <c:v>0.23790740579110511</c:v>
                </c:pt>
                <c:pt idx="7" formatCode="0.0">
                  <c:v>0.29627349225938132</c:v>
                </c:pt>
                <c:pt idx="8" formatCode="0.0">
                  <c:v>0.35419094066463463</c:v>
                </c:pt>
                <c:pt idx="9" formatCode="0.0">
                  <c:v>0.41165755717770591</c:v>
                </c:pt>
                <c:pt idx="10" formatCode="0.0">
                  <c:v>0.46867113183833942</c:v>
                </c:pt>
                <c:pt idx="11" formatCode="0.0">
                  <c:v>0.52522943839664604</c:v>
                </c:pt>
                <c:pt idx="12" formatCode="0.0">
                  <c:v>0.5813302341526142</c:v>
                </c:pt>
                <c:pt idx="13" formatCode="0.0">
                  <c:v>0.63697125979363978</c:v>
                </c:pt>
                <c:pt idx="14" formatCode="0.0">
                  <c:v>0.69215023923004504</c:v>
                </c:pt>
                <c:pt idx="15" formatCode="0.0">
                  <c:v>0.74686487942855617</c:v>
                </c:pt>
                <c:pt idx="16" formatCode="0.0">
                  <c:v>0.80111287024371114</c:v>
                </c:pt>
                <c:pt idx="17" formatCode="0.0">
                  <c:v>0.85489188424716411</c:v>
                </c:pt>
                <c:pt idx="18" formatCode="0.0">
                  <c:v>0.9081995765548565</c:v>
                </c:pt>
                <c:pt idx="19" formatCode="0.0">
                  <c:v>0.9610335846520226</c:v>
                </c:pt>
                <c:pt idx="20" formatCode="0.0">
                  <c:v>1.0133915282159964</c:v>
                </c:pt>
                <c:pt idx="21" formatCode="0.0">
                  <c:v>1.0652710089367869</c:v>
                </c:pt>
                <c:pt idx="22" formatCode="0.0">
                  <c:v>1.1166696103353881</c:v>
                </c:pt>
                <c:pt idx="23" formatCode="0.0">
                  <c:v>1.1675848975797893</c:v>
                </c:pt>
                <c:pt idx="24" formatCode="0.0">
                  <c:v>1.2180144172986491</c:v>
                </c:pt>
                <c:pt idx="25" formatCode="0.0">
                  <c:v>1.2679556973926009</c:v>
                </c:pt>
                <c:pt idx="26" formatCode="0.0">
                  <c:v>1.3174062468431507</c:v>
                </c:pt>
                <c:pt idx="27" formatCode="0.0">
                  <c:v>1.3663635555191294</c:v>
                </c:pt>
                <c:pt idx="28" formatCode="0.0">
                  <c:v>1.4148250939806679</c:v>
                </c:pt>
                <c:pt idx="29" formatCode="0.0">
                  <c:v>1.4627883132806483</c:v>
                </c:pt>
                <c:pt idx="30" formatCode="0.0">
                  <c:v>1.5102506447635982</c:v>
                </c:pt>
                <c:pt idx="31" formatCode="0.0">
                  <c:v>1.5572094998619881</c:v>
                </c:pt>
                <c:pt idx="32" formatCode="0.0">
                  <c:v>1.6036622698898877</c:v>
                </c:pt>
                <c:pt idx="33" formatCode="0.0">
                  <c:v>1.6496063258339435</c:v>
                </c:pt>
                <c:pt idx="34" formatCode="0.0">
                  <c:v>1.6950390181416359</c:v>
                </c:pt>
                <c:pt idx="35" formatCode="0.0">
                  <c:v>1.7399576765067692</c:v>
                </c:pt>
                <c:pt idx="36" formatCode="0.0">
                  <c:v>1.7843596096521583</c:v>
                </c:pt>
                <c:pt idx="37" formatCode="0.0">
                  <c:v>1.8282421051094568</c:v>
                </c:pt>
                <c:pt idx="38" formatCode="0.0">
                  <c:v>1.8716024289960964</c:v>
                </c:pt>
                <c:pt idx="39" formatCode="0.0">
                  <c:v>1.9144378257892769</c:v>
                </c:pt>
                <c:pt idx="40" formatCode="0.0">
                  <c:v>1.9567455180969691</c:v>
                </c:pt>
                <c:pt idx="41" formatCode="0.0">
                  <c:v>1.9985227064258817</c:v>
                </c:pt>
                <c:pt idx="42" formatCode="0.0">
                  <c:v>2.03976656894634</c:v>
                </c:pt>
                <c:pt idx="43" formatCode="0.0">
                  <c:v>2.0804742612540319</c:v>
                </c:pt>
                <c:pt idx="44" formatCode="0.0">
                  <c:v>2.1206429161285691</c:v>
                </c:pt>
                <c:pt idx="45" formatCode="0.0">
                  <c:v>2.1602696432888084</c:v>
                </c:pt>
                <c:pt idx="46" formatCode="0.0">
                  <c:v>2.1993515291448875</c:v>
                </c:pt>
                <c:pt idx="47" formatCode="0.0">
                  <c:v>2.2378856365469195</c:v>
                </c:pt>
                <c:pt idx="48" formatCode="0.0">
                  <c:v>2.2758690045302874</c:v>
                </c:pt>
                <c:pt idx="49" formatCode="0.0">
                  <c:v>2.3132986480574922</c:v>
                </c:pt>
                <c:pt idx="50" formatCode="0.0">
                  <c:v>2.350171557756489</c:v>
                </c:pt>
                <c:pt idx="51" formatCode="0.0">
                  <c:v>2.3864846996554618</c:v>
                </c:pt>
                <c:pt idx="52" formatCode="0.0">
                  <c:v>2.4222350149139737</c:v>
                </c:pt>
                <c:pt idx="53" formatCode="0.0">
                  <c:v>2.4574194195504333</c:v>
                </c:pt>
                <c:pt idx="54" formatCode="0.0">
                  <c:v>2.4920348041658178</c:v>
                </c:pt>
                <c:pt idx="55" formatCode="0.0">
                  <c:v>2.5260780336635924</c:v>
                </c:pt>
                <c:pt idx="56" formatCode="0.0">
                  <c:v>2.5595459469657604</c:v>
                </c:pt>
                <c:pt idx="57" formatCode="0.0">
                  <c:v>2.5924353567249763</c:v>
                </c:pt>
                <c:pt idx="58" formatCode="0.0">
                  <c:v>2.6247430490326682</c:v>
                </c:pt>
                <c:pt idx="59" formatCode="0.0">
                  <c:v>2.6564657831230907</c:v>
                </c:pt>
                <c:pt idx="60" formatCode="0.0">
                  <c:v>2.6876002910732408</c:v>
                </c:pt>
                <c:pt idx="61" formatCode="0.0">
                  <c:v>2.7181432774985801</c:v>
                </c:pt>
                <c:pt idx="62" formatCode="0.0">
                  <c:v>2.7480914192444743</c:v>
                </c:pt>
                <c:pt idx="63" formatCode="0.0">
                  <c:v>2.7774413650732934</c:v>
                </c:pt>
                <c:pt idx="64" formatCode="0.0">
                  <c:v>2.806189735347087</c:v>
                </c:pt>
                <c:pt idx="65" formatCode="0.0">
                  <c:v>2.8343331217057708</c:v>
                </c:pt>
                <c:pt idx="66" formatCode="0.0">
                  <c:v>2.8618680867407362</c:v>
                </c:pt>
                <c:pt idx="67" formatCode="0.0">
                  <c:v>2.8887911636638131</c:v>
                </c:pt>
                <c:pt idx="68" formatCode="0.0">
                  <c:v>2.9150988559715052</c:v>
                </c:pt>
                <c:pt idx="69" formatCode="0.0">
                  <c:v>2.9407876371044126</c:v>
                </c:pt>
                <c:pt idx="70" formatCode="0.0">
                  <c:v>2.96585395010176</c:v>
                </c:pt>
                <c:pt idx="71" formatCode="0.0">
                  <c:v>2.9902942072509506</c:v>
                </c:pt>
                <c:pt idx="72" formatCode="0.0">
                  <c:v>3.0141047897320532</c:v>
                </c:pt>
                <c:pt idx="73" formatCode="0.0">
                  <c:v>3.0372820472571367</c:v>
                </c:pt>
                <c:pt idx="74" formatCode="0.0">
                  <c:v>3.0598222977043639</c:v>
                </c:pt>
                <c:pt idx="75" formatCode="0.0">
                  <c:v>3.0817218267467501</c:v>
                </c:pt>
                <c:pt idx="76" formatCode="0.0">
                  <c:v>3.1029768874754948</c:v>
                </c:pt>
                <c:pt idx="77" formatCode="0.0">
                  <c:v>3.1235837000177913</c:v>
                </c:pt>
                <c:pt idx="78" formatCode="0.0">
                  <c:v>3.1435384511490132</c:v>
                </c:pt>
                <c:pt idx="79" formatCode="0.0">
                  <c:v>3.1628372938991838</c:v>
                </c:pt>
                <c:pt idx="80" formatCode="0.0">
                  <c:v>3.1814763471536214</c:v>
                </c:pt>
                <c:pt idx="81" formatCode="0.0">
                  <c:v>3.1994516952476637</c:v>
                </c:pt>
                <c:pt idx="82" formatCode="0.0">
                  <c:v>3.216759387555356</c:v>
                </c:pt>
                <c:pt idx="83" formatCode="0.0">
                  <c:v>3.2333954380720038</c:v>
                </c:pt>
                <c:pt idx="84" formatCode="0.0">
                  <c:v>3.2493558249904742</c:v>
                </c:pt>
                <c:pt idx="85" formatCode="0.0">
                  <c:v>3.2646364902711396</c:v>
                </c:pt>
                <c:pt idx="86" formatCode="0.0">
                  <c:v>3.2792333392053377</c:v>
                </c:pt>
                <c:pt idx="87" formatCode="0.0">
                  <c:v>3.2931422399722448</c:v>
                </c:pt>
                <c:pt idx="88" formatCode="0.0">
                  <c:v>3.3063590231890276</c:v>
                </c:pt>
                <c:pt idx="89" formatCode="0.0">
                  <c:v>3.3188794814541667</c:v>
                </c:pt>
                <c:pt idx="90" formatCode="0.0">
                  <c:v>3.3306993688838102</c:v>
                </c:pt>
                <c:pt idx="91" formatCode="0.0">
                  <c:v>3.3418144006410437</c:v>
                </c:pt>
                <c:pt idx="92" formatCode="0.0">
                  <c:v>3.3522202524579385</c:v>
                </c:pt>
                <c:pt idx="93" formatCode="0.0">
                  <c:v>3.3619125601502464</c:v>
                </c:pt>
                <c:pt idx="94" formatCode="0.0">
                  <c:v>3.3708869191246054</c:v>
                </c:pt>
                <c:pt idx="95" formatCode="0.0">
                  <c:v>3.379138883878118</c:v>
                </c:pt>
                <c:pt idx="96" formatCode="0.0">
                  <c:v>3.3866639674901582</c:v>
                </c:pt>
                <c:pt idx="97" formatCode="0.0">
                  <c:v>3.393933198259389</c:v>
                </c:pt>
                <c:pt idx="98" formatCode="0.0">
                  <c:v>3.4012024290286198</c:v>
                </c:pt>
                <c:pt idx="99" formatCode="0.0">
                  <c:v>3.4084716597978506</c:v>
                </c:pt>
                <c:pt idx="100" formatCode="0.0">
                  <c:v>3.4157408905670814</c:v>
                </c:pt>
                <c:pt idx="101" formatCode="0.0">
                  <c:v>3.4230101213363122</c:v>
                </c:pt>
                <c:pt idx="102" formatCode="0.0">
                  <c:v>3.430279352105543</c:v>
                </c:pt>
                <c:pt idx="103" formatCode="0.0">
                  <c:v>3.4375485828747738</c:v>
                </c:pt>
                <c:pt idx="104" formatCode="0.0">
                  <c:v>3.4448178136440046</c:v>
                </c:pt>
                <c:pt idx="105" formatCode="0.0">
                  <c:v>3.4520870444132354</c:v>
                </c:pt>
                <c:pt idx="106" formatCode="0.0">
                  <c:v>3.4593562751824662</c:v>
                </c:pt>
                <c:pt idx="107" formatCode="0.0">
                  <c:v>3.9593562751824662</c:v>
                </c:pt>
              </c:numCache>
            </c:numRef>
          </c:xVal>
          <c:yVal>
            <c:numRef>
              <c:f>Start_up!$O$8:$O$115</c:f>
              <c:numCache>
                <c:formatCode>General</c:formatCode>
                <c:ptCount val="108"/>
                <c:pt idx="0">
                  <c:v>0</c:v>
                </c:pt>
                <c:pt idx="1">
                  <c:v>0</c:v>
                </c:pt>
                <c:pt idx="2">
                  <c:v>119.99999999999999</c:v>
                </c:pt>
                <c:pt idx="3">
                  <c:v>119.71153846153844</c:v>
                </c:pt>
                <c:pt idx="4">
                  <c:v>119.42307692307692</c:v>
                </c:pt>
                <c:pt idx="5">
                  <c:v>119.13461538461539</c:v>
                </c:pt>
                <c:pt idx="6">
                  <c:v>118.84615384615383</c:v>
                </c:pt>
                <c:pt idx="7">
                  <c:v>118.55769230769229</c:v>
                </c:pt>
                <c:pt idx="8">
                  <c:v>118.26923076923075</c:v>
                </c:pt>
                <c:pt idx="9">
                  <c:v>117.98076923076921</c:v>
                </c:pt>
                <c:pt idx="10">
                  <c:v>117.69230769230768</c:v>
                </c:pt>
                <c:pt idx="11">
                  <c:v>117.40384615384615</c:v>
                </c:pt>
                <c:pt idx="12">
                  <c:v>117.1153846153846</c:v>
                </c:pt>
                <c:pt idx="13">
                  <c:v>116.82692307692307</c:v>
                </c:pt>
                <c:pt idx="14">
                  <c:v>116.53846153846152</c:v>
                </c:pt>
                <c:pt idx="15">
                  <c:v>116.24999999999999</c:v>
                </c:pt>
                <c:pt idx="16">
                  <c:v>115.96153846153845</c:v>
                </c:pt>
                <c:pt idx="17">
                  <c:v>115.67307692307692</c:v>
                </c:pt>
                <c:pt idx="18">
                  <c:v>115.38461538461537</c:v>
                </c:pt>
                <c:pt idx="19">
                  <c:v>115.09615384615383</c:v>
                </c:pt>
                <c:pt idx="20">
                  <c:v>114.80769230769229</c:v>
                </c:pt>
                <c:pt idx="21">
                  <c:v>114.51923076923076</c:v>
                </c:pt>
                <c:pt idx="22">
                  <c:v>114.23076923076921</c:v>
                </c:pt>
                <c:pt idx="23">
                  <c:v>113.94230769230769</c:v>
                </c:pt>
                <c:pt idx="24">
                  <c:v>113.65384615384615</c:v>
                </c:pt>
                <c:pt idx="25">
                  <c:v>113.36538461538461</c:v>
                </c:pt>
                <c:pt idx="26">
                  <c:v>113.07692307692307</c:v>
                </c:pt>
                <c:pt idx="27">
                  <c:v>112.78846153846152</c:v>
                </c:pt>
                <c:pt idx="28">
                  <c:v>112.49999999999999</c:v>
                </c:pt>
                <c:pt idx="29">
                  <c:v>112.21153846153844</c:v>
                </c:pt>
                <c:pt idx="30">
                  <c:v>111.92307692307691</c:v>
                </c:pt>
                <c:pt idx="31">
                  <c:v>111.63461538461539</c:v>
                </c:pt>
                <c:pt idx="32">
                  <c:v>111.34615384615384</c:v>
                </c:pt>
                <c:pt idx="33">
                  <c:v>111.05769230769229</c:v>
                </c:pt>
                <c:pt idx="34">
                  <c:v>110.76923076923077</c:v>
                </c:pt>
                <c:pt idx="35">
                  <c:v>110.48076923076921</c:v>
                </c:pt>
                <c:pt idx="36">
                  <c:v>110.19230769230768</c:v>
                </c:pt>
                <c:pt idx="37">
                  <c:v>109.90384615384613</c:v>
                </c:pt>
                <c:pt idx="38">
                  <c:v>109.6153846153846</c:v>
                </c:pt>
                <c:pt idx="39">
                  <c:v>109.32692307692307</c:v>
                </c:pt>
                <c:pt idx="40">
                  <c:v>109.03846153846152</c:v>
                </c:pt>
                <c:pt idx="41">
                  <c:v>108.74999999999999</c:v>
                </c:pt>
                <c:pt idx="42">
                  <c:v>108.46153846153845</c:v>
                </c:pt>
                <c:pt idx="43">
                  <c:v>108.17307692307691</c:v>
                </c:pt>
                <c:pt idx="44">
                  <c:v>107.88461538461537</c:v>
                </c:pt>
                <c:pt idx="45">
                  <c:v>107.59615384615384</c:v>
                </c:pt>
                <c:pt idx="46">
                  <c:v>107.30769230769229</c:v>
                </c:pt>
                <c:pt idx="47">
                  <c:v>107.01923076923076</c:v>
                </c:pt>
                <c:pt idx="48">
                  <c:v>106.73076923076921</c:v>
                </c:pt>
                <c:pt idx="49">
                  <c:v>106.44230769230768</c:v>
                </c:pt>
                <c:pt idx="50">
                  <c:v>106.15384615384613</c:v>
                </c:pt>
                <c:pt idx="51">
                  <c:v>105.8653846153846</c:v>
                </c:pt>
                <c:pt idx="52">
                  <c:v>105.57692307692307</c:v>
                </c:pt>
                <c:pt idx="53">
                  <c:v>105.28846153846152</c:v>
                </c:pt>
                <c:pt idx="54">
                  <c:v>104.99999999999999</c:v>
                </c:pt>
                <c:pt idx="55">
                  <c:v>104.71153846153845</c:v>
                </c:pt>
                <c:pt idx="56">
                  <c:v>104.42307692307691</c:v>
                </c:pt>
                <c:pt idx="57">
                  <c:v>104.13461538461537</c:v>
                </c:pt>
                <c:pt idx="58">
                  <c:v>103.84615384615384</c:v>
                </c:pt>
                <c:pt idx="59">
                  <c:v>103.55769230769229</c:v>
                </c:pt>
                <c:pt idx="60">
                  <c:v>103.26923076923076</c:v>
                </c:pt>
                <c:pt idx="61">
                  <c:v>102.98076923076921</c:v>
                </c:pt>
                <c:pt idx="62">
                  <c:v>102.69230769230769</c:v>
                </c:pt>
                <c:pt idx="63">
                  <c:v>102.40384615384613</c:v>
                </c:pt>
                <c:pt idx="64">
                  <c:v>102.11538461538461</c:v>
                </c:pt>
                <c:pt idx="65">
                  <c:v>101.82692307692307</c:v>
                </c:pt>
                <c:pt idx="66">
                  <c:v>101.5384615384615</c:v>
                </c:pt>
                <c:pt idx="67">
                  <c:v>101.24999999999999</c:v>
                </c:pt>
                <c:pt idx="68">
                  <c:v>100.96153846153845</c:v>
                </c:pt>
                <c:pt idx="69">
                  <c:v>100.67307692307689</c:v>
                </c:pt>
                <c:pt idx="70">
                  <c:v>100.38461538461536</c:v>
                </c:pt>
                <c:pt idx="71">
                  <c:v>100.09615384615384</c:v>
                </c:pt>
                <c:pt idx="72">
                  <c:v>99.807692307692292</c:v>
                </c:pt>
                <c:pt idx="73">
                  <c:v>99.519230769230759</c:v>
                </c:pt>
                <c:pt idx="74">
                  <c:v>99.230769230769212</c:v>
                </c:pt>
                <c:pt idx="75">
                  <c:v>98.942307692307679</c:v>
                </c:pt>
                <c:pt idx="76">
                  <c:v>98.653846153846132</c:v>
                </c:pt>
                <c:pt idx="77">
                  <c:v>98.365384615384599</c:v>
                </c:pt>
                <c:pt idx="78">
                  <c:v>98.076923076923066</c:v>
                </c:pt>
                <c:pt idx="79">
                  <c:v>97.788461538461519</c:v>
                </c:pt>
                <c:pt idx="80">
                  <c:v>97.499999999999986</c:v>
                </c:pt>
                <c:pt idx="81">
                  <c:v>97.211538461538453</c:v>
                </c:pt>
                <c:pt idx="82">
                  <c:v>96.923076923076906</c:v>
                </c:pt>
                <c:pt idx="83">
                  <c:v>96.634615384615373</c:v>
                </c:pt>
                <c:pt idx="84">
                  <c:v>96.34615384615384</c:v>
                </c:pt>
                <c:pt idx="85">
                  <c:v>96.057692307692292</c:v>
                </c:pt>
                <c:pt idx="86">
                  <c:v>95.769230769230745</c:v>
                </c:pt>
                <c:pt idx="87">
                  <c:v>95.480769230769198</c:v>
                </c:pt>
                <c:pt idx="88">
                  <c:v>95.192307692307693</c:v>
                </c:pt>
                <c:pt idx="89">
                  <c:v>94.903846153846132</c:v>
                </c:pt>
                <c:pt idx="90">
                  <c:v>94.615384615384599</c:v>
                </c:pt>
                <c:pt idx="91">
                  <c:v>94.326923076923052</c:v>
                </c:pt>
                <c:pt idx="92">
                  <c:v>94.038461538461519</c:v>
                </c:pt>
                <c:pt idx="93">
                  <c:v>93.749999999999986</c:v>
                </c:pt>
                <c:pt idx="94">
                  <c:v>93.461538461538453</c:v>
                </c:pt>
                <c:pt idx="95">
                  <c:v>93.173076923076906</c:v>
                </c:pt>
                <c:pt idx="96">
                  <c:v>92.884615384615373</c:v>
                </c:pt>
                <c:pt idx="97">
                  <c:v>86.538461538461561</c:v>
                </c:pt>
                <c:pt idx="98">
                  <c:v>76.923076923076891</c:v>
                </c:pt>
                <c:pt idx="99">
                  <c:v>67.307692307692335</c:v>
                </c:pt>
                <c:pt idx="100">
                  <c:v>57.692307692307672</c:v>
                </c:pt>
                <c:pt idx="101">
                  <c:v>48.076923076923116</c:v>
                </c:pt>
                <c:pt idx="102">
                  <c:v>38.461538461538446</c:v>
                </c:pt>
                <c:pt idx="103">
                  <c:v>28.846153846153893</c:v>
                </c:pt>
                <c:pt idx="104">
                  <c:v>19.230769230769223</c:v>
                </c:pt>
                <c:pt idx="105">
                  <c:v>9.6153846153845528</c:v>
                </c:pt>
                <c:pt idx="106">
                  <c:v>0</c:v>
                </c:pt>
                <c:pt idx="107">
                  <c:v>0</c:v>
                </c:pt>
              </c:numCache>
            </c:numRef>
          </c:yVal>
          <c:smooth val="0"/>
          <c:extLst>
            <c:ext xmlns:c16="http://schemas.microsoft.com/office/drawing/2014/chart" uri="{C3380CC4-5D6E-409C-BE32-E72D297353CC}">
              <c16:uniqueId val="{00000000-178B-40DD-8A75-C283CB593231}"/>
            </c:ext>
          </c:extLst>
        </c:ser>
        <c:dLbls>
          <c:showLegendKey val="0"/>
          <c:showVal val="0"/>
          <c:showCatName val="0"/>
          <c:showSerName val="0"/>
          <c:showPercent val="0"/>
          <c:showBubbleSize val="0"/>
        </c:dLbls>
        <c:axId val="98959744"/>
        <c:axId val="98961664"/>
      </c:scatterChart>
      <c:valAx>
        <c:axId val="98959744"/>
        <c:scaling>
          <c:orientation val="minMax"/>
          <c:min val="-1"/>
        </c:scaling>
        <c:delete val="0"/>
        <c:axPos val="b"/>
        <c:minorGridlines/>
        <c:title>
          <c:tx>
            <c:rich>
              <a:bodyPr/>
              <a:lstStyle/>
              <a:p>
                <a:pPr>
                  <a:defRPr/>
                </a:pPr>
                <a:r>
                  <a:rPr lang="en-US"/>
                  <a:t>Time (ms)</a:t>
                </a:r>
              </a:p>
            </c:rich>
          </c:tx>
          <c:layout>
            <c:manualLayout>
              <c:xMode val="edge"/>
              <c:yMode val="edge"/>
              <c:x val="0.44799096768442936"/>
              <c:y val="0.90583847854517374"/>
            </c:manualLayout>
          </c:layout>
          <c:overlay val="0"/>
        </c:title>
        <c:numFmt formatCode="0.0" sourceLinked="1"/>
        <c:majorTickMark val="out"/>
        <c:minorTickMark val="none"/>
        <c:tickLblPos val="nextTo"/>
        <c:txPr>
          <a:bodyPr/>
          <a:lstStyle/>
          <a:p>
            <a:pPr>
              <a:defRPr b="1"/>
            </a:pPr>
            <a:endParaRPr lang="ko-KR"/>
          </a:p>
        </c:txPr>
        <c:crossAx val="98961664"/>
        <c:crosses val="autoZero"/>
        <c:crossBetween val="midCat"/>
      </c:valAx>
      <c:valAx>
        <c:axId val="98961664"/>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39E-2"/>
              <c:y val="0.25775146359374557"/>
            </c:manualLayout>
          </c:layout>
          <c:overlay val="0"/>
        </c:title>
        <c:numFmt formatCode="General" sourceLinked="1"/>
        <c:majorTickMark val="out"/>
        <c:minorTickMark val="none"/>
        <c:tickLblPos val="nextTo"/>
        <c:txPr>
          <a:bodyPr/>
          <a:lstStyle/>
          <a:p>
            <a:pPr>
              <a:defRPr b="1"/>
            </a:pPr>
            <a:endParaRPr lang="ko-KR"/>
          </a:p>
        </c:txPr>
        <c:crossAx val="98959744"/>
        <c:crossesAt val="-1"/>
        <c:crossBetween val="midCat"/>
      </c:valAx>
    </c:plotArea>
    <c:legend>
      <c:legendPos val="r"/>
      <c:layout>
        <c:manualLayout>
          <c:xMode val="edge"/>
          <c:yMode val="edge"/>
          <c:x val="0.60142685418076891"/>
          <c:y val="0.20767295705890407"/>
          <c:w val="0.3951521303739472"/>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24DA-4A31-A6E0-4FDA9C099A71}"/>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1.9999999999999998</c:v>
                </c:pt>
                <c:pt idx="1">
                  <c:v>2.0145631067961163</c:v>
                </c:pt>
                <c:pt idx="2">
                  <c:v>2.0294117647058822</c:v>
                </c:pt>
                <c:pt idx="3">
                  <c:v>2.0445544554455446</c:v>
                </c:pt>
                <c:pt idx="4">
                  <c:v>2.0599999999999996</c:v>
                </c:pt>
                <c:pt idx="5">
                  <c:v>2.0757575757575757</c:v>
                </c:pt>
                <c:pt idx="6">
                  <c:v>2.0918367346938771</c:v>
                </c:pt>
                <c:pt idx="7">
                  <c:v>2.108247422680412</c:v>
                </c:pt>
                <c:pt idx="8">
                  <c:v>2.1249999999999996</c:v>
                </c:pt>
                <c:pt idx="9">
                  <c:v>2.1421052631578945</c:v>
                </c:pt>
                <c:pt idx="10">
                  <c:v>2.1595744680851059</c:v>
                </c:pt>
                <c:pt idx="11">
                  <c:v>2.1774193548387095</c:v>
                </c:pt>
                <c:pt idx="12">
                  <c:v>2.195652173913043</c:v>
                </c:pt>
                <c:pt idx="13">
                  <c:v>2.214285714285714</c:v>
                </c:pt>
                <c:pt idx="14">
                  <c:v>2.2333333333333334</c:v>
                </c:pt>
                <c:pt idx="15">
                  <c:v>2.2528089887640448</c:v>
                </c:pt>
                <c:pt idx="16">
                  <c:v>2.2727272727272725</c:v>
                </c:pt>
                <c:pt idx="17">
                  <c:v>2.2931034482758617</c:v>
                </c:pt>
                <c:pt idx="18">
                  <c:v>2.3139534883720927</c:v>
                </c:pt>
                <c:pt idx="19">
                  <c:v>2.3352941176470585</c:v>
                </c:pt>
                <c:pt idx="20">
                  <c:v>2.3571428571428568</c:v>
                </c:pt>
                <c:pt idx="21">
                  <c:v>2.3795180722891565</c:v>
                </c:pt>
                <c:pt idx="22">
                  <c:v>2.4024390243902438</c:v>
                </c:pt>
                <c:pt idx="23">
                  <c:v>2.4259259259259256</c:v>
                </c:pt>
                <c:pt idx="24">
                  <c:v>2.4499999999999997</c:v>
                </c:pt>
                <c:pt idx="25">
                  <c:v>2.4746835443037969</c:v>
                </c:pt>
                <c:pt idx="26">
                  <c:v>2.4999999999999996</c:v>
                </c:pt>
                <c:pt idx="27">
                  <c:v>2.5259740259740258</c:v>
                </c:pt>
                <c:pt idx="28">
                  <c:v>2.5526315789473681</c:v>
                </c:pt>
                <c:pt idx="29">
                  <c:v>2.5799999999999996</c:v>
                </c:pt>
                <c:pt idx="30">
                  <c:v>2.6081081081081079</c:v>
                </c:pt>
                <c:pt idx="31">
                  <c:v>2.6369863013698627</c:v>
                </c:pt>
                <c:pt idx="32">
                  <c:v>2.666666666666667</c:v>
                </c:pt>
                <c:pt idx="33">
                  <c:v>2.6971830985915486</c:v>
                </c:pt>
                <c:pt idx="34">
                  <c:v>2.7285714285714282</c:v>
                </c:pt>
                <c:pt idx="35">
                  <c:v>2.7608695652173907</c:v>
                </c:pt>
                <c:pt idx="36">
                  <c:v>2.7941176470588234</c:v>
                </c:pt>
                <c:pt idx="37">
                  <c:v>2.8283582089552235</c:v>
                </c:pt>
                <c:pt idx="38">
                  <c:v>2.8636363636363629</c:v>
                </c:pt>
                <c:pt idx="39">
                  <c:v>2.8999999999999995</c:v>
                </c:pt>
                <c:pt idx="40">
                  <c:v>2.9375</c:v>
                </c:pt>
                <c:pt idx="41">
                  <c:v>2.9761904761904758</c:v>
                </c:pt>
                <c:pt idx="42">
                  <c:v>3.0161290322580636</c:v>
                </c:pt>
                <c:pt idx="43">
                  <c:v>3.0573770491803276</c:v>
                </c:pt>
                <c:pt idx="44">
                  <c:v>3.0999999999999996</c:v>
                </c:pt>
                <c:pt idx="45">
                  <c:v>3.1440677966101696</c:v>
                </c:pt>
                <c:pt idx="46">
                  <c:v>3.1896551724137918</c:v>
                </c:pt>
                <c:pt idx="47">
                  <c:v>3.2368421052631571</c:v>
                </c:pt>
                <c:pt idx="48">
                  <c:v>3.2857142857142851</c:v>
                </c:pt>
                <c:pt idx="49">
                  <c:v>3.336363636363636</c:v>
                </c:pt>
                <c:pt idx="50">
                  <c:v>3.3888888888888884</c:v>
                </c:pt>
                <c:pt idx="51">
                  <c:v>3.4433962264150937</c:v>
                </c:pt>
                <c:pt idx="52">
                  <c:v>3.4999999999999996</c:v>
                </c:pt>
                <c:pt idx="53">
                  <c:v>3.5588235294117641</c:v>
                </c:pt>
                <c:pt idx="54">
                  <c:v>3.6199999999999997</c:v>
                </c:pt>
                <c:pt idx="55">
                  <c:v>3.6836734693877546</c:v>
                </c:pt>
                <c:pt idx="56">
                  <c:v>3.7499999999999996</c:v>
                </c:pt>
                <c:pt idx="57">
                  <c:v>3.8191489361702127</c:v>
                </c:pt>
                <c:pt idx="58">
                  <c:v>3.8913043478260865</c:v>
                </c:pt>
                <c:pt idx="59">
                  <c:v>3.9666666666666663</c:v>
                </c:pt>
                <c:pt idx="60">
                  <c:v>4.045454545454545</c:v>
                </c:pt>
                <c:pt idx="61">
                  <c:v>4.1279069767441854</c:v>
                </c:pt>
                <c:pt idx="62">
                  <c:v>4.2142857142857135</c:v>
                </c:pt>
                <c:pt idx="63">
                  <c:v>4.3048780487804876</c:v>
                </c:pt>
                <c:pt idx="64">
                  <c:v>4.3999999999999995</c:v>
                </c:pt>
                <c:pt idx="65">
                  <c:v>4.4999999999999991</c:v>
                </c:pt>
                <c:pt idx="66">
                  <c:v>4.6052631578947354</c:v>
                </c:pt>
                <c:pt idx="67">
                  <c:v>4.7162162162162149</c:v>
                </c:pt>
                <c:pt idx="68">
                  <c:v>4.833333333333333</c:v>
                </c:pt>
                <c:pt idx="69">
                  <c:v>4.9571428571428564</c:v>
                </c:pt>
                <c:pt idx="70">
                  <c:v>5.0882352941176467</c:v>
                </c:pt>
                <c:pt idx="71">
                  <c:v>5.2272727272727266</c:v>
                </c:pt>
                <c:pt idx="72">
                  <c:v>5.3749999999999991</c:v>
                </c:pt>
                <c:pt idx="73">
                  <c:v>5.5322580645161272</c:v>
                </c:pt>
                <c:pt idx="74">
                  <c:v>5.6999999999999993</c:v>
                </c:pt>
                <c:pt idx="75">
                  <c:v>5.8793103448275845</c:v>
                </c:pt>
                <c:pt idx="76">
                  <c:v>6.0714285714285712</c:v>
                </c:pt>
                <c:pt idx="77">
                  <c:v>6.2777777777777777</c:v>
                </c:pt>
                <c:pt idx="78">
                  <c:v>6.4999999999999991</c:v>
                </c:pt>
                <c:pt idx="79">
                  <c:v>6.7399999999999975</c:v>
                </c:pt>
                <c:pt idx="80">
                  <c:v>6.9999999999999982</c:v>
                </c:pt>
                <c:pt idx="81">
                  <c:v>7.2826086956521747</c:v>
                </c:pt>
                <c:pt idx="82">
                  <c:v>7.5909090909090899</c:v>
                </c:pt>
                <c:pt idx="83">
                  <c:v>7.9285714285714288</c:v>
                </c:pt>
                <c:pt idx="84">
                  <c:v>8.2999999999999972</c:v>
                </c:pt>
                <c:pt idx="85">
                  <c:v>8.7105263157894726</c:v>
                </c:pt>
                <c:pt idx="86">
                  <c:v>9.1666666666666643</c:v>
                </c:pt>
                <c:pt idx="87">
                  <c:v>9.6764705882352935</c:v>
                </c:pt>
                <c:pt idx="88">
                  <c:v>10.249999999999995</c:v>
                </c:pt>
                <c:pt idx="89">
                  <c:v>10.899999999999999</c:v>
                </c:pt>
                <c:pt idx="90">
                  <c:v>11.642857142857146</c:v>
                </c:pt>
                <c:pt idx="91">
                  <c:v>12.499999999999998</c:v>
                </c:pt>
                <c:pt idx="92">
                  <c:v>13.499999999999991</c:v>
                </c:pt>
                <c:pt idx="93">
                  <c:v>14.681818181818178</c:v>
                </c:pt>
                <c:pt idx="94">
                  <c:v>16.100000000000005</c:v>
                </c:pt>
                <c:pt idx="95">
                  <c:v>16.666666666666668</c:v>
                </c:pt>
                <c:pt idx="96">
                  <c:v>16.666666666666668</c:v>
                </c:pt>
                <c:pt idx="97">
                  <c:v>16.666666666666668</c:v>
                </c:pt>
                <c:pt idx="98">
                  <c:v>16.666666666666668</c:v>
                </c:pt>
                <c:pt idx="99">
                  <c:v>16.666666666666668</c:v>
                </c:pt>
                <c:pt idx="100">
                  <c:v>16.666666666666668</c:v>
                </c:pt>
                <c:pt idx="101">
                  <c:v>16.666666666666668</c:v>
                </c:pt>
                <c:pt idx="102">
                  <c:v>16.666666666666668</c:v>
                </c:pt>
              </c:numCache>
            </c:numRef>
          </c:yVal>
          <c:smooth val="1"/>
          <c:extLst>
            <c:ext xmlns:c16="http://schemas.microsoft.com/office/drawing/2014/chart" uri="{C3380CC4-5D6E-409C-BE32-E72D297353CC}">
              <c16:uniqueId val="{00000001-24DA-4A31-A6E0-4FDA9C099A71}"/>
            </c:ext>
          </c:extLst>
        </c:ser>
        <c:dLbls>
          <c:showLegendKey val="0"/>
          <c:showVal val="0"/>
          <c:showCatName val="0"/>
          <c:showSerName val="0"/>
          <c:showPercent val="0"/>
          <c:showBubbleSize val="0"/>
        </c:dLbls>
        <c:axId val="120992512"/>
        <c:axId val="120994432"/>
      </c:scatterChart>
      <c:valAx>
        <c:axId val="120992512"/>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20994432"/>
        <c:crosses val="autoZero"/>
        <c:crossBetween val="midCat"/>
      </c:valAx>
      <c:valAx>
        <c:axId val="12099443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20992512"/>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ko-K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hyperlink" Target="http://www.ti.com/product/lm5066" TargetMode="External"/><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png"/><Relationship Id="rId21" Type="http://schemas.openxmlformats.org/officeDocument/2006/relationships/hyperlink" Target="https://training.ti.com/node/1133677" TargetMode="External"/><Relationship Id="rId7" Type="http://schemas.openxmlformats.org/officeDocument/2006/relationships/image" Target="../media/image6.emf"/><Relationship Id="rId12" Type="http://schemas.openxmlformats.org/officeDocument/2006/relationships/image" Target="../media/image8.gif"/><Relationship Id="rId17" Type="http://schemas.openxmlformats.org/officeDocument/2006/relationships/image" Target="../media/image12.png"/><Relationship Id="rId25" Type="http://schemas.openxmlformats.org/officeDocument/2006/relationships/hyperlink" Target="https://training.ti.com/node/1133664" TargetMode="External"/><Relationship Id="rId2" Type="http://schemas.openxmlformats.org/officeDocument/2006/relationships/hyperlink" Target="http://www.ti.com/" TargetMode="External"/><Relationship Id="rId16" Type="http://schemas.openxmlformats.org/officeDocument/2006/relationships/image" Target="../media/image11.png"/><Relationship Id="rId20" Type="http://schemas.openxmlformats.org/officeDocument/2006/relationships/image" Target="../media/image14.png"/><Relationship Id="rId1" Type="http://schemas.openxmlformats.org/officeDocument/2006/relationships/hyperlink" Target="http://www.ti.com/lit/gpn/lm5066" TargetMode="External"/><Relationship Id="rId6" Type="http://schemas.openxmlformats.org/officeDocument/2006/relationships/image" Target="../media/image5.emf"/><Relationship Id="rId11" Type="http://schemas.openxmlformats.org/officeDocument/2006/relationships/image" Target="../media/image7.gif"/><Relationship Id="rId24" Type="http://schemas.openxmlformats.org/officeDocument/2006/relationships/image" Target="../media/image16.png"/><Relationship Id="rId5" Type="http://schemas.openxmlformats.org/officeDocument/2006/relationships/image" Target="../media/image4.png"/><Relationship Id="rId15" Type="http://schemas.openxmlformats.org/officeDocument/2006/relationships/image" Target="../media/image10.png"/><Relationship Id="rId23" Type="http://schemas.openxmlformats.org/officeDocument/2006/relationships/hyperlink" Target="https://training.ti.com/node/1133673" TargetMode="External"/><Relationship Id="rId28" Type="http://schemas.openxmlformats.org/officeDocument/2006/relationships/image" Target="../media/image18.png"/><Relationship Id="rId10" Type="http://schemas.openxmlformats.org/officeDocument/2006/relationships/chart" Target="../charts/chart3.xml"/><Relationship Id="rId19" Type="http://schemas.openxmlformats.org/officeDocument/2006/relationships/hyperlink" Target="http://www.ti.com/power-management/protection-monitoring-hot-swap/controllers/support-training.html#videos" TargetMode="External"/><Relationship Id="rId4" Type="http://schemas.openxmlformats.org/officeDocument/2006/relationships/image" Target="../media/image3.emf"/><Relationship Id="rId9" Type="http://schemas.openxmlformats.org/officeDocument/2006/relationships/chart" Target="../charts/chart2.xml"/><Relationship Id="rId14" Type="http://schemas.openxmlformats.org/officeDocument/2006/relationships/image" Target="../media/image9.jpeg"/><Relationship Id="rId22" Type="http://schemas.openxmlformats.org/officeDocument/2006/relationships/image" Target="../media/image15.png"/><Relationship Id="rId27" Type="http://schemas.openxmlformats.org/officeDocument/2006/relationships/hyperlink" Target="https://training.ti.com/node/1133681"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LM5066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LM5066 datasheet for more detail.</a:t>
          </a:r>
        </a:p>
      </xdr:txBody>
    </xdr:sp>
    <xdr:clientData/>
  </xdr:twoCellAnchor>
  <xdr:twoCellAnchor>
    <xdr:from>
      <xdr:col>39</xdr:col>
      <xdr:colOff>0</xdr:colOff>
      <xdr:row>61</xdr:row>
      <xdr:rowOff>0</xdr:rowOff>
    </xdr:from>
    <xdr:to>
      <xdr:col>39</xdr:col>
      <xdr:colOff>0</xdr:colOff>
      <xdr:row>68</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1653877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163</xdr:row>
      <xdr:rowOff>95251</xdr:rowOff>
    </xdr:from>
    <xdr:to>
      <xdr:col>10</xdr:col>
      <xdr:colOff>437294</xdr:colOff>
      <xdr:row>163</xdr:row>
      <xdr:rowOff>96903</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278035</xdr:colOff>
      <xdr:row>105</xdr:row>
      <xdr:rowOff>28575</xdr:rowOff>
    </xdr:from>
    <xdr:to>
      <xdr:col>12</xdr:col>
      <xdr:colOff>246733</xdr:colOff>
      <xdr:row>106</xdr:row>
      <xdr:rowOff>74577</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6" cstate="print"/>
        <a:srcRect t="87067"/>
        <a:stretch/>
      </xdr:blipFill>
      <xdr:spPr bwMode="auto">
        <a:xfrm>
          <a:off x="7869460" y="17402175"/>
          <a:ext cx="2790696" cy="236502"/>
        </a:xfrm>
        <a:prstGeom prst="rect">
          <a:avLst/>
        </a:prstGeom>
        <a:noFill/>
      </xdr:spPr>
    </xdr:pic>
    <xdr:clientData/>
  </xdr:twoCellAnchor>
  <xdr:twoCellAnchor editAs="oneCell">
    <xdr:from>
      <xdr:col>8</xdr:col>
      <xdr:colOff>354105</xdr:colOff>
      <xdr:row>117</xdr:row>
      <xdr:rowOff>161925</xdr:rowOff>
    </xdr:from>
    <xdr:to>
      <xdr:col>12</xdr:col>
      <xdr:colOff>324166</xdr:colOff>
      <xdr:row>119</xdr:row>
      <xdr:rowOff>17163</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7" cstate="print"/>
        <a:srcRect t="87074"/>
        <a:stretch/>
      </xdr:blipFill>
      <xdr:spPr bwMode="auto">
        <a:xfrm>
          <a:off x="7945530" y="19821525"/>
          <a:ext cx="2786344" cy="240048"/>
        </a:xfrm>
        <a:prstGeom prst="rect">
          <a:avLst/>
        </a:prstGeom>
        <a:noFill/>
      </xdr:spPr>
    </xdr:pic>
    <xdr:clientData/>
  </xdr:twoCellAnchor>
  <xdr:twoCellAnchor>
    <xdr:from>
      <xdr:col>7</xdr:col>
      <xdr:colOff>274322</xdr:colOff>
      <xdr:row>51</xdr:row>
      <xdr:rowOff>76201</xdr:rowOff>
    </xdr:from>
    <xdr:to>
      <xdr:col>38</xdr:col>
      <xdr:colOff>190501</xdr:colOff>
      <xdr:row>66</xdr:row>
      <xdr:rowOff>155222</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68</xdr:row>
      <xdr:rowOff>94131</xdr:rowOff>
    </xdr:from>
    <xdr:to>
      <xdr:col>38</xdr:col>
      <xdr:colOff>215153</xdr:colOff>
      <xdr:row>82</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11</xdr:col>
      <xdr:colOff>434340</xdr:colOff>
      <xdr:row>57</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181193</xdr:colOff>
      <xdr:row>82</xdr:row>
      <xdr:rowOff>114620</xdr:rowOff>
    </xdr:from>
    <xdr:to>
      <xdr:col>38</xdr:col>
      <xdr:colOff>271307</xdr:colOff>
      <xdr:row>93</xdr:row>
      <xdr:rowOff>49724</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12</xdr:col>
      <xdr:colOff>662940</xdr:colOff>
      <xdr:row>70</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19050</xdr:colOff>
      <xdr:row>10</xdr:row>
      <xdr:rowOff>19050</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20955</xdr:colOff>
      <xdr:row>10</xdr:row>
      <xdr:rowOff>19050</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57150</xdr:colOff>
      <xdr:row>10</xdr:row>
      <xdr:rowOff>19050</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59055</xdr:colOff>
      <xdr:row>10</xdr:row>
      <xdr:rowOff>19050</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95250</xdr:colOff>
      <xdr:row>10</xdr:row>
      <xdr:rowOff>19050</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380999</xdr:colOff>
      <xdr:row>3</xdr:row>
      <xdr:rowOff>67237</xdr:rowOff>
    </xdr:from>
    <xdr:to>
      <xdr:col>11</xdr:col>
      <xdr:colOff>172100</xdr:colOff>
      <xdr:row>10</xdr:row>
      <xdr:rowOff>3364</xdr:rowOff>
    </xdr:to>
    <xdr:pic>
      <xdr:nvPicPr>
        <xdr:cNvPr id="27" name="Picture 26" descr="High Voltage System Power Management and Protection IC with PMBus - LM5066">
          <a:hlinkClick xmlns:r="http://schemas.openxmlformats.org/officeDocument/2006/relationships" r:id="rId13"/>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989793" y="1199031"/>
          <a:ext cx="1998569" cy="1157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384678</xdr:colOff>
      <xdr:row>36</xdr:row>
      <xdr:rowOff>143262</xdr:rowOff>
    </xdr:from>
    <xdr:to>
      <xdr:col>12</xdr:col>
      <xdr:colOff>496737</xdr:colOff>
      <xdr:row>50</xdr:row>
      <xdr:rowOff>25204</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8315340" y="8050477"/>
          <a:ext cx="2966628" cy="2589973"/>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5" cstate="print"/>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8</xdr:col>
      <xdr:colOff>95250</xdr:colOff>
      <xdr:row>108</xdr:row>
      <xdr:rowOff>1</xdr:rowOff>
    </xdr:from>
    <xdr:to>
      <xdr:col>12</xdr:col>
      <xdr:colOff>624840</xdr:colOff>
      <xdr:row>117</xdr:row>
      <xdr:rowOff>58595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6" cstate="print"/>
        <a:stretch>
          <a:fillRect/>
        </a:stretch>
      </xdr:blipFill>
      <xdr:spPr>
        <a:xfrm>
          <a:off x="7686675" y="17945101"/>
          <a:ext cx="3324225" cy="1894198"/>
        </a:xfrm>
        <a:prstGeom prst="rect">
          <a:avLst/>
        </a:prstGeom>
      </xdr:spPr>
    </xdr:pic>
    <xdr:clientData/>
  </xdr:twoCellAnchor>
  <xdr:twoCellAnchor editAs="oneCell">
    <xdr:from>
      <xdr:col>8</xdr:col>
      <xdr:colOff>160372</xdr:colOff>
      <xdr:row>94</xdr:row>
      <xdr:rowOff>154316</xdr:rowOff>
    </xdr:from>
    <xdr:to>
      <xdr:col>12</xdr:col>
      <xdr:colOff>378402</xdr:colOff>
      <xdr:row>105</xdr:row>
      <xdr:rowOff>77498</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7" cstate="print"/>
        <a:stretch>
          <a:fillRect/>
        </a:stretch>
      </xdr:blipFill>
      <xdr:spPr>
        <a:xfrm>
          <a:off x="7751797" y="15432416"/>
          <a:ext cx="3030503" cy="2018682"/>
        </a:xfrm>
        <a:prstGeom prst="rect">
          <a:avLst/>
        </a:prstGeom>
      </xdr:spPr>
    </xdr:pic>
    <xdr:clientData/>
  </xdr:twoCellAnchor>
  <xdr:twoCellAnchor>
    <xdr:from>
      <xdr:col>1</xdr:col>
      <xdr:colOff>49690</xdr:colOff>
      <xdr:row>126</xdr:row>
      <xdr:rowOff>16559</xdr:rowOff>
    </xdr:from>
    <xdr:to>
      <xdr:col>4</xdr:col>
      <xdr:colOff>621869</xdr:colOff>
      <xdr:row>140</xdr:row>
      <xdr:rowOff>13435</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78998" y="25819051"/>
          <a:ext cx="4810071" cy="2687322"/>
          <a:chOff x="75966" y="21457662"/>
          <a:chExt cx="4690920" cy="2657307"/>
        </a:xfrm>
      </xdr:grpSpPr>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rotWithShape="1">
          <a:blip xmlns:r="http://schemas.openxmlformats.org/officeDocument/2006/relationships" r:embed="rId18" cstate="print"/>
          <a:srcRect t="927" r="703"/>
          <a:stretch/>
        </xdr:blipFill>
        <xdr:spPr>
          <a:xfrm>
            <a:off x="75966" y="21457662"/>
            <a:ext cx="4690920" cy="2657307"/>
          </a:xfrm>
          <a:prstGeom prst="rect">
            <a:avLst/>
          </a:prstGeom>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2245066" y="22938828"/>
            <a:ext cx="65690" cy="1445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70556</xdr:colOff>
      <xdr:row>14</xdr:row>
      <xdr:rowOff>28222</xdr:rowOff>
    </xdr:from>
    <xdr:to>
      <xdr:col>1</xdr:col>
      <xdr:colOff>1774755</xdr:colOff>
      <xdr:row>21</xdr:row>
      <xdr:rowOff>209657</xdr:rowOff>
    </xdr:to>
    <xdr:pic>
      <xdr:nvPicPr>
        <xdr:cNvPr id="37" name="Picture 36">
          <a:hlinkClick xmlns:r="http://schemas.openxmlformats.org/officeDocument/2006/relationships" r:id="rId19"/>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0"/>
        <a:stretch>
          <a:fillRect/>
        </a:stretch>
      </xdr:blipFill>
      <xdr:spPr>
        <a:xfrm>
          <a:off x="105834" y="3294944"/>
          <a:ext cx="1700389" cy="1518745"/>
        </a:xfrm>
        <a:prstGeom prst="rect">
          <a:avLst/>
        </a:prstGeom>
      </xdr:spPr>
    </xdr:pic>
    <xdr:clientData/>
  </xdr:twoCellAnchor>
  <xdr:twoCellAnchor editAs="oneCell">
    <xdr:from>
      <xdr:col>1</xdr:col>
      <xdr:colOff>63500</xdr:colOff>
      <xdr:row>27</xdr:row>
      <xdr:rowOff>63500</xdr:rowOff>
    </xdr:from>
    <xdr:to>
      <xdr:col>1</xdr:col>
      <xdr:colOff>1962957</xdr:colOff>
      <xdr:row>32</xdr:row>
      <xdr:rowOff>130246</xdr:rowOff>
    </xdr:to>
    <xdr:pic>
      <xdr:nvPicPr>
        <xdr:cNvPr id="38" name="Picture 37">
          <a:hlinkClick xmlns:r="http://schemas.openxmlformats.org/officeDocument/2006/relationships" r:id="rId21"/>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2"/>
        <a:stretch>
          <a:fillRect/>
        </a:stretch>
      </xdr:blipFill>
      <xdr:spPr>
        <a:xfrm>
          <a:off x="98778" y="6152444"/>
          <a:ext cx="1895647" cy="1023056"/>
        </a:xfrm>
        <a:prstGeom prst="rect">
          <a:avLst/>
        </a:prstGeom>
      </xdr:spPr>
    </xdr:pic>
    <xdr:clientData/>
  </xdr:twoCellAnchor>
  <xdr:twoCellAnchor editAs="oneCell">
    <xdr:from>
      <xdr:col>1</xdr:col>
      <xdr:colOff>63500</xdr:colOff>
      <xdr:row>37</xdr:row>
      <xdr:rowOff>42333</xdr:rowOff>
    </xdr:from>
    <xdr:to>
      <xdr:col>1</xdr:col>
      <xdr:colOff>1868777</xdr:colOff>
      <xdr:row>43</xdr:row>
      <xdr:rowOff>53763</xdr:rowOff>
    </xdr:to>
    <xdr:pic>
      <xdr:nvPicPr>
        <xdr:cNvPr id="39" name="Picture 38">
          <a:hlinkClick xmlns:r="http://schemas.openxmlformats.org/officeDocument/2006/relationships" r:id="rId21"/>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2"/>
        <a:stretch>
          <a:fillRect/>
        </a:stretch>
      </xdr:blipFill>
      <xdr:spPr>
        <a:xfrm>
          <a:off x="98778" y="8036277"/>
          <a:ext cx="1805277" cy="1143000"/>
        </a:xfrm>
        <a:prstGeom prst="rect">
          <a:avLst/>
        </a:prstGeom>
      </xdr:spPr>
    </xdr:pic>
    <xdr:clientData/>
  </xdr:twoCellAnchor>
  <xdr:twoCellAnchor editAs="oneCell">
    <xdr:from>
      <xdr:col>1</xdr:col>
      <xdr:colOff>49389</xdr:colOff>
      <xdr:row>52</xdr:row>
      <xdr:rowOff>42333</xdr:rowOff>
    </xdr:from>
    <xdr:to>
      <xdr:col>1</xdr:col>
      <xdr:colOff>1906477</xdr:colOff>
      <xdr:row>57</xdr:row>
      <xdr:rowOff>53862</xdr:rowOff>
    </xdr:to>
    <xdr:pic>
      <xdr:nvPicPr>
        <xdr:cNvPr id="40" name="Picture 39">
          <a:hlinkClick xmlns:r="http://schemas.openxmlformats.org/officeDocument/2006/relationships" r:id="rId23"/>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4"/>
        <a:stretch>
          <a:fillRect/>
        </a:stretch>
      </xdr:blipFill>
      <xdr:spPr>
        <a:xfrm>
          <a:off x="84667" y="10879666"/>
          <a:ext cx="1857088" cy="1038395"/>
        </a:xfrm>
        <a:prstGeom prst="rect">
          <a:avLst/>
        </a:prstGeom>
      </xdr:spPr>
    </xdr:pic>
    <xdr:clientData/>
  </xdr:twoCellAnchor>
  <xdr:twoCellAnchor editAs="oneCell">
    <xdr:from>
      <xdr:col>1</xdr:col>
      <xdr:colOff>70555</xdr:colOff>
      <xdr:row>69</xdr:row>
      <xdr:rowOff>35278</xdr:rowOff>
    </xdr:from>
    <xdr:to>
      <xdr:col>1</xdr:col>
      <xdr:colOff>2039660</xdr:colOff>
      <xdr:row>77</xdr:row>
      <xdr:rowOff>55127</xdr:rowOff>
    </xdr:to>
    <xdr:pic>
      <xdr:nvPicPr>
        <xdr:cNvPr id="41" name="Picture 40">
          <a:hlinkClick xmlns:r="http://schemas.openxmlformats.org/officeDocument/2006/relationships" r:id="rId25"/>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6"/>
        <a:stretch>
          <a:fillRect/>
        </a:stretch>
      </xdr:blipFill>
      <xdr:spPr>
        <a:xfrm>
          <a:off x="105833" y="14245167"/>
          <a:ext cx="1959580" cy="1350103"/>
        </a:xfrm>
        <a:prstGeom prst="rect">
          <a:avLst/>
        </a:prstGeom>
      </xdr:spPr>
    </xdr:pic>
    <xdr:clientData/>
  </xdr:twoCellAnchor>
  <xdr:twoCellAnchor editAs="oneCell">
    <xdr:from>
      <xdr:col>1</xdr:col>
      <xdr:colOff>63500</xdr:colOff>
      <xdr:row>95</xdr:row>
      <xdr:rowOff>49389</xdr:rowOff>
    </xdr:from>
    <xdr:to>
      <xdr:col>1</xdr:col>
      <xdr:colOff>2057046</xdr:colOff>
      <xdr:row>100</xdr:row>
      <xdr:rowOff>172578</xdr:rowOff>
    </xdr:to>
    <xdr:pic>
      <xdr:nvPicPr>
        <xdr:cNvPr id="42" name="Picture 41">
          <a:hlinkClick xmlns:r="http://schemas.openxmlformats.org/officeDocument/2006/relationships" r:id="rId27"/>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8"/>
        <a:stretch>
          <a:fillRect/>
        </a:stretch>
      </xdr:blipFill>
      <xdr:spPr>
        <a:xfrm>
          <a:off x="98778" y="19092333"/>
          <a:ext cx="2008786" cy="1079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gpn/lm506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ti.com/node/113368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www.ti.com/product/lm5066/description?keyMatch=lm5066&amp;tisearch=Search-EN-Everything" TargetMode="Externa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printerSettings" Target="../printerSettings/printerSettings1.bin"/><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vmlDrawing" Target="../drawings/vmlDrawing1.v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
  <sheetViews>
    <sheetView topLeftCell="A25" workbookViewId="0">
      <selection activeCell="A25" sqref="A25"/>
    </sheetView>
  </sheetViews>
  <sheetFormatPr defaultRowHeight="13.2"/>
  <sheetData>
    <row r="1" spans="1:16" ht="13.8" thickTop="1">
      <c r="A1" s="247"/>
      <c r="B1" s="248"/>
      <c r="C1" s="248"/>
      <c r="D1" s="248"/>
      <c r="E1" s="248"/>
      <c r="F1" s="248"/>
      <c r="G1" s="248"/>
      <c r="H1" s="248"/>
      <c r="I1" s="248"/>
      <c r="J1" s="248"/>
      <c r="K1" s="248"/>
      <c r="L1" s="248"/>
      <c r="M1" s="248"/>
      <c r="N1" s="248"/>
      <c r="O1" s="248"/>
      <c r="P1" s="249"/>
    </row>
    <row r="2" spans="1:16">
      <c r="A2" s="250"/>
      <c r="B2" s="251"/>
      <c r="C2" s="251"/>
      <c r="D2" s="251"/>
      <c r="E2" s="251"/>
      <c r="F2" s="251"/>
      <c r="G2" s="251"/>
      <c r="H2" s="251"/>
      <c r="I2" s="251"/>
      <c r="J2" s="251"/>
      <c r="K2" s="251"/>
      <c r="L2" s="251"/>
      <c r="M2" s="251"/>
      <c r="N2" s="251"/>
      <c r="O2" s="251"/>
      <c r="P2" s="252"/>
    </row>
    <row r="3" spans="1:16" ht="30">
      <c r="A3" s="250"/>
      <c r="B3" s="251"/>
      <c r="C3" s="251"/>
      <c r="D3" s="253"/>
      <c r="E3" s="251"/>
      <c r="F3" s="251"/>
      <c r="G3" s="251"/>
      <c r="H3" s="251"/>
      <c r="I3" s="251"/>
      <c r="J3" s="251"/>
      <c r="K3" s="251"/>
      <c r="L3" s="254"/>
      <c r="M3" s="251"/>
      <c r="N3" s="251"/>
      <c r="O3" s="251"/>
      <c r="P3" s="252"/>
    </row>
    <row r="4" spans="1:16" ht="22.8">
      <c r="A4" s="250"/>
      <c r="B4" s="251"/>
      <c r="C4" s="251"/>
      <c r="D4" s="255"/>
      <c r="E4" s="251"/>
      <c r="F4" s="251"/>
      <c r="G4" s="251"/>
      <c r="H4" s="251"/>
      <c r="I4" s="251"/>
      <c r="J4" s="251"/>
      <c r="K4" s="251"/>
      <c r="L4" s="251"/>
      <c r="M4" s="251"/>
      <c r="N4" s="251"/>
      <c r="O4" s="251"/>
      <c r="P4" s="252"/>
    </row>
    <row r="5" spans="1:16">
      <c r="A5" s="250"/>
      <c r="B5" s="251"/>
      <c r="C5" s="251"/>
      <c r="D5" s="251"/>
      <c r="E5" s="251"/>
      <c r="F5" s="251"/>
      <c r="G5" s="251"/>
      <c r="H5" s="251"/>
      <c r="I5" s="251"/>
      <c r="J5" s="251"/>
      <c r="K5" s="251"/>
      <c r="L5" s="251"/>
      <c r="M5" s="251"/>
      <c r="N5" s="251"/>
      <c r="O5" s="251"/>
      <c r="P5" s="252"/>
    </row>
    <row r="6" spans="1:16">
      <c r="A6" s="250"/>
      <c r="B6" s="251"/>
      <c r="C6" s="251"/>
      <c r="D6" s="251"/>
      <c r="E6" s="251"/>
      <c r="F6" s="251"/>
      <c r="G6" s="251"/>
      <c r="H6" s="251"/>
      <c r="I6" s="251"/>
      <c r="J6" s="251"/>
      <c r="K6" s="251"/>
      <c r="L6" s="251"/>
      <c r="M6" s="251"/>
      <c r="N6" s="251"/>
      <c r="O6" s="251"/>
      <c r="P6" s="252"/>
    </row>
    <row r="7" spans="1:16" ht="15">
      <c r="A7" s="250"/>
      <c r="B7" s="251"/>
      <c r="C7" s="251"/>
      <c r="D7" s="251"/>
      <c r="E7" s="251"/>
      <c r="F7" s="251"/>
      <c r="G7" s="251"/>
      <c r="H7" s="251"/>
      <c r="I7" s="251"/>
      <c r="J7" s="251"/>
      <c r="K7" s="251"/>
      <c r="L7" s="251"/>
      <c r="M7" s="254" t="s">
        <v>479</v>
      </c>
      <c r="N7" s="251"/>
      <c r="O7" s="251"/>
      <c r="P7" s="252"/>
    </row>
    <row r="8" spans="1:16" ht="30">
      <c r="A8" s="250"/>
      <c r="B8" s="253" t="s">
        <v>523</v>
      </c>
      <c r="C8" s="251"/>
      <c r="D8" s="251"/>
      <c r="E8" s="251"/>
      <c r="F8" s="251"/>
      <c r="G8" s="251"/>
      <c r="H8" s="251"/>
      <c r="I8" s="251"/>
      <c r="J8" s="251"/>
      <c r="K8" s="251"/>
      <c r="L8" s="251"/>
      <c r="M8" s="251"/>
      <c r="N8" s="251"/>
      <c r="O8" s="251"/>
      <c r="P8" s="252"/>
    </row>
    <row r="9" spans="1:16">
      <c r="A9" s="250"/>
      <c r="B9" s="251"/>
      <c r="C9" s="251"/>
      <c r="D9" s="251"/>
      <c r="E9" s="251"/>
      <c r="F9" s="251"/>
      <c r="G9" s="251"/>
      <c r="H9" s="251"/>
      <c r="I9" s="251"/>
      <c r="J9" s="251"/>
      <c r="K9" s="251"/>
      <c r="L9" s="251"/>
      <c r="M9" s="251"/>
      <c r="N9" s="251"/>
      <c r="O9" s="251"/>
      <c r="P9" s="252"/>
    </row>
    <row r="10" spans="1:16" ht="20.399999999999999">
      <c r="A10" s="250"/>
      <c r="B10" s="256" t="s">
        <v>472</v>
      </c>
      <c r="C10" s="257"/>
      <c r="D10" s="257"/>
      <c r="E10" s="257"/>
      <c r="F10" s="251"/>
      <c r="G10" s="251"/>
      <c r="H10" s="251"/>
      <c r="I10" s="251"/>
      <c r="J10" s="251"/>
      <c r="K10" s="251"/>
      <c r="L10" s="251"/>
      <c r="M10" s="251"/>
      <c r="N10" s="251"/>
      <c r="O10" s="251"/>
      <c r="P10" s="252"/>
    </row>
    <row r="11" spans="1:16" ht="13.8">
      <c r="A11" s="250"/>
      <c r="B11" s="258" t="s">
        <v>473</v>
      </c>
      <c r="C11" s="259"/>
      <c r="D11" s="259"/>
      <c r="E11" s="259"/>
      <c r="F11" s="251"/>
      <c r="G11" s="251"/>
      <c r="H11" s="251"/>
      <c r="I11" s="251"/>
      <c r="J11" s="251"/>
      <c r="K11" s="251"/>
      <c r="L11" s="251"/>
      <c r="M11" s="251"/>
      <c r="N11" s="251"/>
      <c r="O11" s="251"/>
      <c r="P11" s="252"/>
    </row>
    <row r="12" spans="1:16" ht="13.8">
      <c r="A12" s="250"/>
      <c r="B12" s="258" t="s">
        <v>474</v>
      </c>
      <c r="C12" s="259"/>
      <c r="D12" s="259"/>
      <c r="E12" s="259"/>
      <c r="F12" s="251"/>
      <c r="G12" s="251"/>
      <c r="H12" s="251"/>
      <c r="I12" s="251"/>
      <c r="J12" s="251"/>
      <c r="K12" s="251"/>
      <c r="L12" s="251"/>
      <c r="M12" s="251"/>
      <c r="N12" s="251"/>
      <c r="O12" s="251"/>
      <c r="P12" s="252"/>
    </row>
    <row r="13" spans="1:16">
      <c r="A13" s="250"/>
      <c r="B13" s="257"/>
      <c r="C13" s="257"/>
      <c r="D13" s="257"/>
      <c r="E13" s="257"/>
      <c r="F13" s="251"/>
      <c r="G13" s="251"/>
      <c r="H13" s="251"/>
      <c r="I13" s="251"/>
      <c r="J13" s="251"/>
      <c r="K13" s="251"/>
      <c r="L13" s="251"/>
      <c r="M13" s="251"/>
      <c r="N13" s="251"/>
      <c r="O13" s="251"/>
      <c r="P13" s="252"/>
    </row>
    <row r="14" spans="1:16">
      <c r="A14" s="250"/>
      <c r="B14" s="326" t="s">
        <v>496</v>
      </c>
      <c r="C14" s="326"/>
      <c r="D14" s="326"/>
      <c r="E14" s="326"/>
      <c r="F14" s="326"/>
      <c r="G14" s="326"/>
      <c r="H14" s="326"/>
      <c r="I14" s="326"/>
      <c r="J14" s="251"/>
      <c r="K14" s="251"/>
      <c r="L14" s="251"/>
      <c r="M14" s="251"/>
      <c r="N14" s="251"/>
      <c r="O14" s="251"/>
      <c r="P14" s="252"/>
    </row>
    <row r="15" spans="1:16">
      <c r="A15" s="250"/>
      <c r="B15" s="257"/>
      <c r="C15" s="257"/>
      <c r="D15" s="257"/>
      <c r="E15" s="257"/>
      <c r="F15" s="251"/>
      <c r="G15" s="251"/>
      <c r="H15" s="251"/>
      <c r="I15" s="251"/>
      <c r="J15" s="251"/>
      <c r="K15" s="251"/>
      <c r="L15" s="251"/>
      <c r="M15" s="251"/>
      <c r="N15" s="251"/>
      <c r="O15" s="251"/>
      <c r="P15" s="252"/>
    </row>
    <row r="16" spans="1:16">
      <c r="A16" s="250"/>
      <c r="B16" s="260" t="s">
        <v>475</v>
      </c>
      <c r="C16" s="257"/>
      <c r="D16" s="257"/>
      <c r="E16" s="257"/>
      <c r="F16" s="251"/>
      <c r="G16" s="251"/>
      <c r="H16" s="251"/>
      <c r="I16" s="251"/>
      <c r="J16" s="251"/>
      <c r="K16" s="251"/>
      <c r="L16" s="251"/>
      <c r="M16" s="251"/>
      <c r="N16" s="251"/>
      <c r="O16" s="251"/>
      <c r="P16" s="252"/>
    </row>
    <row r="17" spans="1:16">
      <c r="A17" s="250"/>
      <c r="B17" s="261" t="s">
        <v>489</v>
      </c>
      <c r="C17" s="257"/>
      <c r="D17" s="257"/>
      <c r="E17" s="257"/>
      <c r="F17" s="251"/>
      <c r="G17" s="251"/>
      <c r="H17" s="251"/>
      <c r="I17" s="251"/>
      <c r="J17" s="251"/>
      <c r="K17" s="251"/>
      <c r="L17" s="251"/>
      <c r="M17" s="251"/>
      <c r="N17" s="251"/>
      <c r="O17" s="251"/>
      <c r="P17" s="252"/>
    </row>
    <row r="18" spans="1:16">
      <c r="A18" s="250"/>
      <c r="B18" s="261" t="s">
        <v>488</v>
      </c>
      <c r="C18" s="257"/>
      <c r="D18" s="257"/>
      <c r="E18" s="257"/>
      <c r="F18" s="251"/>
      <c r="G18" s="251"/>
      <c r="H18" s="251"/>
      <c r="I18" s="251"/>
      <c r="J18" s="251"/>
      <c r="K18" s="251"/>
      <c r="L18" s="251"/>
      <c r="M18" s="251"/>
      <c r="N18" s="251"/>
      <c r="O18" s="251"/>
      <c r="P18" s="252"/>
    </row>
    <row r="19" spans="1:16">
      <c r="A19" s="250"/>
      <c r="B19" s="261" t="s">
        <v>487</v>
      </c>
      <c r="C19" s="257"/>
      <c r="D19" s="257"/>
      <c r="E19" s="257"/>
      <c r="F19" s="251"/>
      <c r="G19" s="251"/>
      <c r="H19" s="251"/>
      <c r="I19" s="251"/>
      <c r="J19" s="251"/>
      <c r="K19" s="251"/>
      <c r="L19" s="251"/>
      <c r="M19" s="251"/>
      <c r="N19" s="251"/>
      <c r="O19" s="251"/>
      <c r="P19" s="252"/>
    </row>
    <row r="20" spans="1:16">
      <c r="A20" s="250"/>
      <c r="B20" s="261" t="s">
        <v>483</v>
      </c>
      <c r="C20" s="257"/>
      <c r="D20" s="257"/>
      <c r="E20" s="257"/>
      <c r="F20" s="251"/>
      <c r="G20" s="251"/>
      <c r="H20" s="251"/>
      <c r="I20" s="251"/>
      <c r="J20" s="251"/>
      <c r="K20" s="251"/>
      <c r="L20" s="251"/>
      <c r="M20" s="251"/>
      <c r="N20" s="251"/>
      <c r="O20" s="251"/>
      <c r="P20" s="252"/>
    </row>
    <row r="21" spans="1:16">
      <c r="A21" s="250"/>
      <c r="B21" s="261" t="s">
        <v>486</v>
      </c>
      <c r="C21" s="257"/>
      <c r="D21" s="257"/>
      <c r="E21" s="257"/>
      <c r="F21" s="251"/>
      <c r="G21" s="251"/>
      <c r="H21" s="251"/>
      <c r="I21" s="251"/>
      <c r="J21" s="251"/>
      <c r="K21" s="251"/>
      <c r="L21" s="251"/>
      <c r="M21" s="251"/>
      <c r="N21" s="251"/>
      <c r="O21" s="251"/>
      <c r="P21" s="252"/>
    </row>
    <row r="22" spans="1:16">
      <c r="A22" s="250"/>
      <c r="B22" s="261" t="s">
        <v>484</v>
      </c>
      <c r="C22" s="257"/>
      <c r="D22" s="257"/>
      <c r="E22" s="257"/>
      <c r="F22" s="251"/>
      <c r="G22" s="251"/>
      <c r="H22" s="251"/>
      <c r="I22" s="251"/>
      <c r="J22" s="251"/>
      <c r="K22" s="251"/>
      <c r="L22" s="251"/>
      <c r="M22" s="251"/>
      <c r="N22" s="251"/>
      <c r="O22" s="251"/>
      <c r="P22" s="252"/>
    </row>
    <row r="23" spans="1:16">
      <c r="A23" s="250"/>
      <c r="B23" s="261" t="s">
        <v>485</v>
      </c>
      <c r="C23" s="257"/>
      <c r="D23" s="257"/>
      <c r="E23" s="257"/>
      <c r="F23" s="251"/>
      <c r="G23" s="251"/>
      <c r="H23" s="251"/>
      <c r="I23" s="251"/>
      <c r="J23" s="251"/>
      <c r="K23" s="251"/>
      <c r="L23" s="251"/>
      <c r="M23" s="251"/>
      <c r="N23" s="251"/>
      <c r="O23" s="251"/>
      <c r="P23" s="252"/>
    </row>
    <row r="24" spans="1:16">
      <c r="A24" s="250"/>
      <c r="B24" s="261"/>
      <c r="C24" s="257"/>
      <c r="D24" s="257"/>
      <c r="E24" s="257"/>
      <c r="F24" s="251"/>
      <c r="G24" s="251"/>
      <c r="H24" s="251"/>
      <c r="I24" s="251"/>
      <c r="J24" s="251"/>
      <c r="K24" s="251"/>
      <c r="L24" s="251"/>
      <c r="M24" s="251"/>
      <c r="N24" s="251"/>
      <c r="O24" s="251"/>
      <c r="P24" s="252"/>
    </row>
    <row r="25" spans="1:16" ht="20.399999999999999">
      <c r="A25" s="250"/>
      <c r="B25" s="256" t="s">
        <v>476</v>
      </c>
      <c r="C25" s="251"/>
      <c r="D25" s="251"/>
      <c r="E25" s="251"/>
      <c r="F25" s="251"/>
      <c r="G25" s="251"/>
      <c r="H25" s="251"/>
      <c r="I25" s="251"/>
      <c r="J25" s="251"/>
      <c r="K25" s="251"/>
      <c r="L25" s="251"/>
      <c r="M25" s="251"/>
      <c r="N25" s="251"/>
      <c r="O25" s="251"/>
      <c r="P25" s="252"/>
    </row>
    <row r="26" spans="1:16">
      <c r="A26" s="250"/>
      <c r="B26" s="265" t="s">
        <v>482</v>
      </c>
      <c r="C26" s="251"/>
      <c r="D26" s="251"/>
      <c r="E26" s="251"/>
      <c r="F26" s="251"/>
      <c r="G26" s="251"/>
      <c r="H26" s="251"/>
      <c r="I26" s="251"/>
      <c r="J26" s="251"/>
      <c r="K26" s="251"/>
      <c r="L26" s="251"/>
      <c r="M26" s="251"/>
      <c r="N26" s="251"/>
      <c r="O26" s="251"/>
      <c r="P26" s="252"/>
    </row>
    <row r="27" spans="1:16">
      <c r="A27" s="250"/>
      <c r="B27" s="251" t="s">
        <v>477</v>
      </c>
      <c r="C27" s="251"/>
      <c r="D27" s="251"/>
      <c r="E27" s="251"/>
      <c r="F27" s="251"/>
      <c r="G27" s="251"/>
      <c r="H27" s="251"/>
      <c r="I27" s="251"/>
      <c r="J27" s="251"/>
      <c r="K27" s="251"/>
      <c r="L27" s="251"/>
      <c r="M27" s="251"/>
      <c r="N27" s="251"/>
      <c r="O27" s="251"/>
      <c r="P27" s="252"/>
    </row>
    <row r="28" spans="1:16">
      <c r="A28" s="250"/>
      <c r="B28" s="251"/>
      <c r="C28" s="251"/>
      <c r="D28" s="251"/>
      <c r="E28" s="251"/>
      <c r="F28" s="251"/>
      <c r="G28" s="251"/>
      <c r="H28" s="251"/>
      <c r="I28" s="251"/>
      <c r="J28" s="251"/>
      <c r="K28" s="251"/>
      <c r="L28" s="251"/>
      <c r="M28" s="251"/>
      <c r="N28" s="251"/>
      <c r="O28" s="251"/>
      <c r="P28" s="252"/>
    </row>
    <row r="29" spans="1:16">
      <c r="A29" s="250"/>
      <c r="B29" s="265" t="s">
        <v>481</v>
      </c>
      <c r="C29" s="251"/>
      <c r="D29" s="251"/>
      <c r="E29" s="251"/>
      <c r="F29" s="251"/>
      <c r="G29" s="251"/>
      <c r="H29" s="251"/>
      <c r="I29" s="251"/>
      <c r="J29" s="251"/>
      <c r="K29" s="251"/>
      <c r="L29" s="251"/>
      <c r="M29" s="251"/>
      <c r="N29" s="251"/>
      <c r="O29" s="251"/>
      <c r="P29" s="252"/>
    </row>
    <row r="30" spans="1:16">
      <c r="A30" s="250"/>
      <c r="B30" s="251"/>
      <c r="C30" s="251"/>
      <c r="D30" s="251"/>
      <c r="E30" s="251"/>
      <c r="F30" s="251"/>
      <c r="G30" s="251"/>
      <c r="H30" s="251"/>
      <c r="I30" s="251"/>
      <c r="J30" s="251"/>
      <c r="K30" s="251"/>
      <c r="L30" s="251"/>
      <c r="M30" s="251"/>
      <c r="N30" s="251"/>
      <c r="O30" s="251"/>
      <c r="P30" s="252"/>
    </row>
    <row r="31" spans="1:16">
      <c r="A31" s="250"/>
      <c r="B31" s="251" t="s">
        <v>478</v>
      </c>
      <c r="C31" s="251"/>
      <c r="D31" s="251"/>
      <c r="E31" s="251"/>
      <c r="F31" s="251"/>
      <c r="G31" s="251"/>
      <c r="H31" s="251"/>
      <c r="I31" s="251"/>
      <c r="J31" s="251"/>
      <c r="K31" s="251"/>
      <c r="L31" s="251"/>
      <c r="M31" s="251"/>
      <c r="N31" s="251"/>
      <c r="O31" s="251"/>
      <c r="P31" s="252"/>
    </row>
    <row r="32" spans="1:16">
      <c r="A32" s="250"/>
      <c r="B32" s="265"/>
      <c r="C32" s="251"/>
      <c r="D32" s="251"/>
      <c r="E32" s="251"/>
      <c r="F32" s="251"/>
      <c r="G32" s="251"/>
      <c r="H32" s="251"/>
      <c r="I32" s="251"/>
      <c r="J32" s="251"/>
      <c r="K32" s="251"/>
      <c r="L32" s="251"/>
      <c r="M32" s="251"/>
      <c r="N32" s="251"/>
      <c r="O32" s="251"/>
      <c r="P32" s="252"/>
    </row>
    <row r="33" spans="1:16" ht="13.8" thickBot="1">
      <c r="A33" s="250"/>
      <c r="B33" s="251"/>
      <c r="C33" s="251"/>
      <c r="D33" s="251"/>
      <c r="E33" s="251"/>
      <c r="F33" s="251"/>
      <c r="G33" s="251"/>
      <c r="H33" s="251"/>
      <c r="I33" s="251"/>
      <c r="J33" s="251"/>
      <c r="K33" s="251"/>
      <c r="L33" s="251"/>
      <c r="M33" s="251"/>
      <c r="N33" s="251"/>
      <c r="O33" s="251"/>
      <c r="P33" s="252"/>
    </row>
    <row r="34" spans="1:16">
      <c r="A34" s="250"/>
      <c r="B34" s="327" t="s">
        <v>510</v>
      </c>
      <c r="C34" s="328"/>
      <c r="D34" s="328"/>
      <c r="E34" s="328"/>
      <c r="F34" s="328"/>
      <c r="G34" s="328"/>
      <c r="H34" s="328"/>
      <c r="I34" s="328"/>
      <c r="J34" s="328"/>
      <c r="K34" s="328"/>
      <c r="L34" s="328"/>
      <c r="M34" s="329"/>
      <c r="N34" s="251"/>
      <c r="O34" s="251"/>
      <c r="P34" s="252"/>
    </row>
    <row r="35" spans="1:16">
      <c r="A35" s="250"/>
      <c r="B35" s="330"/>
      <c r="C35" s="331"/>
      <c r="D35" s="331"/>
      <c r="E35" s="331"/>
      <c r="F35" s="331"/>
      <c r="G35" s="331"/>
      <c r="H35" s="331"/>
      <c r="I35" s="331"/>
      <c r="J35" s="331"/>
      <c r="K35" s="331"/>
      <c r="L35" s="331"/>
      <c r="M35" s="332"/>
      <c r="N35" s="251"/>
      <c r="O35" s="251"/>
      <c r="P35" s="252"/>
    </row>
    <row r="36" spans="1:16">
      <c r="A36" s="250"/>
      <c r="B36" s="330"/>
      <c r="C36" s="331"/>
      <c r="D36" s="331"/>
      <c r="E36" s="331"/>
      <c r="F36" s="331"/>
      <c r="G36" s="331"/>
      <c r="H36" s="331"/>
      <c r="I36" s="331"/>
      <c r="J36" s="331"/>
      <c r="K36" s="331"/>
      <c r="L36" s="331"/>
      <c r="M36" s="332"/>
      <c r="N36" s="251"/>
      <c r="O36" s="251"/>
      <c r="P36" s="252"/>
    </row>
    <row r="37" spans="1:16">
      <c r="A37" s="250"/>
      <c r="B37" s="330"/>
      <c r="C37" s="331"/>
      <c r="D37" s="331"/>
      <c r="E37" s="331"/>
      <c r="F37" s="331"/>
      <c r="G37" s="331"/>
      <c r="H37" s="331"/>
      <c r="I37" s="331"/>
      <c r="J37" s="331"/>
      <c r="K37" s="331"/>
      <c r="L37" s="331"/>
      <c r="M37" s="332"/>
      <c r="N37" s="251"/>
      <c r="O37" s="251"/>
      <c r="P37" s="252"/>
    </row>
    <row r="38" spans="1:16">
      <c r="A38" s="250"/>
      <c r="B38" s="330"/>
      <c r="C38" s="331"/>
      <c r="D38" s="331"/>
      <c r="E38" s="331"/>
      <c r="F38" s="331"/>
      <c r="G38" s="331"/>
      <c r="H38" s="331"/>
      <c r="I38" s="331"/>
      <c r="J38" s="331"/>
      <c r="K38" s="331"/>
      <c r="L38" s="331"/>
      <c r="M38" s="332"/>
      <c r="N38" s="251"/>
      <c r="O38" s="251"/>
      <c r="P38" s="252"/>
    </row>
    <row r="39" spans="1:16">
      <c r="A39" s="250"/>
      <c r="B39" s="330"/>
      <c r="C39" s="331"/>
      <c r="D39" s="331"/>
      <c r="E39" s="331"/>
      <c r="F39" s="331"/>
      <c r="G39" s="331"/>
      <c r="H39" s="331"/>
      <c r="I39" s="331"/>
      <c r="J39" s="331"/>
      <c r="K39" s="331"/>
      <c r="L39" s="331"/>
      <c r="M39" s="332"/>
      <c r="N39" s="251"/>
      <c r="O39" s="251"/>
      <c r="P39" s="252"/>
    </row>
    <row r="40" spans="1:16">
      <c r="A40" s="250"/>
      <c r="B40" s="330"/>
      <c r="C40" s="331"/>
      <c r="D40" s="331"/>
      <c r="E40" s="331"/>
      <c r="F40" s="331"/>
      <c r="G40" s="331"/>
      <c r="H40" s="331"/>
      <c r="I40" s="331"/>
      <c r="J40" s="331"/>
      <c r="K40" s="331"/>
      <c r="L40" s="331"/>
      <c r="M40" s="332"/>
      <c r="N40" s="251"/>
      <c r="O40" s="251"/>
      <c r="P40" s="252"/>
    </row>
    <row r="41" spans="1:16">
      <c r="A41" s="250"/>
      <c r="B41" s="330"/>
      <c r="C41" s="331"/>
      <c r="D41" s="331"/>
      <c r="E41" s="331"/>
      <c r="F41" s="331"/>
      <c r="G41" s="331"/>
      <c r="H41" s="331"/>
      <c r="I41" s="331"/>
      <c r="J41" s="331"/>
      <c r="K41" s="331"/>
      <c r="L41" s="331"/>
      <c r="M41" s="332"/>
      <c r="N41" s="251"/>
      <c r="O41" s="251"/>
      <c r="P41" s="252"/>
    </row>
    <row r="42" spans="1:16">
      <c r="A42" s="250"/>
      <c r="B42" s="330"/>
      <c r="C42" s="331"/>
      <c r="D42" s="331"/>
      <c r="E42" s="331"/>
      <c r="F42" s="331"/>
      <c r="G42" s="331"/>
      <c r="H42" s="331"/>
      <c r="I42" s="331"/>
      <c r="J42" s="331"/>
      <c r="K42" s="331"/>
      <c r="L42" s="331"/>
      <c r="M42" s="332"/>
      <c r="N42" s="251"/>
      <c r="O42" s="251"/>
      <c r="P42" s="252"/>
    </row>
    <row r="43" spans="1:16">
      <c r="A43" s="250"/>
      <c r="B43" s="330"/>
      <c r="C43" s="331"/>
      <c r="D43" s="331"/>
      <c r="E43" s="331"/>
      <c r="F43" s="331"/>
      <c r="G43" s="331"/>
      <c r="H43" s="331"/>
      <c r="I43" s="331"/>
      <c r="J43" s="331"/>
      <c r="K43" s="331"/>
      <c r="L43" s="331"/>
      <c r="M43" s="332"/>
      <c r="N43" s="251"/>
      <c r="O43" s="251"/>
      <c r="P43" s="252"/>
    </row>
    <row r="44" spans="1:16">
      <c r="A44" s="250"/>
      <c r="B44" s="330"/>
      <c r="C44" s="331"/>
      <c r="D44" s="331"/>
      <c r="E44" s="331"/>
      <c r="F44" s="331"/>
      <c r="G44" s="331"/>
      <c r="H44" s="331"/>
      <c r="I44" s="331"/>
      <c r="J44" s="331"/>
      <c r="K44" s="331"/>
      <c r="L44" s="331"/>
      <c r="M44" s="332"/>
      <c r="N44" s="251"/>
      <c r="O44" s="251"/>
      <c r="P44" s="252"/>
    </row>
    <row r="45" spans="1:16">
      <c r="A45" s="250"/>
      <c r="B45" s="330"/>
      <c r="C45" s="331"/>
      <c r="D45" s="331"/>
      <c r="E45" s="331"/>
      <c r="F45" s="331"/>
      <c r="G45" s="331"/>
      <c r="H45" s="331"/>
      <c r="I45" s="331"/>
      <c r="J45" s="331"/>
      <c r="K45" s="331"/>
      <c r="L45" s="331"/>
      <c r="M45" s="332"/>
      <c r="N45" s="251"/>
      <c r="O45" s="251"/>
      <c r="P45" s="252"/>
    </row>
    <row r="46" spans="1:16">
      <c r="A46" s="250"/>
      <c r="B46" s="330"/>
      <c r="C46" s="331"/>
      <c r="D46" s="331"/>
      <c r="E46" s="331"/>
      <c r="F46" s="331"/>
      <c r="G46" s="331"/>
      <c r="H46" s="331"/>
      <c r="I46" s="331"/>
      <c r="J46" s="331"/>
      <c r="K46" s="331"/>
      <c r="L46" s="331"/>
      <c r="M46" s="332"/>
      <c r="N46" s="251"/>
      <c r="O46" s="251"/>
      <c r="P46" s="252"/>
    </row>
    <row r="47" spans="1:16">
      <c r="A47" s="250"/>
      <c r="B47" s="330"/>
      <c r="C47" s="331"/>
      <c r="D47" s="331"/>
      <c r="E47" s="331"/>
      <c r="F47" s="331"/>
      <c r="G47" s="331"/>
      <c r="H47" s="331"/>
      <c r="I47" s="331"/>
      <c r="J47" s="331"/>
      <c r="K47" s="331"/>
      <c r="L47" s="331"/>
      <c r="M47" s="332"/>
      <c r="N47" s="251"/>
      <c r="O47" s="251"/>
      <c r="P47" s="252"/>
    </row>
    <row r="48" spans="1:16">
      <c r="A48" s="250"/>
      <c r="B48" s="330"/>
      <c r="C48" s="331"/>
      <c r="D48" s="331"/>
      <c r="E48" s="331"/>
      <c r="F48" s="331"/>
      <c r="G48" s="331"/>
      <c r="H48" s="331"/>
      <c r="I48" s="331"/>
      <c r="J48" s="331"/>
      <c r="K48" s="331"/>
      <c r="L48" s="331"/>
      <c r="M48" s="332"/>
      <c r="N48" s="251"/>
      <c r="O48" s="251"/>
      <c r="P48" s="252"/>
    </row>
    <row r="49" spans="1:16">
      <c r="A49" s="250"/>
      <c r="B49" s="330"/>
      <c r="C49" s="331"/>
      <c r="D49" s="331"/>
      <c r="E49" s="331"/>
      <c r="F49" s="331"/>
      <c r="G49" s="331"/>
      <c r="H49" s="331"/>
      <c r="I49" s="331"/>
      <c r="J49" s="331"/>
      <c r="K49" s="331"/>
      <c r="L49" s="331"/>
      <c r="M49" s="332"/>
      <c r="N49" s="251"/>
      <c r="O49" s="251"/>
      <c r="P49" s="252"/>
    </row>
    <row r="50" spans="1:16">
      <c r="A50" s="250"/>
      <c r="B50" s="330"/>
      <c r="C50" s="331"/>
      <c r="D50" s="331"/>
      <c r="E50" s="331"/>
      <c r="F50" s="331"/>
      <c r="G50" s="331"/>
      <c r="H50" s="331"/>
      <c r="I50" s="331"/>
      <c r="J50" s="331"/>
      <c r="K50" s="331"/>
      <c r="L50" s="331"/>
      <c r="M50" s="332"/>
      <c r="N50" s="251"/>
      <c r="O50" s="251"/>
      <c r="P50" s="252"/>
    </row>
    <row r="51" spans="1:16">
      <c r="A51" s="250"/>
      <c r="B51" s="330"/>
      <c r="C51" s="331"/>
      <c r="D51" s="331"/>
      <c r="E51" s="331"/>
      <c r="F51" s="331"/>
      <c r="G51" s="331"/>
      <c r="H51" s="331"/>
      <c r="I51" s="331"/>
      <c r="J51" s="331"/>
      <c r="K51" s="331"/>
      <c r="L51" s="331"/>
      <c r="M51" s="332"/>
      <c r="N51" s="251"/>
      <c r="O51" s="251"/>
      <c r="P51" s="252"/>
    </row>
    <row r="52" spans="1:16">
      <c r="A52" s="250"/>
      <c r="B52" s="330"/>
      <c r="C52" s="331"/>
      <c r="D52" s="331"/>
      <c r="E52" s="331"/>
      <c r="F52" s="331"/>
      <c r="G52" s="331"/>
      <c r="H52" s="331"/>
      <c r="I52" s="331"/>
      <c r="J52" s="331"/>
      <c r="K52" s="331"/>
      <c r="L52" s="331"/>
      <c r="M52" s="332"/>
      <c r="N52" s="251"/>
      <c r="O52" s="251"/>
      <c r="P52" s="252"/>
    </row>
    <row r="53" spans="1:16">
      <c r="A53" s="250"/>
      <c r="B53" s="330"/>
      <c r="C53" s="331"/>
      <c r="D53" s="331"/>
      <c r="E53" s="331"/>
      <c r="F53" s="331"/>
      <c r="G53" s="331"/>
      <c r="H53" s="331"/>
      <c r="I53" s="331"/>
      <c r="J53" s="331"/>
      <c r="K53" s="331"/>
      <c r="L53" s="331"/>
      <c r="M53" s="332"/>
      <c r="N53" s="251"/>
      <c r="O53" s="251"/>
      <c r="P53" s="252"/>
    </row>
    <row r="54" spans="1:16">
      <c r="A54" s="250"/>
      <c r="B54" s="330"/>
      <c r="C54" s="331"/>
      <c r="D54" s="331"/>
      <c r="E54" s="331"/>
      <c r="F54" s="331"/>
      <c r="G54" s="331"/>
      <c r="H54" s="331"/>
      <c r="I54" s="331"/>
      <c r="J54" s="331"/>
      <c r="K54" s="331"/>
      <c r="L54" s="331"/>
      <c r="M54" s="332"/>
      <c r="N54" s="251"/>
      <c r="O54" s="251"/>
      <c r="P54" s="252"/>
    </row>
    <row r="55" spans="1:16">
      <c r="A55" s="250"/>
      <c r="B55" s="330"/>
      <c r="C55" s="331"/>
      <c r="D55" s="331"/>
      <c r="E55" s="331"/>
      <c r="F55" s="331"/>
      <c r="G55" s="331"/>
      <c r="H55" s="331"/>
      <c r="I55" s="331"/>
      <c r="J55" s="331"/>
      <c r="K55" s="331"/>
      <c r="L55" s="331"/>
      <c r="M55" s="332"/>
      <c r="N55" s="251"/>
      <c r="O55" s="251"/>
      <c r="P55" s="252"/>
    </row>
    <row r="56" spans="1:16">
      <c r="A56" s="250"/>
      <c r="B56" s="330"/>
      <c r="C56" s="331"/>
      <c r="D56" s="331"/>
      <c r="E56" s="331"/>
      <c r="F56" s="331"/>
      <c r="G56" s="331"/>
      <c r="H56" s="331"/>
      <c r="I56" s="331"/>
      <c r="J56" s="331"/>
      <c r="K56" s="331"/>
      <c r="L56" s="331"/>
      <c r="M56" s="332"/>
      <c r="N56" s="251"/>
      <c r="O56" s="251"/>
      <c r="P56" s="252"/>
    </row>
    <row r="57" spans="1:16">
      <c r="A57" s="250"/>
      <c r="B57" s="330"/>
      <c r="C57" s="331"/>
      <c r="D57" s="331"/>
      <c r="E57" s="331"/>
      <c r="F57" s="331"/>
      <c r="G57" s="331"/>
      <c r="H57" s="331"/>
      <c r="I57" s="331"/>
      <c r="J57" s="331"/>
      <c r="K57" s="331"/>
      <c r="L57" s="331"/>
      <c r="M57" s="332"/>
      <c r="N57" s="251"/>
      <c r="O57" s="251"/>
      <c r="P57" s="252"/>
    </row>
    <row r="58" spans="1:16">
      <c r="A58" s="250"/>
      <c r="B58" s="330"/>
      <c r="C58" s="331"/>
      <c r="D58" s="331"/>
      <c r="E58" s="331"/>
      <c r="F58" s="331"/>
      <c r="G58" s="331"/>
      <c r="H58" s="331"/>
      <c r="I58" s="331"/>
      <c r="J58" s="331"/>
      <c r="K58" s="331"/>
      <c r="L58" s="331"/>
      <c r="M58" s="332"/>
      <c r="N58" s="251"/>
      <c r="O58" s="251"/>
      <c r="P58" s="252"/>
    </row>
    <row r="59" spans="1:16">
      <c r="A59" s="250"/>
      <c r="B59" s="330"/>
      <c r="C59" s="331"/>
      <c r="D59" s="331"/>
      <c r="E59" s="331"/>
      <c r="F59" s="331"/>
      <c r="G59" s="331"/>
      <c r="H59" s="331"/>
      <c r="I59" s="331"/>
      <c r="J59" s="331"/>
      <c r="K59" s="331"/>
      <c r="L59" s="331"/>
      <c r="M59" s="332"/>
      <c r="N59" s="251"/>
      <c r="O59" s="251"/>
      <c r="P59" s="252"/>
    </row>
    <row r="60" spans="1:16">
      <c r="A60" s="250"/>
      <c r="B60" s="330"/>
      <c r="C60" s="331"/>
      <c r="D60" s="331"/>
      <c r="E60" s="331"/>
      <c r="F60" s="331"/>
      <c r="G60" s="331"/>
      <c r="H60" s="331"/>
      <c r="I60" s="331"/>
      <c r="J60" s="331"/>
      <c r="K60" s="331"/>
      <c r="L60" s="331"/>
      <c r="M60" s="332"/>
      <c r="N60" s="251"/>
      <c r="O60" s="251"/>
      <c r="P60" s="252"/>
    </row>
    <row r="61" spans="1:16">
      <c r="A61" s="250"/>
      <c r="B61" s="330"/>
      <c r="C61" s="331"/>
      <c r="D61" s="331"/>
      <c r="E61" s="331"/>
      <c r="F61" s="331"/>
      <c r="G61" s="331"/>
      <c r="H61" s="331"/>
      <c r="I61" s="331"/>
      <c r="J61" s="331"/>
      <c r="K61" s="331"/>
      <c r="L61" s="331"/>
      <c r="M61" s="332"/>
      <c r="N61" s="251"/>
      <c r="O61" s="251"/>
      <c r="P61" s="252"/>
    </row>
    <row r="62" spans="1:16">
      <c r="A62" s="250"/>
      <c r="B62" s="330"/>
      <c r="C62" s="331"/>
      <c r="D62" s="331"/>
      <c r="E62" s="331"/>
      <c r="F62" s="331"/>
      <c r="G62" s="331"/>
      <c r="H62" s="331"/>
      <c r="I62" s="331"/>
      <c r="J62" s="331"/>
      <c r="K62" s="331"/>
      <c r="L62" s="331"/>
      <c r="M62" s="332"/>
      <c r="N62" s="251"/>
      <c r="O62" s="251"/>
      <c r="P62" s="252"/>
    </row>
    <row r="63" spans="1:16">
      <c r="A63" s="250"/>
      <c r="B63" s="330"/>
      <c r="C63" s="331"/>
      <c r="D63" s="331"/>
      <c r="E63" s="331"/>
      <c r="F63" s="331"/>
      <c r="G63" s="331"/>
      <c r="H63" s="331"/>
      <c r="I63" s="331"/>
      <c r="J63" s="331"/>
      <c r="K63" s="331"/>
      <c r="L63" s="331"/>
      <c r="M63" s="332"/>
      <c r="N63" s="251"/>
      <c r="O63" s="251"/>
      <c r="P63" s="252"/>
    </row>
    <row r="64" spans="1:16">
      <c r="A64" s="250"/>
      <c r="B64" s="330"/>
      <c r="C64" s="331"/>
      <c r="D64" s="331"/>
      <c r="E64" s="331"/>
      <c r="F64" s="331"/>
      <c r="G64" s="331"/>
      <c r="H64" s="331"/>
      <c r="I64" s="331"/>
      <c r="J64" s="331"/>
      <c r="K64" s="331"/>
      <c r="L64" s="331"/>
      <c r="M64" s="332"/>
      <c r="N64" s="251"/>
      <c r="O64" s="251"/>
      <c r="P64" s="252"/>
    </row>
    <row r="65" spans="1:16">
      <c r="A65" s="250"/>
      <c r="B65" s="330"/>
      <c r="C65" s="331"/>
      <c r="D65" s="331"/>
      <c r="E65" s="331"/>
      <c r="F65" s="331"/>
      <c r="G65" s="331"/>
      <c r="H65" s="331"/>
      <c r="I65" s="331"/>
      <c r="J65" s="331"/>
      <c r="K65" s="331"/>
      <c r="L65" s="331"/>
      <c r="M65" s="332"/>
      <c r="N65" s="251"/>
      <c r="O65" s="251"/>
      <c r="P65" s="252"/>
    </row>
    <row r="66" spans="1:16">
      <c r="A66" s="250"/>
      <c r="B66" s="330"/>
      <c r="C66" s="331"/>
      <c r="D66" s="331"/>
      <c r="E66" s="331"/>
      <c r="F66" s="331"/>
      <c r="G66" s="331"/>
      <c r="H66" s="331"/>
      <c r="I66" s="331"/>
      <c r="J66" s="331"/>
      <c r="K66" s="331"/>
      <c r="L66" s="331"/>
      <c r="M66" s="332"/>
      <c r="N66" s="251"/>
      <c r="O66" s="251"/>
      <c r="P66" s="252"/>
    </row>
    <row r="67" spans="1:16">
      <c r="A67" s="250"/>
      <c r="B67" s="330"/>
      <c r="C67" s="331"/>
      <c r="D67" s="331"/>
      <c r="E67" s="331"/>
      <c r="F67" s="331"/>
      <c r="G67" s="331"/>
      <c r="H67" s="331"/>
      <c r="I67" s="331"/>
      <c r="J67" s="331"/>
      <c r="K67" s="331"/>
      <c r="L67" s="331"/>
      <c r="M67" s="332"/>
      <c r="N67" s="251"/>
      <c r="O67" s="251"/>
      <c r="P67" s="252"/>
    </row>
    <row r="68" spans="1:16">
      <c r="A68" s="250"/>
      <c r="B68" s="330"/>
      <c r="C68" s="331"/>
      <c r="D68" s="331"/>
      <c r="E68" s="331"/>
      <c r="F68" s="331"/>
      <c r="G68" s="331"/>
      <c r="H68" s="331"/>
      <c r="I68" s="331"/>
      <c r="J68" s="331"/>
      <c r="K68" s="331"/>
      <c r="L68" s="331"/>
      <c r="M68" s="332"/>
      <c r="N68" s="251"/>
      <c r="O68" s="251"/>
      <c r="P68" s="252"/>
    </row>
    <row r="69" spans="1:16">
      <c r="A69" s="250"/>
      <c r="B69" s="330"/>
      <c r="C69" s="331"/>
      <c r="D69" s="331"/>
      <c r="E69" s="331"/>
      <c r="F69" s="331"/>
      <c r="G69" s="331"/>
      <c r="H69" s="331"/>
      <c r="I69" s="331"/>
      <c r="J69" s="331"/>
      <c r="K69" s="331"/>
      <c r="L69" s="331"/>
      <c r="M69" s="332"/>
      <c r="N69" s="251"/>
      <c r="O69" s="251"/>
      <c r="P69" s="252"/>
    </row>
    <row r="70" spans="1:16">
      <c r="A70" s="250"/>
      <c r="B70" s="330"/>
      <c r="C70" s="331"/>
      <c r="D70" s="331"/>
      <c r="E70" s="331"/>
      <c r="F70" s="331"/>
      <c r="G70" s="331"/>
      <c r="H70" s="331"/>
      <c r="I70" s="331"/>
      <c r="J70" s="331"/>
      <c r="K70" s="331"/>
      <c r="L70" s="331"/>
      <c r="M70" s="332"/>
      <c r="N70" s="251"/>
      <c r="O70" s="251"/>
      <c r="P70" s="252"/>
    </row>
    <row r="71" spans="1:16">
      <c r="A71" s="250"/>
      <c r="B71" s="330"/>
      <c r="C71" s="331"/>
      <c r="D71" s="331"/>
      <c r="E71" s="331"/>
      <c r="F71" s="331"/>
      <c r="G71" s="331"/>
      <c r="H71" s="331"/>
      <c r="I71" s="331"/>
      <c r="J71" s="331"/>
      <c r="K71" s="331"/>
      <c r="L71" s="331"/>
      <c r="M71" s="332"/>
      <c r="N71" s="251"/>
      <c r="O71" s="251"/>
      <c r="P71" s="252"/>
    </row>
    <row r="72" spans="1:16">
      <c r="A72" s="250"/>
      <c r="B72" s="330"/>
      <c r="C72" s="331"/>
      <c r="D72" s="331"/>
      <c r="E72" s="331"/>
      <c r="F72" s="331"/>
      <c r="G72" s="331"/>
      <c r="H72" s="331"/>
      <c r="I72" s="331"/>
      <c r="J72" s="331"/>
      <c r="K72" s="331"/>
      <c r="L72" s="331"/>
      <c r="M72" s="332"/>
      <c r="N72" s="251"/>
      <c r="O72" s="251"/>
      <c r="P72" s="252"/>
    </row>
    <row r="73" spans="1:16">
      <c r="A73" s="250"/>
      <c r="B73" s="330"/>
      <c r="C73" s="331"/>
      <c r="D73" s="331"/>
      <c r="E73" s="331"/>
      <c r="F73" s="331"/>
      <c r="G73" s="331"/>
      <c r="H73" s="331"/>
      <c r="I73" s="331"/>
      <c r="J73" s="331"/>
      <c r="K73" s="331"/>
      <c r="L73" s="331"/>
      <c r="M73" s="332"/>
      <c r="N73" s="251"/>
      <c r="O73" s="251"/>
      <c r="P73" s="252"/>
    </row>
    <row r="74" spans="1:16">
      <c r="A74" s="250"/>
      <c r="B74" s="330"/>
      <c r="C74" s="331"/>
      <c r="D74" s="331"/>
      <c r="E74" s="331"/>
      <c r="F74" s="331"/>
      <c r="G74" s="331"/>
      <c r="H74" s="331"/>
      <c r="I74" s="331"/>
      <c r="J74" s="331"/>
      <c r="K74" s="331"/>
      <c r="L74" s="331"/>
      <c r="M74" s="332"/>
      <c r="N74" s="251"/>
      <c r="O74" s="251"/>
      <c r="P74" s="252"/>
    </row>
    <row r="75" spans="1:16">
      <c r="A75" s="250"/>
      <c r="B75" s="330"/>
      <c r="C75" s="331"/>
      <c r="D75" s="331"/>
      <c r="E75" s="331"/>
      <c r="F75" s="331"/>
      <c r="G75" s="331"/>
      <c r="H75" s="331"/>
      <c r="I75" s="331"/>
      <c r="J75" s="331"/>
      <c r="K75" s="331"/>
      <c r="L75" s="331"/>
      <c r="M75" s="332"/>
      <c r="N75" s="251"/>
      <c r="O75" s="251"/>
      <c r="P75" s="252"/>
    </row>
    <row r="76" spans="1:16">
      <c r="A76" s="250"/>
      <c r="B76" s="330"/>
      <c r="C76" s="331"/>
      <c r="D76" s="331"/>
      <c r="E76" s="331"/>
      <c r="F76" s="331"/>
      <c r="G76" s="331"/>
      <c r="H76" s="331"/>
      <c r="I76" s="331"/>
      <c r="J76" s="331"/>
      <c r="K76" s="331"/>
      <c r="L76" s="331"/>
      <c r="M76" s="332"/>
      <c r="N76" s="251"/>
      <c r="O76" s="251"/>
      <c r="P76" s="252"/>
    </row>
    <row r="77" spans="1:16">
      <c r="A77" s="250"/>
      <c r="B77" s="330"/>
      <c r="C77" s="331"/>
      <c r="D77" s="331"/>
      <c r="E77" s="331"/>
      <c r="F77" s="331"/>
      <c r="G77" s="331"/>
      <c r="H77" s="331"/>
      <c r="I77" s="331"/>
      <c r="J77" s="331"/>
      <c r="K77" s="331"/>
      <c r="L77" s="331"/>
      <c r="M77" s="332"/>
      <c r="N77" s="251"/>
      <c r="O77" s="251"/>
      <c r="P77" s="252"/>
    </row>
    <row r="78" spans="1:16">
      <c r="A78" s="250"/>
      <c r="B78" s="330"/>
      <c r="C78" s="331"/>
      <c r="D78" s="331"/>
      <c r="E78" s="331"/>
      <c r="F78" s="331"/>
      <c r="G78" s="331"/>
      <c r="H78" s="331"/>
      <c r="I78" s="331"/>
      <c r="J78" s="331"/>
      <c r="K78" s="331"/>
      <c r="L78" s="331"/>
      <c r="M78" s="332"/>
      <c r="N78" s="251"/>
      <c r="O78" s="251"/>
      <c r="P78" s="252"/>
    </row>
    <row r="79" spans="1:16">
      <c r="A79" s="250"/>
      <c r="B79" s="330"/>
      <c r="C79" s="331"/>
      <c r="D79" s="331"/>
      <c r="E79" s="331"/>
      <c r="F79" s="331"/>
      <c r="G79" s="331"/>
      <c r="H79" s="331"/>
      <c r="I79" s="331"/>
      <c r="J79" s="331"/>
      <c r="K79" s="331"/>
      <c r="L79" s="331"/>
      <c r="M79" s="332"/>
      <c r="N79" s="251"/>
      <c r="O79" s="251"/>
      <c r="P79" s="252"/>
    </row>
    <row r="80" spans="1:16">
      <c r="A80" s="250"/>
      <c r="B80" s="330"/>
      <c r="C80" s="331"/>
      <c r="D80" s="331"/>
      <c r="E80" s="331"/>
      <c r="F80" s="331"/>
      <c r="G80" s="331"/>
      <c r="H80" s="331"/>
      <c r="I80" s="331"/>
      <c r="J80" s="331"/>
      <c r="K80" s="331"/>
      <c r="L80" s="331"/>
      <c r="M80" s="332"/>
      <c r="N80" s="251"/>
      <c r="O80" s="251"/>
      <c r="P80" s="252"/>
    </row>
    <row r="81" spans="1:16">
      <c r="A81" s="250"/>
      <c r="B81" s="330"/>
      <c r="C81" s="331"/>
      <c r="D81" s="331"/>
      <c r="E81" s="331"/>
      <c r="F81" s="331"/>
      <c r="G81" s="331"/>
      <c r="H81" s="331"/>
      <c r="I81" s="331"/>
      <c r="J81" s="331"/>
      <c r="K81" s="331"/>
      <c r="L81" s="331"/>
      <c r="M81" s="332"/>
      <c r="N81" s="251"/>
      <c r="O81" s="251"/>
      <c r="P81" s="252"/>
    </row>
    <row r="82" spans="1:16">
      <c r="A82" s="250"/>
      <c r="B82" s="330"/>
      <c r="C82" s="331"/>
      <c r="D82" s="331"/>
      <c r="E82" s="331"/>
      <c r="F82" s="331"/>
      <c r="G82" s="331"/>
      <c r="H82" s="331"/>
      <c r="I82" s="331"/>
      <c r="J82" s="331"/>
      <c r="K82" s="331"/>
      <c r="L82" s="331"/>
      <c r="M82" s="332"/>
      <c r="N82" s="251"/>
      <c r="O82" s="251"/>
      <c r="P82" s="252"/>
    </row>
    <row r="83" spans="1:16">
      <c r="A83" s="250"/>
      <c r="B83" s="330"/>
      <c r="C83" s="331"/>
      <c r="D83" s="331"/>
      <c r="E83" s="331"/>
      <c r="F83" s="331"/>
      <c r="G83" s="331"/>
      <c r="H83" s="331"/>
      <c r="I83" s="331"/>
      <c r="J83" s="331"/>
      <c r="K83" s="331"/>
      <c r="L83" s="331"/>
      <c r="M83" s="332"/>
      <c r="N83" s="251"/>
      <c r="O83" s="251"/>
      <c r="P83" s="252"/>
    </row>
    <row r="84" spans="1:16">
      <c r="A84" s="250"/>
      <c r="B84" s="330"/>
      <c r="C84" s="331"/>
      <c r="D84" s="331"/>
      <c r="E84" s="331"/>
      <c r="F84" s="331"/>
      <c r="G84" s="331"/>
      <c r="H84" s="331"/>
      <c r="I84" s="331"/>
      <c r="J84" s="331"/>
      <c r="K84" s="331"/>
      <c r="L84" s="331"/>
      <c r="M84" s="332"/>
      <c r="N84" s="251"/>
      <c r="O84" s="251"/>
      <c r="P84" s="252"/>
    </row>
    <row r="85" spans="1:16">
      <c r="A85" s="250"/>
      <c r="B85" s="330"/>
      <c r="C85" s="331"/>
      <c r="D85" s="331"/>
      <c r="E85" s="331"/>
      <c r="F85" s="331"/>
      <c r="G85" s="331"/>
      <c r="H85" s="331"/>
      <c r="I85" s="331"/>
      <c r="J85" s="331"/>
      <c r="K85" s="331"/>
      <c r="L85" s="331"/>
      <c r="M85" s="332"/>
      <c r="N85" s="251"/>
      <c r="O85" s="251"/>
      <c r="P85" s="252"/>
    </row>
    <row r="86" spans="1:16">
      <c r="A86" s="250"/>
      <c r="B86" s="330"/>
      <c r="C86" s="331"/>
      <c r="D86" s="331"/>
      <c r="E86" s="331"/>
      <c r="F86" s="331"/>
      <c r="G86" s="331"/>
      <c r="H86" s="331"/>
      <c r="I86" s="331"/>
      <c r="J86" s="331"/>
      <c r="K86" s="331"/>
      <c r="L86" s="331"/>
      <c r="M86" s="332"/>
      <c r="N86" s="251"/>
      <c r="O86" s="251"/>
      <c r="P86" s="252"/>
    </row>
    <row r="87" spans="1:16">
      <c r="A87" s="250"/>
      <c r="B87" s="330"/>
      <c r="C87" s="331"/>
      <c r="D87" s="331"/>
      <c r="E87" s="331"/>
      <c r="F87" s="331"/>
      <c r="G87" s="331"/>
      <c r="H87" s="331"/>
      <c r="I87" s="331"/>
      <c r="J87" s="331"/>
      <c r="K87" s="331"/>
      <c r="L87" s="331"/>
      <c r="M87" s="332"/>
      <c r="N87" s="251"/>
      <c r="O87" s="251"/>
      <c r="P87" s="252"/>
    </row>
    <row r="88" spans="1:16">
      <c r="A88" s="250"/>
      <c r="B88" s="330"/>
      <c r="C88" s="331"/>
      <c r="D88" s="331"/>
      <c r="E88" s="331"/>
      <c r="F88" s="331"/>
      <c r="G88" s="331"/>
      <c r="H88" s="331"/>
      <c r="I88" s="331"/>
      <c r="J88" s="331"/>
      <c r="K88" s="331"/>
      <c r="L88" s="331"/>
      <c r="M88" s="332"/>
      <c r="N88" s="251"/>
      <c r="O88" s="251"/>
      <c r="P88" s="252"/>
    </row>
    <row r="89" spans="1:16">
      <c r="A89" s="250"/>
      <c r="B89" s="330"/>
      <c r="C89" s="331"/>
      <c r="D89" s="331"/>
      <c r="E89" s="331"/>
      <c r="F89" s="331"/>
      <c r="G89" s="331"/>
      <c r="H89" s="331"/>
      <c r="I89" s="331"/>
      <c r="J89" s="331"/>
      <c r="K89" s="331"/>
      <c r="L89" s="331"/>
      <c r="M89" s="332"/>
      <c r="N89" s="251"/>
      <c r="O89" s="251"/>
      <c r="P89" s="252"/>
    </row>
    <row r="90" spans="1:16">
      <c r="A90" s="250"/>
      <c r="B90" s="330"/>
      <c r="C90" s="331"/>
      <c r="D90" s="331"/>
      <c r="E90" s="331"/>
      <c r="F90" s="331"/>
      <c r="G90" s="331"/>
      <c r="H90" s="331"/>
      <c r="I90" s="331"/>
      <c r="J90" s="331"/>
      <c r="K90" s="331"/>
      <c r="L90" s="331"/>
      <c r="M90" s="332"/>
      <c r="N90" s="251"/>
      <c r="O90" s="251"/>
      <c r="P90" s="252"/>
    </row>
    <row r="91" spans="1:16">
      <c r="A91" s="250"/>
      <c r="B91" s="330"/>
      <c r="C91" s="331"/>
      <c r="D91" s="331"/>
      <c r="E91" s="331"/>
      <c r="F91" s="331"/>
      <c r="G91" s="331"/>
      <c r="H91" s="331"/>
      <c r="I91" s="331"/>
      <c r="J91" s="331"/>
      <c r="K91" s="331"/>
      <c r="L91" s="331"/>
      <c r="M91" s="332"/>
      <c r="N91" s="251"/>
      <c r="O91" s="251"/>
      <c r="P91" s="252"/>
    </row>
    <row r="92" spans="1:16">
      <c r="A92" s="250"/>
      <c r="B92" s="330"/>
      <c r="C92" s="331"/>
      <c r="D92" s="331"/>
      <c r="E92" s="331"/>
      <c r="F92" s="331"/>
      <c r="G92" s="331"/>
      <c r="H92" s="331"/>
      <c r="I92" s="331"/>
      <c r="J92" s="331"/>
      <c r="K92" s="331"/>
      <c r="L92" s="331"/>
      <c r="M92" s="332"/>
      <c r="N92" s="251"/>
      <c r="O92" s="251"/>
      <c r="P92" s="252"/>
    </row>
    <row r="93" spans="1:16">
      <c r="A93" s="250"/>
      <c r="B93" s="330"/>
      <c r="C93" s="331"/>
      <c r="D93" s="331"/>
      <c r="E93" s="331"/>
      <c r="F93" s="331"/>
      <c r="G93" s="331"/>
      <c r="H93" s="331"/>
      <c r="I93" s="331"/>
      <c r="J93" s="331"/>
      <c r="K93" s="331"/>
      <c r="L93" s="331"/>
      <c r="M93" s="332"/>
      <c r="N93" s="251"/>
      <c r="O93" s="251"/>
      <c r="P93" s="252"/>
    </row>
    <row r="94" spans="1:16">
      <c r="A94" s="250"/>
      <c r="B94" s="330"/>
      <c r="C94" s="331"/>
      <c r="D94" s="331"/>
      <c r="E94" s="331"/>
      <c r="F94" s="331"/>
      <c r="G94" s="331"/>
      <c r="H94" s="331"/>
      <c r="I94" s="331"/>
      <c r="J94" s="331"/>
      <c r="K94" s="331"/>
      <c r="L94" s="331"/>
      <c r="M94" s="332"/>
      <c r="N94" s="251"/>
      <c r="O94" s="251"/>
      <c r="P94" s="252"/>
    </row>
    <row r="95" spans="1:16">
      <c r="A95" s="250"/>
      <c r="B95" s="330"/>
      <c r="C95" s="331"/>
      <c r="D95" s="331"/>
      <c r="E95" s="331"/>
      <c r="F95" s="331"/>
      <c r="G95" s="331"/>
      <c r="H95" s="331"/>
      <c r="I95" s="331"/>
      <c r="J95" s="331"/>
      <c r="K95" s="331"/>
      <c r="L95" s="331"/>
      <c r="M95" s="332"/>
      <c r="N95" s="251"/>
      <c r="O95" s="251"/>
      <c r="P95" s="252"/>
    </row>
    <row r="96" spans="1:16" ht="13.8" thickBot="1">
      <c r="A96" s="250"/>
      <c r="B96" s="333"/>
      <c r="C96" s="334"/>
      <c r="D96" s="334"/>
      <c r="E96" s="334"/>
      <c r="F96" s="334"/>
      <c r="G96" s="334"/>
      <c r="H96" s="334"/>
      <c r="I96" s="334"/>
      <c r="J96" s="334"/>
      <c r="K96" s="334"/>
      <c r="L96" s="334"/>
      <c r="M96" s="335"/>
      <c r="N96" s="251"/>
      <c r="O96" s="251"/>
      <c r="P96" s="252"/>
    </row>
    <row r="97" spans="1:16">
      <c r="A97" s="250"/>
      <c r="B97" s="251"/>
      <c r="C97" s="251"/>
      <c r="D97" s="251"/>
      <c r="E97" s="251"/>
      <c r="F97" s="251"/>
      <c r="G97" s="251"/>
      <c r="H97" s="251"/>
      <c r="I97" s="251"/>
      <c r="J97" s="251"/>
      <c r="K97" s="251"/>
      <c r="L97" s="251"/>
      <c r="M97" s="251"/>
      <c r="N97" s="251"/>
      <c r="O97" s="251"/>
      <c r="P97" s="252"/>
    </row>
    <row r="98" spans="1:16" ht="13.8" thickBot="1">
      <c r="A98" s="262"/>
      <c r="B98" s="263"/>
      <c r="C98" s="263"/>
      <c r="D98" s="263"/>
      <c r="E98" s="263"/>
      <c r="F98" s="263"/>
      <c r="G98" s="263"/>
      <c r="H98" s="263"/>
      <c r="I98" s="263"/>
      <c r="J98" s="263"/>
      <c r="K98" s="263"/>
      <c r="L98" s="263"/>
      <c r="M98" s="263"/>
      <c r="N98" s="263"/>
      <c r="O98" s="263"/>
      <c r="P98" s="264"/>
    </row>
    <row r="99" spans="1:16" ht="13.8" thickTop="1"/>
  </sheetData>
  <mergeCells count="2">
    <mergeCell ref="B14:I14"/>
    <mergeCell ref="B34:M96"/>
  </mergeCells>
  <phoneticPr fontId="51" type="noConversion"/>
  <hyperlinks>
    <hyperlink ref="B14:I14" r:id="rId1" display="LM5066 Datasheet (See &quot;Design-In Procedure&quot;)"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26"/>
  <sheetViews>
    <sheetView tabSelected="1" topLeftCell="A40" zoomScale="130" zoomScaleNormal="130" zoomScaleSheetLayoutView="100" workbookViewId="0">
      <selection activeCell="F67" sqref="F67"/>
    </sheetView>
  </sheetViews>
  <sheetFormatPr defaultRowHeight="13.2"/>
  <cols>
    <col min="1" max="1" width="0.44140625" customWidth="1"/>
    <col min="2" max="2" width="30" customWidth="1"/>
    <col min="3" max="3" width="15.21875" customWidth="1"/>
    <col min="4" max="4" width="16.5546875" customWidth="1"/>
    <col min="5" max="5" width="20.77734375" customWidth="1"/>
    <col min="6" max="6" width="17.5546875" customWidth="1"/>
    <col min="7" max="7" width="5.5546875" style="168" customWidth="1"/>
    <col min="8" max="8" width="9.5546875" customWidth="1"/>
    <col min="9" max="9" width="12.77734375" customWidth="1"/>
    <col min="10" max="10" width="9.77734375" customWidth="1"/>
    <col min="11" max="11" width="10.21875" customWidth="1"/>
    <col min="12" max="12" width="8.77734375" customWidth="1"/>
    <col min="13" max="13" width="9.77734375" customWidth="1"/>
    <col min="14" max="19" width="0" hidden="1" customWidth="1"/>
    <col min="20" max="20" width="2.77734375" hidden="1" customWidth="1"/>
    <col min="21" max="21" width="3" hidden="1" customWidth="1"/>
    <col min="22" max="22" width="1.21875" hidden="1" customWidth="1"/>
    <col min="23" max="23" width="3.77734375" hidden="1" customWidth="1"/>
    <col min="24" max="38" width="0" hidden="1" customWidth="1"/>
    <col min="39" max="39" width="11.77734375" customWidth="1"/>
    <col min="40" max="40" width="6.77734375" customWidth="1"/>
    <col min="41" max="41" width="9.21875" customWidth="1"/>
    <col min="42" max="42" width="12.21875" customWidth="1"/>
    <col min="43" max="43" width="12" hidden="1" customWidth="1"/>
    <col min="44" max="44" width="13.44140625" hidden="1" customWidth="1"/>
    <col min="45" max="45" width="14.5546875" customWidth="1"/>
    <col min="46" max="46" width="14.77734375" customWidth="1"/>
    <col min="47" max="47" width="11.21875" customWidth="1"/>
    <col min="48" max="48" width="13" customWidth="1"/>
    <col min="49" max="49" width="13.44140625" customWidth="1"/>
    <col min="50" max="50" width="14.77734375" customWidth="1"/>
    <col min="51" max="51" width="14.21875" customWidth="1"/>
    <col min="52" max="52" width="12.77734375" customWidth="1"/>
    <col min="53" max="53" width="12.5546875" customWidth="1"/>
    <col min="54" max="54" width="9.77734375" customWidth="1"/>
    <col min="55" max="55" width="12.77734375" customWidth="1"/>
    <col min="56" max="57" width="13.77734375" customWidth="1"/>
    <col min="58" max="59" width="14.44140625" customWidth="1"/>
    <col min="60" max="60" width="15.44140625" customWidth="1"/>
    <col min="61" max="61" width="15.21875" customWidth="1"/>
    <col min="62" max="62" width="15.77734375" customWidth="1"/>
    <col min="63" max="63" width="12.5546875" customWidth="1"/>
    <col min="64" max="64" width="16.77734375" customWidth="1"/>
    <col min="65" max="65" width="15.44140625" customWidth="1"/>
    <col min="66" max="66" width="14.5546875" customWidth="1"/>
    <col min="67" max="67" width="10" customWidth="1"/>
    <col min="68" max="68" width="6.21875" customWidth="1"/>
    <col min="69" max="69" width="7.21875" customWidth="1"/>
    <col min="70" max="70" width="8.21875" customWidth="1"/>
    <col min="71" max="71" width="4.77734375" customWidth="1"/>
  </cols>
  <sheetData>
    <row r="1" spans="1:44" s="131" customFormat="1" ht="60.75" customHeight="1">
      <c r="A1" s="357" t="s">
        <v>495</v>
      </c>
      <c r="B1" s="358"/>
      <c r="C1" s="358"/>
      <c r="D1" s="358"/>
      <c r="E1" s="358"/>
      <c r="F1" s="358"/>
      <c r="G1" s="358"/>
      <c r="H1" s="358"/>
      <c r="I1" s="358"/>
      <c r="J1" s="358"/>
      <c r="K1" s="358"/>
      <c r="L1" s="358"/>
      <c r="M1" s="358"/>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4" ht="15.6">
      <c r="A2" s="19"/>
      <c r="B2" s="38" t="s">
        <v>104</v>
      </c>
      <c r="C2" s="19"/>
      <c r="D2" s="19"/>
      <c r="E2" s="19"/>
      <c r="F2" s="20"/>
      <c r="G2" s="20"/>
      <c r="H2" s="19"/>
      <c r="I2" s="19"/>
      <c r="J2" s="19"/>
      <c r="K2" s="19"/>
      <c r="L2" s="356"/>
      <c r="M2" s="356"/>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4">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4">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4">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4">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4" ht="16.5" customHeight="1">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4">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4" ht="15" customHeight="1">
      <c r="A9" s="19"/>
      <c r="B9" s="24"/>
      <c r="C9" s="212"/>
      <c r="D9" s="204" t="s">
        <v>377</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4" ht="15" customHeight="1">
      <c r="A10" s="19"/>
      <c r="B10" s="25"/>
      <c r="C10" s="21"/>
      <c r="D10" s="19" t="s">
        <v>103</v>
      </c>
      <c r="E10" s="124"/>
      <c r="F10" s="19"/>
      <c r="G10" s="20"/>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4" ht="22.95" customHeight="1">
      <c r="A11" s="19"/>
      <c r="B11" s="25"/>
      <c r="C11" s="227"/>
      <c r="D11" s="359" t="s">
        <v>480</v>
      </c>
      <c r="E11" s="360"/>
      <c r="F11" s="19"/>
      <c r="G11" s="20"/>
      <c r="H11" s="19"/>
      <c r="I11" s="19"/>
      <c r="J11" s="19"/>
      <c r="K11" s="19"/>
      <c r="L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4" ht="18" customHeight="1">
      <c r="A12" s="19"/>
      <c r="B12" s="25"/>
      <c r="C12" s="226"/>
      <c r="D12" s="359"/>
      <c r="E12" s="360"/>
      <c r="F12" s="19"/>
      <c r="G12" s="20"/>
      <c r="H12" s="19"/>
      <c r="I12" s="19"/>
      <c r="J12" s="19"/>
      <c r="K12" s="19"/>
      <c r="L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4" ht="15" customHeight="1" thickBot="1">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R13" s="268" t="s">
        <v>198</v>
      </c>
    </row>
    <row r="14" spans="1:44" ht="15" customHeight="1">
      <c r="A14" s="19"/>
      <c r="B14" s="302" t="s">
        <v>511</v>
      </c>
      <c r="C14" s="314"/>
      <c r="D14" s="341" t="s">
        <v>512</v>
      </c>
      <c r="E14" s="341"/>
      <c r="F14" s="341"/>
      <c r="G14" s="341"/>
      <c r="H14" s="311"/>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300"/>
      <c r="AR14" s="268" t="s">
        <v>197</v>
      </c>
    </row>
    <row r="15" spans="1:44" ht="15" customHeight="1">
      <c r="A15" s="19"/>
      <c r="B15" s="303"/>
      <c r="C15" s="313"/>
      <c r="D15" s="342"/>
      <c r="E15" s="342"/>
      <c r="F15" s="342"/>
      <c r="G15" s="342"/>
      <c r="H15" s="31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8"/>
    </row>
    <row r="16" spans="1:44" ht="15" customHeight="1">
      <c r="A16" s="19"/>
      <c r="B16" s="340"/>
      <c r="C16" s="304"/>
      <c r="D16" s="347" t="s">
        <v>513</v>
      </c>
      <c r="E16" s="347"/>
      <c r="F16" s="347"/>
      <c r="G16" s="347"/>
      <c r="H16" s="347"/>
      <c r="I16" s="347"/>
      <c r="J16" s="308"/>
      <c r="K16" s="301"/>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8"/>
    </row>
    <row r="17" spans="1:39" ht="15" customHeight="1">
      <c r="A17" s="19"/>
      <c r="B17" s="340"/>
      <c r="C17" s="304"/>
      <c r="D17" s="347" t="s">
        <v>514</v>
      </c>
      <c r="E17" s="347"/>
      <c r="F17" s="347"/>
      <c r="G17" s="347"/>
      <c r="H17" s="347"/>
      <c r="I17" s="347"/>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8"/>
    </row>
    <row r="18" spans="1:39" ht="15" customHeight="1">
      <c r="A18" s="19"/>
      <c r="B18" s="340"/>
      <c r="C18" s="304"/>
      <c r="D18" s="347" t="s">
        <v>515</v>
      </c>
      <c r="E18" s="347"/>
      <c r="F18" s="347"/>
      <c r="G18" s="347"/>
      <c r="H18" s="347"/>
      <c r="I18" s="347"/>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8"/>
    </row>
    <row r="19" spans="1:39" ht="15" customHeight="1">
      <c r="A19" s="19"/>
      <c r="B19" s="340"/>
      <c r="C19" s="304"/>
      <c r="D19" s="347" t="s">
        <v>516</v>
      </c>
      <c r="E19" s="347"/>
      <c r="F19" s="347"/>
      <c r="G19" s="347"/>
      <c r="H19" s="347"/>
      <c r="I19" s="347"/>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8"/>
    </row>
    <row r="20" spans="1:39" ht="15" customHeight="1">
      <c r="A20" s="19"/>
      <c r="B20" s="309"/>
      <c r="C20" s="304"/>
      <c r="D20" s="318" t="s">
        <v>520</v>
      </c>
      <c r="E20" s="305"/>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8"/>
    </row>
    <row r="21" spans="1:39" ht="15" customHeight="1" thickBot="1">
      <c r="A21" s="19"/>
      <c r="B21" s="295"/>
      <c r="C21" s="292"/>
      <c r="D21" s="292"/>
      <c r="E21" s="293"/>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8"/>
    </row>
    <row r="22" spans="1:39" ht="29.55" customHeight="1" thickBot="1">
      <c r="A22" s="19"/>
      <c r="B22" s="295"/>
      <c r="C22" s="292"/>
      <c r="D22" s="343" t="s">
        <v>517</v>
      </c>
      <c r="E22" s="344"/>
      <c r="F22" s="345"/>
      <c r="G22" s="316" t="s">
        <v>198</v>
      </c>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8"/>
    </row>
    <row r="23" spans="1:39" ht="28.05" customHeight="1" thickBot="1">
      <c r="A23" s="19"/>
      <c r="B23" s="295"/>
      <c r="C23" s="292"/>
      <c r="D23" s="348" t="s">
        <v>518</v>
      </c>
      <c r="E23" s="349"/>
      <c r="F23" s="350"/>
      <c r="G23" s="317" t="s">
        <v>198</v>
      </c>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8"/>
    </row>
    <row r="24" spans="1:39" ht="15" customHeight="1">
      <c r="A24" s="19"/>
      <c r="B24" s="295"/>
      <c r="C24" s="292"/>
      <c r="D24" s="346" t="s">
        <v>519</v>
      </c>
      <c r="E24" s="346"/>
      <c r="F24" s="346"/>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8"/>
    </row>
    <row r="25" spans="1:39" ht="15" customHeight="1">
      <c r="A25" s="19"/>
      <c r="B25" s="295"/>
      <c r="C25" s="292"/>
      <c r="D25" s="346"/>
      <c r="E25" s="346"/>
      <c r="F25" s="346"/>
      <c r="G25" s="310"/>
      <c r="H25" s="292"/>
      <c r="I25" s="292"/>
      <c r="J25" s="301"/>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8"/>
    </row>
    <row r="26" spans="1:39" ht="15" customHeight="1" thickBot="1">
      <c r="A26" s="19"/>
      <c r="B26" s="296"/>
      <c r="C26" s="297"/>
      <c r="D26" s="315"/>
      <c r="E26" s="315"/>
      <c r="F26" s="315"/>
      <c r="G26" s="306"/>
      <c r="H26" s="297"/>
      <c r="I26" s="297"/>
      <c r="J26" s="30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9"/>
    </row>
    <row r="27" spans="1:39" ht="15" customHeight="1">
      <c r="A27" s="19"/>
      <c r="B27" s="154" t="s">
        <v>151</v>
      </c>
      <c r="C27" s="97"/>
      <c r="D27" s="97"/>
      <c r="E27" s="98" t="s">
        <v>111</v>
      </c>
      <c r="F27" s="202">
        <v>40</v>
      </c>
      <c r="G27" s="178" t="s">
        <v>86</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132"/>
    </row>
    <row r="28" spans="1:39" ht="15" customHeight="1">
      <c r="A28" s="19"/>
      <c r="B28" s="99"/>
      <c r="C28" s="23"/>
      <c r="D28" s="23"/>
      <c r="E28" s="66" t="s">
        <v>121</v>
      </c>
      <c r="F28" s="203">
        <v>48</v>
      </c>
      <c r="G28" s="179" t="s">
        <v>86</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39" ht="15" customHeight="1">
      <c r="A29" s="19"/>
      <c r="B29" s="100"/>
      <c r="C29" s="23"/>
      <c r="D29" s="23"/>
      <c r="E29" s="66" t="s">
        <v>112</v>
      </c>
      <c r="F29" s="203">
        <v>60</v>
      </c>
      <c r="G29" s="179" t="s">
        <v>86</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39" ht="15" customHeight="1">
      <c r="A30" s="19"/>
      <c r="B30" s="100"/>
      <c r="C30" s="23"/>
      <c r="D30" s="23"/>
      <c r="E30" s="66" t="s">
        <v>123</v>
      </c>
      <c r="F30" s="203">
        <v>10</v>
      </c>
      <c r="G30" s="179"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39" ht="15" customHeight="1">
      <c r="A31" s="19"/>
      <c r="B31" s="100"/>
      <c r="C31" s="23"/>
      <c r="D31" s="23"/>
      <c r="E31" s="66" t="s">
        <v>235</v>
      </c>
      <c r="F31" s="203">
        <v>210</v>
      </c>
      <c r="G31" s="180" t="s">
        <v>83</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row>
    <row r="32" spans="1:39" ht="15" customHeight="1">
      <c r="A32" s="19"/>
      <c r="B32" s="100"/>
      <c r="C32" s="23"/>
      <c r="D32" s="23"/>
      <c r="E32" s="66" t="s">
        <v>122</v>
      </c>
      <c r="F32" s="319">
        <v>65</v>
      </c>
      <c r="G32" s="179" t="s">
        <v>127</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row>
    <row r="33" spans="1:40" ht="15" customHeight="1">
      <c r="A33" s="19"/>
      <c r="B33" s="100"/>
      <c r="C33" s="23"/>
      <c r="D33" s="23"/>
      <c r="E33" s="121"/>
      <c r="F33" s="320"/>
      <c r="G33" s="179"/>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row>
    <row r="34" spans="1:40" ht="15" customHeight="1">
      <c r="A34" s="19"/>
      <c r="B34" s="351" t="s">
        <v>521</v>
      </c>
      <c r="C34" s="23"/>
      <c r="D34" s="23"/>
      <c r="E34" s="66"/>
      <c r="F34" s="320"/>
      <c r="G34" s="179"/>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111"/>
    </row>
    <row r="35" spans="1:40" ht="15" customHeight="1">
      <c r="A35" s="19"/>
      <c r="B35" s="351"/>
      <c r="C35" s="23"/>
      <c r="D35" s="23"/>
      <c r="E35" s="66"/>
      <c r="F35" s="320"/>
      <c r="G35" s="17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111"/>
    </row>
    <row r="36" spans="1:40" ht="15" customHeight="1" thickBot="1">
      <c r="A36" s="19"/>
      <c r="B36" s="100"/>
      <c r="C36" s="23"/>
      <c r="D36" s="23"/>
      <c r="E36" s="66"/>
      <c r="F36" s="321"/>
      <c r="G36" s="179"/>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111"/>
    </row>
    <row r="37" spans="1:40" ht="15" customHeight="1">
      <c r="A37" s="19"/>
      <c r="B37" s="154" t="s">
        <v>233</v>
      </c>
      <c r="C37" s="146"/>
      <c r="D37" s="97"/>
      <c r="E37" s="98" t="s">
        <v>272</v>
      </c>
      <c r="F37" s="205" t="s">
        <v>434</v>
      </c>
      <c r="G37" s="182"/>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132"/>
      <c r="AN37" s="33" t="s">
        <v>433</v>
      </c>
    </row>
    <row r="38" spans="1:40" ht="15" customHeight="1">
      <c r="A38" s="19"/>
      <c r="B38" s="103"/>
      <c r="C38" s="23"/>
      <c r="D38" s="23"/>
      <c r="E38" s="66" t="s">
        <v>274</v>
      </c>
      <c r="F38" s="61">
        <f>Equations!F20</f>
        <v>4.653465346534654</v>
      </c>
      <c r="G38" s="179" t="s">
        <v>85</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t="s">
        <v>434</v>
      </c>
    </row>
    <row r="39" spans="1:40" ht="15" customHeight="1">
      <c r="A39" s="19"/>
      <c r="B39" s="100"/>
      <c r="C39" s="23"/>
      <c r="D39" s="23"/>
      <c r="E39" s="66" t="s">
        <v>201</v>
      </c>
      <c r="F39" s="206" t="s">
        <v>197</v>
      </c>
      <c r="G39" s="179"/>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33" t="s">
        <v>198</v>
      </c>
    </row>
    <row r="40" spans="1:40" ht="15" customHeight="1">
      <c r="A40" s="19"/>
      <c r="B40" s="100"/>
      <c r="C40" s="23"/>
      <c r="D40" s="23"/>
      <c r="E40" s="66" t="s">
        <v>109</v>
      </c>
      <c r="F40" s="207">
        <v>3</v>
      </c>
      <c r="G40" s="179" t="s">
        <v>85</v>
      </c>
      <c r="H40" s="13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c r="AN40" s="33" t="s">
        <v>197</v>
      </c>
    </row>
    <row r="41" spans="1:40" ht="15" customHeight="1">
      <c r="A41" s="19"/>
      <c r="B41" s="100"/>
      <c r="C41" s="23"/>
      <c r="D41" s="23"/>
      <c r="E41" s="66" t="s">
        <v>204</v>
      </c>
      <c r="F41" s="108" t="str">
        <f>Equations!F21</f>
        <v>NA</v>
      </c>
      <c r="G41" s="183" t="s">
        <v>87</v>
      </c>
      <c r="H41" s="220"/>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row>
    <row r="42" spans="1:40" ht="15" customHeight="1">
      <c r="A42" s="19"/>
      <c r="B42" s="100"/>
      <c r="C42" s="23"/>
      <c r="D42" s="23"/>
      <c r="E42" s="66" t="s">
        <v>205</v>
      </c>
      <c r="F42" s="107" t="str">
        <f>Equations!F22</f>
        <v>NA</v>
      </c>
      <c r="G42" s="183" t="s">
        <v>87</v>
      </c>
      <c r="H42" s="220"/>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row>
    <row r="43" spans="1:40" ht="15" customHeight="1">
      <c r="A43" s="19"/>
      <c r="B43" s="100"/>
      <c r="C43" s="23"/>
      <c r="D43" s="23"/>
      <c r="E43" s="66" t="s">
        <v>206</v>
      </c>
      <c r="F43" s="206">
        <v>10</v>
      </c>
      <c r="G43" s="183" t="s">
        <v>87</v>
      </c>
      <c r="H43" s="220"/>
      <c r="I43" s="23"/>
      <c r="J43" s="13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c r="AN43" t="b">
        <f>AND(F39="No")</f>
        <v>1</v>
      </c>
    </row>
    <row r="44" spans="1:40" ht="15" customHeight="1">
      <c r="A44" s="19"/>
      <c r="B44" s="100"/>
      <c r="C44" s="23"/>
      <c r="D44" s="23"/>
      <c r="E44" s="66" t="s">
        <v>207</v>
      </c>
      <c r="F44" s="206">
        <v>3.04</v>
      </c>
      <c r="G44" s="183" t="s">
        <v>87</v>
      </c>
      <c r="H44" s="220"/>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row>
    <row r="45" spans="1:40" ht="15" customHeight="1">
      <c r="A45" s="19"/>
      <c r="B45" s="354" t="s">
        <v>521</v>
      </c>
      <c r="C45" s="23"/>
      <c r="D45" s="23"/>
      <c r="E45" s="66" t="s">
        <v>273</v>
      </c>
      <c r="F45" s="107">
        <f>RsEFF</f>
        <v>3</v>
      </c>
      <c r="G45" s="179" t="s">
        <v>85</v>
      </c>
      <c r="H45" s="220"/>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0" ht="15" customHeight="1">
      <c r="A46" s="19"/>
      <c r="B46" s="354"/>
      <c r="C46" s="23"/>
      <c r="D46" s="126"/>
      <c r="E46" s="127" t="s">
        <v>99</v>
      </c>
      <c r="F46" s="64">
        <f>CLMIN</f>
        <v>15.666666666666666</v>
      </c>
      <c r="G46" s="179" t="s">
        <v>25</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0" ht="15" customHeight="1">
      <c r="A47" s="19"/>
      <c r="B47" s="354"/>
      <c r="C47" s="23"/>
      <c r="D47" s="128"/>
      <c r="E47" s="129" t="s">
        <v>100</v>
      </c>
      <c r="F47" s="64">
        <f>CLNOM</f>
        <v>16.666666666666668</v>
      </c>
      <c r="G47" s="179" t="s">
        <v>25</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row>
    <row r="48" spans="1:40" ht="15" customHeight="1">
      <c r="A48" s="19"/>
      <c r="B48" s="100"/>
      <c r="C48" s="23"/>
      <c r="D48" s="152"/>
      <c r="E48" s="153" t="s">
        <v>101</v>
      </c>
      <c r="F48" s="64">
        <f>CLMAX</f>
        <v>17.666666666666668</v>
      </c>
      <c r="G48" s="179" t="s">
        <v>25</v>
      </c>
      <c r="H48" s="23"/>
      <c r="I48" s="9"/>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c r="AN48" s="33" t="s">
        <v>252</v>
      </c>
    </row>
    <row r="49" spans="1:45" ht="15" customHeight="1">
      <c r="A49" s="19"/>
      <c r="B49" s="100"/>
      <c r="C49" s="23"/>
      <c r="D49" s="23"/>
      <c r="E49" s="66" t="s">
        <v>113</v>
      </c>
      <c r="F49" s="48">
        <f>Equations!F27/1000</f>
        <v>0.93633333333333346</v>
      </c>
      <c r="G49" s="179" t="s">
        <v>87</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c r="AN49" s="33" t="s">
        <v>253</v>
      </c>
    </row>
    <row r="50" spans="1:45" ht="15" customHeight="1">
      <c r="A50" s="19"/>
      <c r="B50" s="100"/>
      <c r="C50" s="23"/>
      <c r="D50" s="23"/>
      <c r="E50" s="66" t="s">
        <v>251</v>
      </c>
      <c r="F50" s="290" t="s">
        <v>252</v>
      </c>
      <c r="G50" s="179"/>
      <c r="H50" s="13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111"/>
      <c r="AN50" s="33" t="s">
        <v>441</v>
      </c>
    </row>
    <row r="51" spans="1:45" ht="15" customHeight="1" thickBot="1">
      <c r="A51" s="19"/>
      <c r="B51" s="101"/>
      <c r="C51" s="102"/>
      <c r="D51" s="102"/>
      <c r="E51" s="143" t="s">
        <v>234</v>
      </c>
      <c r="F51" s="291" t="s">
        <v>441</v>
      </c>
      <c r="G51" s="18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15"/>
      <c r="AN51" s="33" t="s">
        <v>442</v>
      </c>
    </row>
    <row r="52" spans="1:45" ht="13.8">
      <c r="A52" s="19"/>
      <c r="B52" s="154" t="s">
        <v>124</v>
      </c>
      <c r="C52" s="97"/>
      <c r="D52" s="97"/>
      <c r="E52" s="104" t="s">
        <v>502</v>
      </c>
      <c r="F52" s="205" t="s">
        <v>524</v>
      </c>
      <c r="G52" s="184"/>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132"/>
    </row>
    <row r="53" spans="1:45" ht="15.6">
      <c r="A53" s="19"/>
      <c r="B53" s="100"/>
      <c r="C53" s="23"/>
      <c r="D53" s="23"/>
      <c r="E53" s="37" t="s">
        <v>269</v>
      </c>
      <c r="F53" s="266">
        <v>30</v>
      </c>
      <c r="G53" s="179" t="s">
        <v>128</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f>((((TJMAX-TAMB)/ThetaJA)/(CLMAX^2))*1000)*NUMFETS^2</f>
        <v>11.747953008187967</v>
      </c>
      <c r="AO53">
        <f>((TJMAX-TAMB)/ThetaJA)</f>
        <v>3.6666666666666665</v>
      </c>
    </row>
    <row r="54" spans="1:45">
      <c r="A54" s="19"/>
      <c r="B54" s="100"/>
      <c r="C54" s="23"/>
      <c r="D54" s="23"/>
      <c r="E54" s="37" t="s">
        <v>125</v>
      </c>
      <c r="F54" s="207">
        <v>1</v>
      </c>
      <c r="G54" s="179" t="s">
        <v>126</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s="27" t="s">
        <v>270</v>
      </c>
    </row>
    <row r="55" spans="1:45" ht="15.75" customHeight="1">
      <c r="A55" s="19"/>
      <c r="B55" s="246"/>
      <c r="C55" s="23"/>
      <c r="D55" s="23"/>
      <c r="E55" s="37" t="s">
        <v>276</v>
      </c>
      <c r="F55" s="207">
        <v>7.7</v>
      </c>
      <c r="G55" s="179" t="s">
        <v>85</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s="33">
        <f>F55</f>
        <v>7.7</v>
      </c>
    </row>
    <row r="56" spans="1:45" ht="15.6">
      <c r="A56" s="19"/>
      <c r="B56" s="245"/>
      <c r="C56" s="23"/>
      <c r="D56" s="23"/>
      <c r="E56" s="37" t="s">
        <v>129</v>
      </c>
      <c r="F56" s="207">
        <v>175</v>
      </c>
      <c r="G56" s="179" t="s">
        <v>127</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268">
        <f t="shared" ref="AN56:AN61" si="0">F56</f>
        <v>175</v>
      </c>
    </row>
    <row r="57" spans="1:45" ht="22.2" customHeight="1">
      <c r="A57" s="19"/>
      <c r="B57" s="322"/>
      <c r="C57" s="23"/>
      <c r="D57" s="23"/>
      <c r="E57" s="37" t="s">
        <v>386</v>
      </c>
      <c r="F57" s="207">
        <v>100</v>
      </c>
      <c r="G57" s="179" t="s">
        <v>25</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268">
        <f t="shared" si="0"/>
        <v>100</v>
      </c>
    </row>
    <row r="58" spans="1:45" ht="15.75" customHeight="1">
      <c r="A58" s="19"/>
      <c r="B58" s="322"/>
      <c r="C58" s="23"/>
      <c r="D58" s="23"/>
      <c r="E58" s="37" t="s">
        <v>387</v>
      </c>
      <c r="F58" s="207">
        <v>30</v>
      </c>
      <c r="G58" s="179" t="s">
        <v>25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c r="AN58" s="268">
        <f t="shared" si="0"/>
        <v>30</v>
      </c>
      <c r="AS58" s="355"/>
    </row>
    <row r="59" spans="1:45" ht="15.6">
      <c r="A59" s="19"/>
      <c r="B59" s="323" t="s">
        <v>124</v>
      </c>
      <c r="C59" s="23"/>
      <c r="D59" s="23"/>
      <c r="E59" s="37" t="s">
        <v>388</v>
      </c>
      <c r="F59" s="207">
        <v>6</v>
      </c>
      <c r="G59" s="179" t="s">
        <v>25</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c r="AN59" s="268">
        <f t="shared" si="0"/>
        <v>6</v>
      </c>
      <c r="AS59" s="355"/>
    </row>
    <row r="60" spans="1:45" ht="15.75" customHeight="1">
      <c r="A60" s="19"/>
      <c r="B60" s="322"/>
      <c r="C60" s="23"/>
      <c r="D60" s="23"/>
      <c r="E60" s="37" t="s">
        <v>470</v>
      </c>
      <c r="F60" s="207">
        <v>2</v>
      </c>
      <c r="G60" s="179" t="s">
        <v>25</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c r="AN60" s="268">
        <f t="shared" si="0"/>
        <v>2</v>
      </c>
      <c r="AS60" s="355"/>
    </row>
    <row r="61" spans="1:45" ht="19.95" customHeight="1">
      <c r="A61" s="19"/>
      <c r="B61" s="322"/>
      <c r="C61" s="23"/>
      <c r="D61" s="23"/>
      <c r="E61" s="37" t="s">
        <v>471</v>
      </c>
      <c r="F61" s="207">
        <v>1.5</v>
      </c>
      <c r="G61" s="179" t="s">
        <v>25</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c r="AN61" s="268">
        <f t="shared" si="0"/>
        <v>1.5</v>
      </c>
      <c r="AS61" s="355"/>
    </row>
    <row r="62" spans="1:45" ht="15" customHeight="1">
      <c r="A62" s="19"/>
      <c r="B62" s="355" t="s">
        <v>491</v>
      </c>
      <c r="C62" s="23"/>
      <c r="D62" s="23"/>
      <c r="E62" s="37" t="s">
        <v>335</v>
      </c>
      <c r="F62" s="173">
        <f>(IOUTMAX/NUMFETS)^2*RDSON/1000</f>
        <v>0.77</v>
      </c>
      <c r="G62" s="179" t="s">
        <v>87</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c r="AS62" s="355"/>
    </row>
    <row r="63" spans="1:45" ht="15" customHeight="1">
      <c r="A63" s="19"/>
      <c r="B63" s="355"/>
      <c r="C63" s="23"/>
      <c r="D63" s="23"/>
      <c r="E63" s="37" t="s">
        <v>275</v>
      </c>
      <c r="F63" s="173">
        <f>TAMB+(FETPDISS*ThetaJA)</f>
        <v>88.1</v>
      </c>
      <c r="G63" s="179" t="s">
        <v>127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c r="AS63" s="355"/>
    </row>
    <row r="64" spans="1:45" ht="15" customHeight="1">
      <c r="A64" s="19"/>
      <c r="B64" s="355"/>
      <c r="C64" s="23"/>
      <c r="D64" s="23"/>
      <c r="E64" s="66" t="s">
        <v>497</v>
      </c>
      <c r="F64" s="173">
        <f>Equations!F38</f>
        <v>80</v>
      </c>
      <c r="G64" s="179" t="s">
        <v>87</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c r="AS64" s="355"/>
    </row>
    <row r="65" spans="1:40" ht="15" customHeight="1">
      <c r="A65" s="19"/>
      <c r="B65" s="355"/>
      <c r="C65" s="23"/>
      <c r="D65" s="23"/>
      <c r="E65" s="66" t="s">
        <v>291</v>
      </c>
      <c r="F65" s="208">
        <v>120</v>
      </c>
      <c r="G65" s="179" t="s">
        <v>87</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row>
    <row r="66" spans="1:40" ht="15" customHeight="1">
      <c r="A66" s="19"/>
      <c r="B66" s="355"/>
      <c r="C66" s="23"/>
      <c r="D66" s="23"/>
      <c r="E66" s="66" t="s">
        <v>292</v>
      </c>
      <c r="F66" s="151">
        <f>Equations!F40</f>
        <v>37.799999999999997</v>
      </c>
      <c r="G66" s="185" t="s">
        <v>84</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0" ht="15" customHeight="1">
      <c r="A67" s="19"/>
      <c r="B67" s="355"/>
      <c r="C67" s="23"/>
      <c r="D67" s="23"/>
      <c r="E67" s="66" t="s">
        <v>295</v>
      </c>
      <c r="F67" s="207">
        <v>37.799999999999997</v>
      </c>
      <c r="G67" s="185" t="s">
        <v>84</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0" ht="39" customHeight="1" thickBot="1">
      <c r="A68" s="19"/>
      <c r="B68" s="355"/>
      <c r="C68" s="23"/>
      <c r="D68" s="23"/>
      <c r="E68" s="66" t="s">
        <v>298</v>
      </c>
      <c r="F68" s="151">
        <f>Equations!F42</f>
        <v>119.99999999999999</v>
      </c>
      <c r="G68" s="179" t="s">
        <v>87</v>
      </c>
      <c r="H68" s="23"/>
      <c r="I68" s="352" t="s">
        <v>522</v>
      </c>
      <c r="J68" s="353"/>
      <c r="K68" s="353"/>
      <c r="L68" s="353"/>
      <c r="M68" s="35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111"/>
    </row>
    <row r="69" spans="1:40" ht="13.8">
      <c r="A69" s="19"/>
      <c r="B69" s="154" t="s">
        <v>135</v>
      </c>
      <c r="C69" s="97"/>
      <c r="D69" s="97"/>
      <c r="E69" s="104" t="s">
        <v>192</v>
      </c>
      <c r="F69" s="209">
        <v>0</v>
      </c>
      <c r="G69" s="184" t="s">
        <v>86</v>
      </c>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132"/>
      <c r="AN69" s="33"/>
    </row>
    <row r="70" spans="1:40">
      <c r="A70" s="19"/>
      <c r="B70" s="105"/>
      <c r="C70" s="23"/>
      <c r="D70" s="23"/>
      <c r="E70" s="37" t="s">
        <v>136</v>
      </c>
      <c r="F70" s="207" t="s">
        <v>138</v>
      </c>
      <c r="G70" s="180"/>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c r="AN70" s="33"/>
    </row>
    <row r="71" spans="1:40">
      <c r="A71" s="19"/>
      <c r="B71" s="100"/>
      <c r="C71" s="23"/>
      <c r="D71" s="23"/>
      <c r="E71" s="37" t="s">
        <v>137</v>
      </c>
      <c r="F71" s="207">
        <v>0</v>
      </c>
      <c r="G71" s="180" t="str">
        <f>IF(F70="Constant Current","A","Ohms")</f>
        <v>A</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c r="AN71" t="s">
        <v>138</v>
      </c>
    </row>
    <row r="72" spans="1:40">
      <c r="A72" s="19"/>
      <c r="B72" s="100"/>
      <c r="C72" s="23"/>
      <c r="D72" s="23"/>
      <c r="E72" s="66" t="s">
        <v>504</v>
      </c>
      <c r="F72" s="206" t="s">
        <v>197</v>
      </c>
      <c r="G72" s="180"/>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c r="AN72" t="s">
        <v>139</v>
      </c>
    </row>
    <row r="73" spans="1:40">
      <c r="A73" s="19"/>
      <c r="B73" s="100"/>
      <c r="C73" s="23"/>
      <c r="D73" s="23"/>
      <c r="E73" s="37" t="s">
        <v>314</v>
      </c>
      <c r="F73" s="55">
        <f>Start_up!M2</f>
        <v>3.4593562751824662</v>
      </c>
      <c r="G73" s="179" t="s">
        <v>8</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c r="AN73" s="33"/>
    </row>
    <row r="74" spans="1:40">
      <c r="A74" s="19"/>
      <c r="B74" s="100"/>
      <c r="C74" s="23"/>
      <c r="D74" s="23"/>
      <c r="E74" s="37" t="s">
        <v>321</v>
      </c>
      <c r="F74" s="169">
        <f>Start_up!O2</f>
        <v>1</v>
      </c>
      <c r="G74" s="179"/>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1"/>
      <c r="AN74" s="33"/>
    </row>
    <row r="75" spans="1:40" ht="13.2" customHeight="1">
      <c r="A75" s="19"/>
      <c r="B75" s="105"/>
      <c r="C75" s="23"/>
      <c r="D75" s="122"/>
      <c r="E75" s="175" t="s">
        <v>315</v>
      </c>
      <c r="F75" s="55">
        <f>Equations!F55</f>
        <v>6.0538734815693163</v>
      </c>
      <c r="G75" s="180" t="s">
        <v>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1"/>
    </row>
    <row r="76" spans="1:40" ht="12.6" customHeight="1">
      <c r="A76" s="19"/>
      <c r="B76" s="100"/>
      <c r="C76" s="23"/>
      <c r="D76" s="122"/>
      <c r="E76" s="176" t="s">
        <v>319</v>
      </c>
      <c r="F76" s="55">
        <f>Equations!F56</f>
        <v>116.420643876333</v>
      </c>
      <c r="G76" s="179" t="s">
        <v>120</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0" ht="15" customHeight="1">
      <c r="A77" s="19"/>
      <c r="B77" s="100"/>
      <c r="C77" s="23"/>
      <c r="D77" s="122"/>
      <c r="E77" s="176" t="s">
        <v>322</v>
      </c>
      <c r="F77" s="207">
        <v>120</v>
      </c>
      <c r="G77" s="179" t="s">
        <v>120</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0" ht="15" customHeight="1">
      <c r="A78" s="19"/>
      <c r="B78" s="100"/>
      <c r="C78" s="23"/>
      <c r="D78" s="122"/>
      <c r="E78" s="176" t="s">
        <v>374</v>
      </c>
      <c r="F78" s="55">
        <f>Equations!F58</f>
        <v>6.2399999999999993</v>
      </c>
      <c r="G78" s="179" t="s">
        <v>8</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111"/>
    </row>
    <row r="79" spans="1:40" ht="15" customHeight="1">
      <c r="A79" s="19"/>
      <c r="B79" s="324" t="s">
        <v>135</v>
      </c>
      <c r="C79" s="23"/>
      <c r="D79" s="122"/>
      <c r="E79" s="176" t="s">
        <v>330</v>
      </c>
      <c r="F79" s="55">
        <f>Equations!F59</f>
        <v>2.4166268718907182</v>
      </c>
      <c r="G79" s="17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row>
    <row r="80" spans="1:40" ht="15" customHeight="1">
      <c r="A80" s="19"/>
      <c r="B80" s="100"/>
      <c r="C80" s="23"/>
      <c r="D80" s="122"/>
      <c r="E80" s="176" t="s">
        <v>379</v>
      </c>
      <c r="F80" s="206" t="s">
        <v>198</v>
      </c>
      <c r="G80" s="179"/>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row>
    <row r="81" spans="1:40" ht="15" customHeight="1">
      <c r="A81" s="19"/>
      <c r="B81" s="100"/>
      <c r="C81" s="23"/>
      <c r="D81" s="122"/>
      <c r="E81" s="176" t="s">
        <v>384</v>
      </c>
      <c r="F81" s="55">
        <f>dv_dt_recommendations!J28</f>
        <v>13.447186399678067</v>
      </c>
      <c r="G81" s="179" t="s">
        <v>338</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row>
    <row r="82" spans="1:40" ht="15" customHeight="1">
      <c r="A82" s="19"/>
      <c r="B82" s="100"/>
      <c r="C82" s="23"/>
      <c r="D82" s="122"/>
      <c r="E82" s="176" t="s">
        <v>385</v>
      </c>
      <c r="F82" s="55">
        <f>dv_dt_recommendations!J29</f>
        <v>0.10708559822108767</v>
      </c>
      <c r="G82" s="179" t="s">
        <v>338</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c r="A83" s="19"/>
      <c r="B83" s="100"/>
      <c r="C83" s="23"/>
      <c r="D83" s="122"/>
      <c r="E83" s="34" t="s">
        <v>372</v>
      </c>
      <c r="F83" s="207">
        <v>0.5</v>
      </c>
      <c r="G83" s="179" t="s">
        <v>338</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c r="A84" s="19"/>
      <c r="B84" s="100"/>
      <c r="C84" s="23"/>
      <c r="D84" s="122"/>
      <c r="E84" s="34" t="s">
        <v>361</v>
      </c>
      <c r="F84" s="55">
        <f>Equations!F62</f>
        <v>40</v>
      </c>
      <c r="G84" s="177" t="s">
        <v>120</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c r="A85" s="19"/>
      <c r="B85" s="338" t="s">
        <v>498</v>
      </c>
      <c r="C85" s="339"/>
      <c r="D85" s="122"/>
      <c r="E85" s="34" t="s">
        <v>362</v>
      </c>
      <c r="F85" s="207">
        <v>39</v>
      </c>
      <c r="G85" s="179" t="s">
        <v>120</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5" customHeight="1">
      <c r="A86" s="19"/>
      <c r="B86" s="338"/>
      <c r="C86" s="339"/>
      <c r="D86" s="122"/>
      <c r="E86" s="34" t="s">
        <v>490</v>
      </c>
      <c r="F86" s="55">
        <f>Equations!F64</f>
        <v>0.51282051282051277</v>
      </c>
      <c r="G86" s="179" t="s">
        <v>338</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6.95" customHeight="1">
      <c r="A87" s="19"/>
      <c r="B87" s="338"/>
      <c r="C87" s="339"/>
      <c r="D87" s="122"/>
      <c r="E87" s="34" t="s">
        <v>367</v>
      </c>
      <c r="F87" s="55">
        <f>Equations!F71</f>
        <v>3.9232736800923287</v>
      </c>
      <c r="G87" s="179"/>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6.95" customHeight="1">
      <c r="A88" s="19"/>
      <c r="B88" s="338"/>
      <c r="C88" s="339"/>
      <c r="D88" s="122"/>
      <c r="E88" s="34" t="s">
        <v>364</v>
      </c>
      <c r="F88" s="207">
        <v>0.52</v>
      </c>
      <c r="G88" s="179" t="s">
        <v>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6.95" customHeight="1">
      <c r="A89" s="19"/>
      <c r="B89" s="338"/>
      <c r="C89" s="339"/>
      <c r="D89" s="122"/>
      <c r="E89" s="34" t="s">
        <v>365</v>
      </c>
      <c r="F89" s="55">
        <f>Equations!F76</f>
        <v>10</v>
      </c>
      <c r="G89" s="179" t="s">
        <v>120</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6.95" customHeight="1">
      <c r="A90" s="19"/>
      <c r="B90" s="100"/>
      <c r="C90" s="23"/>
      <c r="D90" s="122"/>
      <c r="E90" s="199" t="s">
        <v>369</v>
      </c>
      <c r="F90" s="207">
        <v>10</v>
      </c>
      <c r="G90" s="179" t="s">
        <v>120</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1"/>
    </row>
    <row r="91" spans="1:40" ht="15" customHeight="1">
      <c r="A91" s="19"/>
      <c r="B91" s="100"/>
      <c r="C91" s="23"/>
      <c r="D91" s="122"/>
      <c r="E91" s="176" t="s">
        <v>371</v>
      </c>
      <c r="F91" s="55">
        <f>Equations!F78</f>
        <v>0.52</v>
      </c>
      <c r="G91" s="179" t="s">
        <v>8</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6" t="s">
        <v>271</v>
      </c>
    </row>
    <row r="92" spans="1:40" ht="15" customHeight="1">
      <c r="A92" s="19"/>
      <c r="B92" s="100"/>
      <c r="C92" s="23"/>
      <c r="D92" s="122"/>
      <c r="E92" s="176" t="s">
        <v>375</v>
      </c>
      <c r="F92" s="55">
        <f>Equations!F80</f>
        <v>2.4166268718907182</v>
      </c>
      <c r="G92" s="180"/>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6"/>
    </row>
    <row r="93" spans="1:40" ht="14.55" customHeight="1">
      <c r="A93" s="19"/>
      <c r="B93" s="100"/>
      <c r="C93" s="23"/>
      <c r="D93" s="122"/>
      <c r="E93" s="175" t="s">
        <v>200</v>
      </c>
      <c r="F93" s="62">
        <f>Equations!F107</f>
        <v>97.5</v>
      </c>
      <c r="G93" s="180" t="s">
        <v>8</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thickBot="1">
      <c r="A94" s="19"/>
      <c r="B94" s="100"/>
      <c r="C94" s="23"/>
      <c r="D94" s="122"/>
      <c r="E94" s="175" t="s">
        <v>91</v>
      </c>
      <c r="F94" s="55">
        <f>Equations!F110</f>
        <v>1144.9599999999998</v>
      </c>
      <c r="G94" s="179" t="s">
        <v>8</v>
      </c>
      <c r="H94" s="13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111"/>
    </row>
    <row r="95" spans="1:40" ht="15" customHeight="1">
      <c r="A95" s="19"/>
      <c r="B95" s="154" t="s">
        <v>214</v>
      </c>
      <c r="C95" s="146"/>
      <c r="D95" s="97"/>
      <c r="E95" s="110" t="s">
        <v>21</v>
      </c>
      <c r="F95" s="209" t="s">
        <v>20</v>
      </c>
      <c r="G95" s="186"/>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132"/>
      <c r="AN95" s="33" t="s">
        <v>19</v>
      </c>
    </row>
    <row r="96" spans="1:40" ht="15" customHeight="1">
      <c r="A96" s="19"/>
      <c r="B96" s="100"/>
      <c r="C96" s="23"/>
      <c r="D96" s="23"/>
      <c r="E96" s="66" t="s">
        <v>92</v>
      </c>
      <c r="F96" s="210">
        <v>38</v>
      </c>
      <c r="G96" s="187" t="s">
        <v>86</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c r="AN96" s="33" t="s">
        <v>20</v>
      </c>
    </row>
    <row r="97" spans="1:40" ht="15" customHeight="1">
      <c r="A97" s="19"/>
      <c r="B97" s="100"/>
      <c r="C97" s="23"/>
      <c r="D97" s="23"/>
      <c r="E97" s="66" t="s">
        <v>93</v>
      </c>
      <c r="F97" s="210">
        <v>35</v>
      </c>
      <c r="G97" s="187" t="s">
        <v>86</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c r="AN97" t="s">
        <v>447</v>
      </c>
    </row>
    <row r="98" spans="1:40" ht="15" customHeight="1">
      <c r="A98" s="19"/>
      <c r="B98" s="100"/>
      <c r="C98" s="23"/>
      <c r="D98" s="23"/>
      <c r="E98" s="66" t="s">
        <v>102</v>
      </c>
      <c r="F98" s="210">
        <v>65</v>
      </c>
      <c r="G98" s="187" t="s">
        <v>86</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c r="AN98" t="s">
        <v>448</v>
      </c>
    </row>
    <row r="99" spans="1:40" ht="15" customHeight="1">
      <c r="A99" s="19"/>
      <c r="B99" s="100"/>
      <c r="C99" s="23"/>
      <c r="D99" s="23"/>
      <c r="E99" s="121" t="s">
        <v>94</v>
      </c>
      <c r="F99" s="210">
        <v>63</v>
      </c>
      <c r="G99" s="187" t="s">
        <v>86</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40" ht="15" customHeight="1">
      <c r="A100" s="19"/>
      <c r="B100" s="100"/>
      <c r="C100" s="23"/>
      <c r="D100" s="23"/>
      <c r="E100" s="120" t="s">
        <v>268</v>
      </c>
      <c r="F100" s="60">
        <f>IF(F95="Option A",Equations!F128,Equations!G128)</f>
        <v>150</v>
      </c>
      <c r="G100" s="188" t="s">
        <v>84</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40" ht="15" customHeight="1">
      <c r="A101" s="19"/>
      <c r="B101" s="100"/>
      <c r="C101" s="23"/>
      <c r="D101" s="23"/>
      <c r="E101" s="119" t="s">
        <v>22</v>
      </c>
      <c r="F101" s="60">
        <f>IF(F95="Option A",Equations!F129,Equations!G129)</f>
        <v>11.43911439114391</v>
      </c>
      <c r="G101" s="188" t="s">
        <v>84</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40" ht="15" customHeight="1">
      <c r="A102" s="19"/>
      <c r="B102" s="325" t="s">
        <v>214</v>
      </c>
      <c r="C102" s="23"/>
      <c r="D102" s="23"/>
      <c r="E102" s="119" t="s">
        <v>23</v>
      </c>
      <c r="F102" s="60">
        <f>IF(F95="Option A",Equations!F130,Equations!G130)</f>
        <v>95.238095238095241</v>
      </c>
      <c r="G102" s="188" t="s">
        <v>84</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40" ht="15" customHeight="1">
      <c r="A103" s="19"/>
      <c r="B103" s="100"/>
      <c r="C103" s="23"/>
      <c r="D103" s="23"/>
      <c r="E103" s="119" t="s">
        <v>24</v>
      </c>
      <c r="F103" s="60">
        <f>IF(F95="Option A",Equations!F131,Equations!G131)</f>
        <v>3.7461738772899631</v>
      </c>
      <c r="G103" s="187" t="s">
        <v>84</v>
      </c>
      <c r="H103" s="23"/>
      <c r="I103" s="23"/>
      <c r="J103" s="114"/>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40" ht="15" customHeight="1">
      <c r="A104" s="19"/>
      <c r="B104" s="100"/>
      <c r="C104" s="23"/>
      <c r="D104" s="23"/>
      <c r="E104" s="66" t="s">
        <v>105</v>
      </c>
      <c r="F104" s="210">
        <v>150</v>
      </c>
      <c r="G104" s="188" t="s">
        <v>84</v>
      </c>
      <c r="H104" s="23"/>
      <c r="I104" s="23"/>
      <c r="J104" s="114"/>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111"/>
    </row>
    <row r="105" spans="1:40" ht="15" customHeight="1">
      <c r="A105" s="19"/>
      <c r="B105" s="100"/>
      <c r="C105" s="23"/>
      <c r="D105" s="23"/>
      <c r="E105" s="66" t="s">
        <v>106</v>
      </c>
      <c r="F105" s="210">
        <v>11.5</v>
      </c>
      <c r="G105" s="188" t="s">
        <v>84</v>
      </c>
      <c r="H105" s="23"/>
      <c r="I105" s="23"/>
      <c r="J105" s="114"/>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111"/>
    </row>
    <row r="106" spans="1:40" ht="15" customHeight="1">
      <c r="A106" s="19"/>
      <c r="B106" s="100"/>
      <c r="C106" s="23"/>
      <c r="D106" s="23"/>
      <c r="E106" s="66" t="s">
        <v>107</v>
      </c>
      <c r="F106" s="210">
        <v>95.3</v>
      </c>
      <c r="G106" s="188" t="s">
        <v>84</v>
      </c>
      <c r="H106" s="23"/>
      <c r="I106" s="23"/>
      <c r="J106" s="114"/>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111"/>
    </row>
    <row r="107" spans="1:40" ht="15" customHeight="1">
      <c r="A107" s="19"/>
      <c r="B107" s="100"/>
      <c r="C107" s="23"/>
      <c r="D107" s="23"/>
      <c r="E107" s="66" t="s">
        <v>108</v>
      </c>
      <c r="F107" s="210">
        <v>3.65</v>
      </c>
      <c r="G107" s="188" t="s">
        <v>84</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111"/>
    </row>
    <row r="108" spans="1:40" ht="15" customHeight="1">
      <c r="A108" s="19"/>
      <c r="B108" s="100"/>
      <c r="C108" s="23"/>
      <c r="D108" s="23"/>
      <c r="E108" s="23"/>
      <c r="F108" s="23"/>
      <c r="G108" s="189"/>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111"/>
    </row>
    <row r="109" spans="1:40" ht="15" customHeight="1" thickBot="1">
      <c r="A109" s="19"/>
      <c r="B109" s="100"/>
      <c r="C109" s="112" t="s">
        <v>54</v>
      </c>
      <c r="D109" s="113" t="s">
        <v>35</v>
      </c>
      <c r="E109" s="113" t="s">
        <v>36</v>
      </c>
      <c r="F109" s="113" t="s">
        <v>37</v>
      </c>
      <c r="G109" s="189"/>
      <c r="H109" s="122"/>
      <c r="I109" s="122"/>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111"/>
    </row>
    <row r="110" spans="1:40" ht="15" customHeight="1">
      <c r="A110" s="19"/>
      <c r="B110" s="100"/>
      <c r="C110" s="37" t="s">
        <v>95</v>
      </c>
      <c r="D110" s="51">
        <f>IF($F$95="Option A",Equations!F132,Equations!G132)</f>
        <v>35.794782608695655</v>
      </c>
      <c r="E110" s="52">
        <f>IF($F$95="Option A",Equations!F133,Equations!G133)</f>
        <v>37.82782608695652</v>
      </c>
      <c r="F110" s="53">
        <f>IF($F$95="Option A",Equations!F134,Equations!G134)</f>
        <v>39.710869565217386</v>
      </c>
      <c r="G110" s="187" t="s">
        <v>86</v>
      </c>
      <c r="H110" s="122"/>
      <c r="I110" s="122"/>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111"/>
    </row>
    <row r="111" spans="1:40" ht="15" customHeight="1">
      <c r="A111" s="19"/>
      <c r="B111" s="100"/>
      <c r="C111" s="37" t="s">
        <v>96</v>
      </c>
      <c r="D111" s="54">
        <f>IF($F$95="Option A",Equations!F135,Equations!G135)</f>
        <v>33.844782608695652</v>
      </c>
      <c r="E111" s="55">
        <f>IF($F$95="Option A",Equations!F136,Equations!G136)</f>
        <v>34.82782608695652</v>
      </c>
      <c r="F111" s="56">
        <f>IF($F$95="Option A",Equations!F137,Equations!G137)</f>
        <v>35.810869565217388</v>
      </c>
      <c r="G111" s="187" t="s">
        <v>86</v>
      </c>
      <c r="H111" s="122"/>
      <c r="I111" s="122"/>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111"/>
    </row>
    <row r="112" spans="1:40" ht="15" customHeight="1">
      <c r="A112" s="19"/>
      <c r="B112" s="100"/>
      <c r="C112" s="37" t="s">
        <v>97</v>
      </c>
      <c r="D112" s="54">
        <f>IF($F$95="Option A",Equations!F138,Equations!G138)</f>
        <v>64.791917808219182</v>
      </c>
      <c r="E112" s="55">
        <f>IF($F$95="Option A",Equations!F139,Equations!G139)</f>
        <v>66.689589041095886</v>
      </c>
      <c r="F112" s="56">
        <f>IF($F$95="Option A",Equations!F140,Equations!G140)</f>
        <v>68.587260273972603</v>
      </c>
      <c r="G112" s="187" t="s">
        <v>86</v>
      </c>
      <c r="H112" s="122"/>
      <c r="I112" s="122"/>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111"/>
    </row>
    <row r="113" spans="1:39" ht="15" customHeight="1" thickBot="1">
      <c r="A113" s="19"/>
      <c r="B113" s="100"/>
      <c r="C113" s="37" t="s">
        <v>98</v>
      </c>
      <c r="D113" s="57">
        <f>IF($F$95="Option A",Equations!F141,Equations!G141)</f>
        <v>62.31411780821918</v>
      </c>
      <c r="E113" s="58">
        <f>IF($F$95="Option A",Equations!F142,Equations!G142)</f>
        <v>64.688289041095885</v>
      </c>
      <c r="F113" s="59">
        <f>IF($F$95="Option A",Equations!F143,Equations!G143)</f>
        <v>67.348360273972588</v>
      </c>
      <c r="G113" s="187" t="s">
        <v>86</v>
      </c>
      <c r="H113" s="122"/>
      <c r="I113" s="122"/>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1"/>
    </row>
    <row r="114" spans="1:39" ht="25.95" customHeight="1">
      <c r="A114" s="19"/>
      <c r="B114" s="100"/>
      <c r="C114" s="336" t="s">
        <v>457</v>
      </c>
      <c r="D114" s="336"/>
      <c r="E114" s="336"/>
      <c r="F114" s="336"/>
      <c r="G114" s="337"/>
      <c r="H114" s="122"/>
      <c r="I114" s="122"/>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1"/>
    </row>
    <row r="115" spans="1:39" ht="15" customHeight="1">
      <c r="A115" s="19"/>
      <c r="B115" s="100"/>
      <c r="C115" s="336"/>
      <c r="D115" s="336"/>
      <c r="E115" s="336"/>
      <c r="F115" s="336"/>
      <c r="G115" s="337"/>
      <c r="H115" s="122"/>
      <c r="I115" s="122"/>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1"/>
    </row>
    <row r="116" spans="1:39" ht="15" customHeight="1">
      <c r="A116" s="19"/>
      <c r="B116" s="100"/>
      <c r="C116" s="336"/>
      <c r="D116" s="336"/>
      <c r="E116" s="336"/>
      <c r="F116" s="336"/>
      <c r="G116" s="337"/>
      <c r="H116" s="122"/>
      <c r="I116" s="122"/>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1"/>
    </row>
    <row r="117" spans="1:39" ht="15" customHeight="1">
      <c r="A117" s="19"/>
      <c r="B117" s="99"/>
      <c r="C117" s="23"/>
      <c r="D117" s="23"/>
      <c r="E117" s="37" t="s">
        <v>114</v>
      </c>
      <c r="F117" s="211">
        <v>10</v>
      </c>
      <c r="G117" s="190" t="s">
        <v>84</v>
      </c>
      <c r="H117" s="23"/>
      <c r="I117" s="9"/>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1"/>
    </row>
    <row r="118" spans="1:39" ht="15" customHeight="1">
      <c r="A118" s="19"/>
      <c r="B118" s="100"/>
      <c r="C118" s="23"/>
      <c r="D118" s="23"/>
      <c r="E118" s="37" t="s">
        <v>115</v>
      </c>
      <c r="F118" s="211">
        <v>38</v>
      </c>
      <c r="G118" s="191" t="s">
        <v>86</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1"/>
    </row>
    <row r="119" spans="1:39" ht="15" customHeight="1">
      <c r="A119" s="19"/>
      <c r="B119" s="100"/>
      <c r="C119" s="23"/>
      <c r="D119" s="23"/>
      <c r="E119" s="37" t="s">
        <v>116</v>
      </c>
      <c r="F119" s="211">
        <v>3</v>
      </c>
      <c r="G119" s="191" t="s">
        <v>86</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1"/>
    </row>
    <row r="120" spans="1:39" ht="15" customHeight="1">
      <c r="A120" s="19"/>
      <c r="B120" s="100"/>
      <c r="C120" s="23"/>
      <c r="D120" s="23"/>
      <c r="E120" s="125" t="s">
        <v>464</v>
      </c>
      <c r="F120" s="63">
        <f>F119/('Device Parameters'!D52/1000)</f>
        <v>150</v>
      </c>
      <c r="G120" s="190" t="s">
        <v>84</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111"/>
    </row>
    <row r="121" spans="1:39" ht="15" customHeight="1">
      <c r="A121" s="19"/>
      <c r="B121" s="100"/>
      <c r="C121" s="23"/>
      <c r="D121" s="23"/>
      <c r="E121" s="125" t="s">
        <v>465</v>
      </c>
      <c r="F121" s="144">
        <f>F120*'Device Parameters'!D51/(F118-'Device Parameters'!D51)</f>
        <v>10.382667416994936</v>
      </c>
      <c r="G121" s="190" t="s">
        <v>84</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111"/>
    </row>
    <row r="122" spans="1:39" ht="15" customHeight="1">
      <c r="A122" s="19"/>
      <c r="B122" s="100"/>
      <c r="C122" s="23"/>
      <c r="D122" s="23"/>
      <c r="E122" s="37" t="s">
        <v>466</v>
      </c>
      <c r="F122" s="211">
        <v>150</v>
      </c>
      <c r="G122" s="190" t="s">
        <v>84</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111"/>
    </row>
    <row r="123" spans="1:39" ht="15" customHeight="1">
      <c r="A123" s="19"/>
      <c r="B123" s="100"/>
      <c r="C123" s="23"/>
      <c r="D123" s="23"/>
      <c r="E123" s="125" t="s">
        <v>465</v>
      </c>
      <c r="F123" s="211">
        <v>10.5</v>
      </c>
      <c r="G123" s="190" t="s">
        <v>84</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111"/>
    </row>
    <row r="124" spans="1:39" ht="15" customHeight="1">
      <c r="A124" s="19"/>
      <c r="B124" s="100"/>
      <c r="C124" s="23"/>
      <c r="D124" s="23"/>
      <c r="E124" s="125" t="s">
        <v>238</v>
      </c>
      <c r="F124" s="144">
        <f>Equations!F113</f>
        <v>37.602857142857147</v>
      </c>
      <c r="G124" s="191" t="s">
        <v>86</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111"/>
    </row>
    <row r="125" spans="1:39" ht="15" customHeight="1" thickBot="1">
      <c r="A125" s="19"/>
      <c r="B125" s="100"/>
      <c r="C125" s="102"/>
      <c r="D125" s="102"/>
      <c r="E125" s="125" t="s">
        <v>239</v>
      </c>
      <c r="F125" s="148">
        <f>Equations!F116/1000</f>
        <v>3</v>
      </c>
      <c r="G125" s="191" t="s">
        <v>86</v>
      </c>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15"/>
    </row>
    <row r="126" spans="1:39" ht="18.75" customHeight="1">
      <c r="A126" s="19"/>
      <c r="B126" s="154" t="s">
        <v>219</v>
      </c>
      <c r="C126" s="97"/>
      <c r="D126" s="97"/>
      <c r="E126" s="134" t="s">
        <v>452</v>
      </c>
      <c r="F126" s="109">
        <f>Rs</f>
        <v>3</v>
      </c>
      <c r="G126" s="192" t="s">
        <v>85</v>
      </c>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132"/>
    </row>
    <row r="127" spans="1:39" ht="15" customHeight="1">
      <c r="A127" s="19"/>
      <c r="B127" s="99"/>
      <c r="C127" s="23"/>
      <c r="D127" s="23"/>
      <c r="E127" s="117" t="s">
        <v>217</v>
      </c>
      <c r="F127" s="118" t="str">
        <f>IF(RsMAX&gt;Rs,"DNP",RDIV1)</f>
        <v>DNP</v>
      </c>
      <c r="G127" s="193" t="s">
        <v>87</v>
      </c>
      <c r="H127" s="23"/>
      <c r="I127" s="23"/>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55"/>
    </row>
    <row r="128" spans="1:39" ht="14.25" customHeight="1" thickBot="1">
      <c r="A128" s="19"/>
      <c r="B128" s="99"/>
      <c r="C128" s="23"/>
      <c r="D128" s="23"/>
      <c r="E128" s="117" t="s">
        <v>218</v>
      </c>
      <c r="F128" s="118" t="str">
        <f>IF(RsMAX&gt;Rs,"0",RDIV2)</f>
        <v>0</v>
      </c>
      <c r="G128" s="193" t="s">
        <v>87</v>
      </c>
      <c r="H128" s="23"/>
      <c r="I128" s="23"/>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55"/>
    </row>
    <row r="129" spans="1:39" ht="15" customHeight="1">
      <c r="A129" s="19"/>
      <c r="B129" s="100"/>
      <c r="C129" s="23"/>
      <c r="D129" s="23"/>
      <c r="E129" s="65" t="s">
        <v>17</v>
      </c>
      <c r="F129" s="45">
        <f>F67</f>
        <v>37.799999999999997</v>
      </c>
      <c r="G129" s="194" t="s">
        <v>84</v>
      </c>
      <c r="H129" s="23"/>
      <c r="I129" s="272"/>
      <c r="J129" s="273"/>
      <c r="K129" s="274" t="s">
        <v>459</v>
      </c>
      <c r="L129" s="275" t="s">
        <v>162</v>
      </c>
      <c r="M129" s="9"/>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8"/>
    </row>
    <row r="130" spans="1:39" ht="15" customHeight="1">
      <c r="A130" s="19"/>
      <c r="B130" s="100"/>
      <c r="C130" s="23"/>
      <c r="D130" s="23"/>
      <c r="E130" s="66" t="s">
        <v>453</v>
      </c>
      <c r="F130" s="55">
        <f>IF(F72="YES", F90, F77)</f>
        <v>120</v>
      </c>
      <c r="G130" s="195" t="s">
        <v>120</v>
      </c>
      <c r="H130" s="23"/>
      <c r="I130" s="276"/>
      <c r="J130" s="269" t="s">
        <v>220</v>
      </c>
      <c r="K130" s="145">
        <f>F47</f>
        <v>16.666666666666668</v>
      </c>
      <c r="L130" s="277" t="s">
        <v>25</v>
      </c>
      <c r="M130" s="9"/>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116"/>
    </row>
    <row r="131" spans="1:39" ht="15" customHeight="1">
      <c r="A131" s="19"/>
      <c r="B131" s="100"/>
      <c r="C131" s="23"/>
      <c r="D131" s="23"/>
      <c r="E131" s="65" t="s">
        <v>11</v>
      </c>
      <c r="F131" s="46">
        <f>F104</f>
        <v>150</v>
      </c>
      <c r="G131" s="194" t="s">
        <v>84</v>
      </c>
      <c r="H131" s="23"/>
      <c r="I131" s="276"/>
      <c r="J131" s="269" t="s">
        <v>172</v>
      </c>
      <c r="K131" s="140">
        <f>F68</f>
        <v>119.99999999999999</v>
      </c>
      <c r="L131" s="277" t="s">
        <v>87</v>
      </c>
      <c r="M131" s="9"/>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116"/>
    </row>
    <row r="132" spans="1:39" ht="15" customHeight="1">
      <c r="A132" s="19"/>
      <c r="B132" s="100"/>
      <c r="C132" s="23"/>
      <c r="D132" s="23"/>
      <c r="E132" s="65" t="s">
        <v>12</v>
      </c>
      <c r="F132" s="46">
        <f>F105</f>
        <v>11.5</v>
      </c>
      <c r="G132" s="194" t="s">
        <v>84</v>
      </c>
      <c r="H132" s="23"/>
      <c r="I132" s="276"/>
      <c r="J132" s="270" t="s">
        <v>230</v>
      </c>
      <c r="K132" s="145">
        <f>F47</f>
        <v>16.666666666666668</v>
      </c>
      <c r="L132" s="277" t="s">
        <v>25</v>
      </c>
      <c r="M132" s="9"/>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116"/>
    </row>
    <row r="133" spans="1:39" ht="15" customHeight="1">
      <c r="A133" s="19"/>
      <c r="B133" s="100"/>
      <c r="C133" s="23"/>
      <c r="D133" s="23"/>
      <c r="E133" s="65" t="s">
        <v>13</v>
      </c>
      <c r="F133" s="46">
        <f>F106</f>
        <v>95.3</v>
      </c>
      <c r="G133" s="194" t="s">
        <v>84</v>
      </c>
      <c r="H133" s="23"/>
      <c r="I133" s="276"/>
      <c r="J133" s="269" t="s">
        <v>221</v>
      </c>
      <c r="K133" s="147">
        <f>IF(F72="YES",Equations!F66,Start_up!M2)</f>
        <v>3.4593562751824662</v>
      </c>
      <c r="L133" s="277" t="s">
        <v>8</v>
      </c>
      <c r="M133" s="9"/>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116"/>
    </row>
    <row r="134" spans="1:39" ht="15" customHeight="1">
      <c r="A134" s="19"/>
      <c r="B134" s="100"/>
      <c r="C134" s="23"/>
      <c r="D134" s="23"/>
      <c r="E134" s="65" t="s">
        <v>14</v>
      </c>
      <c r="F134" s="47">
        <f>IF(F95="Option A","N/A",F107)</f>
        <v>3.65</v>
      </c>
      <c r="G134" s="194" t="s">
        <v>84</v>
      </c>
      <c r="H134" s="23"/>
      <c r="I134" s="276"/>
      <c r="J134" s="269" t="s">
        <v>222</v>
      </c>
      <c r="K134" s="145">
        <f>TINSERT</f>
        <v>97.5</v>
      </c>
      <c r="L134" s="277" t="s">
        <v>8</v>
      </c>
      <c r="M134" s="9"/>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116"/>
    </row>
    <row r="135" spans="1:39" ht="15" customHeight="1">
      <c r="A135" s="19"/>
      <c r="B135" s="100"/>
      <c r="C135" s="23"/>
      <c r="D135" s="23"/>
      <c r="E135" s="66" t="s">
        <v>454</v>
      </c>
      <c r="F135" s="48">
        <f>F122</f>
        <v>150</v>
      </c>
      <c r="G135" s="194" t="s">
        <v>84</v>
      </c>
      <c r="H135" s="23"/>
      <c r="I135" s="276"/>
      <c r="J135" s="269" t="s">
        <v>223</v>
      </c>
      <c r="K135" s="147">
        <f>IF(F72="YES", F91,F78)</f>
        <v>6.2399999999999993</v>
      </c>
      <c r="L135" s="277" t="s">
        <v>8</v>
      </c>
      <c r="M135" s="9"/>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116"/>
    </row>
    <row r="136" spans="1:39" ht="15" customHeight="1">
      <c r="A136" s="19"/>
      <c r="B136" s="100"/>
      <c r="C136" s="23"/>
      <c r="D136" s="23"/>
      <c r="E136" s="66" t="s">
        <v>455</v>
      </c>
      <c r="F136" s="48">
        <f>F123</f>
        <v>10.5</v>
      </c>
      <c r="G136" s="194" t="s">
        <v>84</v>
      </c>
      <c r="H136" s="23"/>
      <c r="I136" s="276"/>
      <c r="J136" s="269" t="s">
        <v>224</v>
      </c>
      <c r="K136" s="141">
        <f>F94</f>
        <v>1144.9599999999998</v>
      </c>
      <c r="L136" s="277" t="s">
        <v>8</v>
      </c>
      <c r="M136" s="9"/>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116"/>
    </row>
    <row r="137" spans="1:39" ht="15" customHeight="1">
      <c r="A137" s="19"/>
      <c r="B137" s="100"/>
      <c r="C137" s="23"/>
      <c r="D137" s="23"/>
      <c r="E137" s="66" t="s">
        <v>456</v>
      </c>
      <c r="F137" s="50" t="str">
        <f>IF(F72="YES", F85, "DNP")</f>
        <v>DNP</v>
      </c>
      <c r="G137" s="195" t="s">
        <v>120</v>
      </c>
      <c r="H137" s="23"/>
      <c r="I137" s="276"/>
      <c r="J137" s="271" t="s">
        <v>225</v>
      </c>
      <c r="K137" s="141">
        <f>E110</f>
        <v>37.82782608695652</v>
      </c>
      <c r="L137" s="277" t="s">
        <v>86</v>
      </c>
      <c r="M137" s="9"/>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116"/>
    </row>
    <row r="138" spans="1:39" ht="15" customHeight="1">
      <c r="A138" s="19"/>
      <c r="B138" s="100"/>
      <c r="C138" s="23"/>
      <c r="D138" s="23"/>
      <c r="E138" s="65" t="s">
        <v>55</v>
      </c>
      <c r="F138" s="49">
        <v>0.01</v>
      </c>
      <c r="G138" s="194" t="s">
        <v>83</v>
      </c>
      <c r="H138" s="23"/>
      <c r="I138" s="276"/>
      <c r="J138" s="271" t="s">
        <v>227</v>
      </c>
      <c r="K138" s="141">
        <f>E111</f>
        <v>34.82782608695652</v>
      </c>
      <c r="L138" s="277" t="s">
        <v>86</v>
      </c>
      <c r="M138" s="9"/>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116"/>
    </row>
    <row r="139" spans="1:39" ht="15" customHeight="1">
      <c r="A139" s="19"/>
      <c r="B139" s="100"/>
      <c r="C139" s="23"/>
      <c r="D139" s="23"/>
      <c r="E139" s="66" t="s">
        <v>215</v>
      </c>
      <c r="F139" s="50">
        <v>1</v>
      </c>
      <c r="G139" s="194" t="s">
        <v>83</v>
      </c>
      <c r="H139" s="23"/>
      <c r="I139" s="276"/>
      <c r="J139" s="271" t="s">
        <v>228</v>
      </c>
      <c r="K139" s="141">
        <f>E112</f>
        <v>66.689589041095886</v>
      </c>
      <c r="L139" s="277" t="s">
        <v>86</v>
      </c>
      <c r="M139" s="9"/>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116"/>
    </row>
    <row r="140" spans="1:39" ht="15" customHeight="1">
      <c r="A140" s="19"/>
      <c r="B140" s="100"/>
      <c r="C140" s="23"/>
      <c r="D140" s="23"/>
      <c r="E140" s="66" t="s">
        <v>216</v>
      </c>
      <c r="F140" s="50">
        <v>1</v>
      </c>
      <c r="G140" s="194" t="s">
        <v>83</v>
      </c>
      <c r="H140" s="23"/>
      <c r="I140" s="276"/>
      <c r="J140" s="271" t="s">
        <v>226</v>
      </c>
      <c r="K140" s="141">
        <f>E113</f>
        <v>64.688289041095885</v>
      </c>
      <c r="L140" s="277" t="s">
        <v>86</v>
      </c>
      <c r="M140" s="9"/>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116"/>
    </row>
    <row r="141" spans="1:39" ht="15" customHeight="1">
      <c r="A141" s="19"/>
      <c r="B141" s="100"/>
      <c r="C141" s="23"/>
      <c r="D141" s="23"/>
      <c r="E141" s="66" t="s">
        <v>237</v>
      </c>
      <c r="F141" s="46" t="str">
        <f>IF(F37="26 mV","VDD","GND")</f>
        <v>GND</v>
      </c>
      <c r="G141" s="195"/>
      <c r="H141" s="23"/>
      <c r="I141" s="276"/>
      <c r="J141" s="271" t="s">
        <v>231</v>
      </c>
      <c r="K141" s="21">
        <f>Equations!F113</f>
        <v>37.602857142857147</v>
      </c>
      <c r="L141" s="277" t="s">
        <v>86</v>
      </c>
      <c r="M141" s="9"/>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116"/>
    </row>
    <row r="142" spans="1:39" ht="15" customHeight="1" thickBot="1">
      <c r="A142" s="19"/>
      <c r="B142" s="100"/>
      <c r="C142" s="23"/>
      <c r="D142" s="23"/>
      <c r="E142" s="66" t="s">
        <v>236</v>
      </c>
      <c r="F142" s="50" t="str">
        <f>IF(F51="1.9 x Current Limit","VDD","GND")</f>
        <v>VDD</v>
      </c>
      <c r="G142" s="195"/>
      <c r="H142" s="23"/>
      <c r="I142" s="278"/>
      <c r="J142" s="279" t="s">
        <v>229</v>
      </c>
      <c r="K142" s="139">
        <f>Equations!F116/1000</f>
        <v>3</v>
      </c>
      <c r="L142" s="280" t="s">
        <v>86</v>
      </c>
      <c r="M142" s="9"/>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116"/>
    </row>
    <row r="143" spans="1:39" ht="15" customHeight="1">
      <c r="A143" s="19"/>
      <c r="B143" s="100"/>
      <c r="C143" s="23"/>
      <c r="D143" s="23"/>
      <c r="E143" s="66" t="s">
        <v>240</v>
      </c>
      <c r="F143" s="130" t="str">
        <f>IF(F50="Retry","GND","VDD")</f>
        <v>GND</v>
      </c>
      <c r="G143" s="195"/>
      <c r="H143" s="23"/>
      <c r="I143" s="13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138"/>
    </row>
    <row r="144" spans="1:39" ht="15" customHeight="1">
      <c r="A144" s="19"/>
      <c r="B144" s="100"/>
      <c r="C144" s="23"/>
      <c r="D144" s="23"/>
      <c r="E144" s="66" t="s">
        <v>493</v>
      </c>
      <c r="F144" s="130" t="s">
        <v>494</v>
      </c>
      <c r="G144" s="21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116"/>
    </row>
    <row r="145" spans="1:41" ht="15" customHeight="1">
      <c r="A145" s="19"/>
      <c r="B145" s="100"/>
      <c r="C145" s="23"/>
      <c r="D145" s="23"/>
      <c r="E145" s="66" t="s">
        <v>462</v>
      </c>
      <c r="F145" s="130" t="str">
        <f>IF(F72="YES","1N4148W-7-F","DNP")</f>
        <v>DNP</v>
      </c>
      <c r="G145" s="2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116"/>
      <c r="AN145" s="33"/>
    </row>
    <row r="146" spans="1:41" ht="15" customHeight="1">
      <c r="A146" s="19"/>
      <c r="B146" s="100"/>
      <c r="C146" s="23"/>
      <c r="D146" s="23"/>
      <c r="E146" s="66" t="s">
        <v>499</v>
      </c>
      <c r="F146" s="130" t="str">
        <f>F52</f>
        <v>PSMN4R8-100BSE</v>
      </c>
      <c r="G146" s="21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116"/>
      <c r="AN146" s="33"/>
    </row>
    <row r="147" spans="1:41" ht="15" customHeight="1">
      <c r="A147" s="19"/>
      <c r="B147" s="100"/>
      <c r="C147" s="23"/>
      <c r="D147" s="23"/>
      <c r="E147" s="66" t="s">
        <v>500</v>
      </c>
      <c r="F147" s="130" t="s">
        <v>501</v>
      </c>
      <c r="G147" s="21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116"/>
      <c r="AN147" s="33"/>
    </row>
    <row r="148" spans="1:41" ht="15" customHeight="1">
      <c r="A148" s="19"/>
      <c r="B148" s="100"/>
      <c r="C148" s="23"/>
      <c r="D148" s="23"/>
      <c r="E148" s="66" t="s">
        <v>463</v>
      </c>
      <c r="F148" s="130" t="str">
        <f>IF(F72="YES","MMBT5401LT1G","DNP")</f>
        <v>DNP</v>
      </c>
      <c r="G148" s="21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116"/>
      <c r="AN148" s="268"/>
    </row>
    <row r="149" spans="1:41" ht="15" customHeight="1">
      <c r="A149" s="19"/>
      <c r="B149" s="100"/>
      <c r="C149" s="23"/>
      <c r="D149" s="23"/>
      <c r="E149" s="66" t="s">
        <v>492</v>
      </c>
      <c r="F149" s="130" t="s">
        <v>503</v>
      </c>
      <c r="G149" s="21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116"/>
      <c r="AN149" s="268"/>
    </row>
    <row r="150" spans="1:41" ht="15" customHeight="1">
      <c r="A150" s="19"/>
      <c r="B150" s="100"/>
      <c r="C150" s="23"/>
      <c r="D150" s="23"/>
      <c r="E150" s="66"/>
      <c r="F150" s="149"/>
      <c r="G150" s="21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116"/>
      <c r="AN150" s="268"/>
    </row>
    <row r="151" spans="1:41" ht="15.6">
      <c r="A151" s="19"/>
      <c r="B151" s="267" t="s">
        <v>18</v>
      </c>
      <c r="C151" s="35" t="s">
        <v>90</v>
      </c>
      <c r="D151" s="22"/>
      <c r="E151" s="35"/>
      <c r="F151" s="135"/>
      <c r="G151" s="196"/>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111"/>
      <c r="AN151" s="33"/>
    </row>
    <row r="152" spans="1:41">
      <c r="A152" s="19"/>
      <c r="B152" s="100"/>
      <c r="C152" s="35" t="s">
        <v>110</v>
      </c>
      <c r="D152" s="23"/>
      <c r="E152" s="35"/>
      <c r="F152" s="23"/>
      <c r="G152" s="196"/>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111"/>
    </row>
    <row r="153" spans="1:41">
      <c r="A153" s="19"/>
      <c r="B153" s="100"/>
      <c r="C153" s="35" t="s">
        <v>267</v>
      </c>
      <c r="D153" s="23"/>
      <c r="E153" s="35"/>
      <c r="F153" s="23"/>
      <c r="G153" s="196"/>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111"/>
    </row>
    <row r="154" spans="1:41" ht="13.8" thickBot="1">
      <c r="A154" s="19"/>
      <c r="B154" s="101"/>
      <c r="C154" s="102"/>
      <c r="D154" s="102"/>
      <c r="E154" s="136"/>
      <c r="F154" s="102"/>
      <c r="G154" s="197"/>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15"/>
    </row>
    <row r="155" spans="1:41">
      <c r="A155" s="19"/>
      <c r="B155" s="19"/>
      <c r="C155" s="19"/>
      <c r="D155" s="19"/>
      <c r="E155" s="19"/>
      <c r="F155" s="32"/>
      <c r="G155" s="20"/>
      <c r="H155" s="19"/>
      <c r="I155" s="19"/>
      <c r="J155" s="19"/>
      <c r="K155" s="19"/>
      <c r="L155" s="19"/>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9"/>
    </row>
    <row r="156" spans="1:41" ht="13.8">
      <c r="A156" s="19"/>
      <c r="B156" s="43"/>
      <c r="C156" s="19"/>
      <c r="D156" s="19"/>
      <c r="E156" s="19"/>
      <c r="F156" s="36"/>
      <c r="G156" s="198"/>
      <c r="H156" s="19"/>
      <c r="J156" s="19"/>
      <c r="K156" s="19"/>
      <c r="L156" s="19"/>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9"/>
      <c r="AO156" s="9"/>
    </row>
    <row r="157" spans="1:41">
      <c r="A157" s="19"/>
      <c r="B157" s="19"/>
      <c r="C157" s="19"/>
      <c r="D157" s="19"/>
      <c r="E157" s="19"/>
      <c r="F157" s="36"/>
      <c r="G157" s="198"/>
      <c r="H157" s="19"/>
      <c r="I157" s="19"/>
      <c r="J157" s="19"/>
      <c r="K157" s="19"/>
      <c r="L157" s="19"/>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9"/>
      <c r="AO157" s="9"/>
    </row>
    <row r="158" spans="1:41">
      <c r="A158" s="19"/>
      <c r="B158" s="19"/>
      <c r="C158" s="19"/>
      <c r="D158" s="19"/>
      <c r="E158" s="19"/>
      <c r="F158" s="36"/>
      <c r="G158" s="198"/>
      <c r="H158" s="19"/>
      <c r="I158" s="19"/>
      <c r="J158" s="19"/>
      <c r="K158" s="19"/>
      <c r="L158" s="19"/>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9"/>
      <c r="AO158" s="9"/>
    </row>
    <row r="159" spans="1:41">
      <c r="A159" s="19"/>
      <c r="B159" s="19"/>
      <c r="C159" s="19"/>
      <c r="D159" s="19"/>
      <c r="E159" s="19"/>
      <c r="F159" s="36"/>
      <c r="G159" s="198"/>
      <c r="H159" s="19"/>
      <c r="I159" s="19"/>
      <c r="J159" s="19"/>
      <c r="K159" s="19"/>
      <c r="L159" s="19"/>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9"/>
      <c r="AO159" s="9"/>
    </row>
    <row r="160" spans="1:41">
      <c r="A160" s="19"/>
      <c r="B160" s="19"/>
      <c r="C160" s="19"/>
      <c r="D160" s="19"/>
      <c r="E160" s="19"/>
      <c r="F160" s="36"/>
      <c r="G160" s="198"/>
      <c r="H160" s="19"/>
      <c r="I160" s="19"/>
      <c r="J160" s="19"/>
      <c r="K160" s="19"/>
      <c r="L160" s="19"/>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9"/>
      <c r="AO160" s="9"/>
    </row>
    <row r="161" spans="1:41">
      <c r="A161" s="19"/>
      <c r="B161" s="19"/>
      <c r="C161" s="19"/>
      <c r="D161" s="19"/>
      <c r="E161" s="19"/>
      <c r="F161" s="36"/>
      <c r="G161" s="198"/>
      <c r="H161" s="36"/>
      <c r="I161" s="36"/>
      <c r="J161" s="36"/>
      <c r="K161" s="19"/>
      <c r="L161" s="19"/>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9"/>
      <c r="AO161" s="9"/>
    </row>
    <row r="162" spans="1:41">
      <c r="A162" s="19"/>
      <c r="B162" s="19"/>
      <c r="C162" s="19"/>
      <c r="D162" s="19"/>
      <c r="E162" s="19"/>
      <c r="F162" s="36"/>
      <c r="G162" s="198"/>
      <c r="H162" s="36"/>
      <c r="I162" s="36"/>
      <c r="J162" s="36"/>
      <c r="K162" s="19"/>
      <c r="L162" s="19"/>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9"/>
      <c r="AO162" s="9"/>
    </row>
    <row r="163" spans="1:41">
      <c r="A163" s="19"/>
      <c r="B163" s="19"/>
      <c r="C163" s="19"/>
      <c r="D163" s="19"/>
      <c r="E163" s="19"/>
      <c r="F163" s="36"/>
      <c r="G163" s="198"/>
      <c r="H163" s="19"/>
      <c r="I163" s="19"/>
      <c r="J163" s="19"/>
      <c r="K163" s="19"/>
      <c r="L163" s="19"/>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9"/>
      <c r="AO163" s="9"/>
    </row>
    <row r="164" spans="1:41">
      <c r="A164" s="19"/>
      <c r="B164" s="19"/>
      <c r="C164" s="19"/>
      <c r="D164" s="19"/>
      <c r="E164" s="19"/>
      <c r="F164" s="19"/>
      <c r="G164" s="20"/>
      <c r="H164" s="19"/>
      <c r="I164" s="19"/>
      <c r="J164" s="19"/>
      <c r="K164" s="19"/>
      <c r="L164" s="19"/>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9"/>
      <c r="AO164" s="9"/>
    </row>
    <row r="165" spans="1:41">
      <c r="A165" s="19"/>
      <c r="B165" s="19"/>
      <c r="C165" s="19"/>
      <c r="D165" s="19"/>
      <c r="E165" s="19"/>
      <c r="F165" s="36"/>
      <c r="G165" s="198"/>
      <c r="H165" s="36"/>
      <c r="I165" s="36"/>
      <c r="J165" s="36"/>
      <c r="K165" s="36"/>
      <c r="L165" s="36"/>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9"/>
    </row>
    <row r="166" spans="1:41">
      <c r="A166" s="19"/>
      <c r="B166" s="19"/>
      <c r="C166" s="19"/>
      <c r="D166" s="19"/>
      <c r="E166" s="19"/>
      <c r="F166" s="36"/>
      <c r="G166" s="198"/>
      <c r="H166" s="36"/>
      <c r="I166" s="36"/>
      <c r="J166" s="36"/>
      <c r="K166" s="36"/>
      <c r="L166" s="36"/>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9"/>
    </row>
    <row r="167" spans="1:41">
      <c r="A167" s="19"/>
      <c r="B167" s="19"/>
      <c r="C167" s="19"/>
      <c r="D167" s="19"/>
      <c r="E167" s="19"/>
      <c r="F167" s="36"/>
      <c r="G167" s="198"/>
      <c r="H167" s="36"/>
      <c r="I167" s="36"/>
      <c r="J167" s="36"/>
      <c r="K167" s="36"/>
      <c r="L167" s="36"/>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41">
      <c r="A168" s="19"/>
      <c r="B168" s="19"/>
      <c r="C168" s="19"/>
      <c r="D168" s="19"/>
      <c r="E168" s="19"/>
      <c r="F168" s="36"/>
      <c r="G168" s="198"/>
      <c r="H168" s="36"/>
      <c r="I168" s="36"/>
      <c r="J168" s="36"/>
      <c r="K168" s="36"/>
      <c r="L168" s="36"/>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41">
      <c r="A169" s="19"/>
      <c r="B169" s="19"/>
      <c r="C169" s="19"/>
      <c r="D169" s="19"/>
      <c r="E169" s="19"/>
      <c r="F169" s="36"/>
      <c r="G169" s="198"/>
      <c r="H169" s="36"/>
      <c r="I169" s="36"/>
      <c r="J169" s="36"/>
      <c r="K169" s="36"/>
      <c r="L169" s="36"/>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41">
      <c r="A170" s="19"/>
      <c r="B170" s="19"/>
      <c r="C170" s="19"/>
      <c r="D170" s="19"/>
      <c r="E170" s="19"/>
      <c r="F170" s="36"/>
      <c r="G170" s="198"/>
      <c r="H170" s="36"/>
      <c r="I170" s="36"/>
      <c r="J170" s="36"/>
      <c r="K170" s="36"/>
      <c r="L170" s="36"/>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41">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41">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41">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41">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41">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41">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ht="13.8">
      <c r="A182" s="19"/>
      <c r="B182" s="44"/>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c r="A187" s="19"/>
      <c r="B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row r="215" spans="1:39">
      <c r="A215" s="19"/>
      <c r="B215" s="19"/>
      <c r="C215" s="19"/>
      <c r="D215" s="19"/>
      <c r="E215" s="19"/>
      <c r="F215" s="19"/>
      <c r="G215" s="20"/>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row>
    <row r="216" spans="1:39">
      <c r="A216" s="19"/>
      <c r="B216" s="19"/>
      <c r="C216" s="19"/>
      <c r="D216" s="19"/>
      <c r="E216" s="19"/>
      <c r="F216" s="19"/>
      <c r="G216" s="20"/>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row>
    <row r="217" spans="1:39">
      <c r="A217" s="19"/>
      <c r="B217" s="19"/>
      <c r="C217" s="19"/>
      <c r="D217" s="19"/>
      <c r="E217" s="19"/>
      <c r="F217" s="19"/>
      <c r="G217" s="20"/>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row>
    <row r="218" spans="1:39">
      <c r="A218" s="19"/>
      <c r="B218" s="19"/>
      <c r="C218" s="19"/>
      <c r="D218" s="19"/>
      <c r="E218" s="19"/>
      <c r="F218" s="19"/>
      <c r="G218" s="20"/>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row>
    <row r="219" spans="1:39">
      <c r="A219" s="19"/>
      <c r="B219" s="19"/>
      <c r="C219" s="19"/>
      <c r="D219" s="19"/>
      <c r="E219" s="19"/>
      <c r="F219" s="19"/>
      <c r="G219" s="20"/>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row>
    <row r="220" spans="1:39">
      <c r="A220" s="19"/>
      <c r="B220" s="19"/>
      <c r="C220" s="19"/>
      <c r="D220" s="19"/>
      <c r="E220" s="19"/>
      <c r="F220" s="19"/>
      <c r="G220" s="20"/>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row>
    <row r="221" spans="1:39">
      <c r="A221" s="19"/>
      <c r="B221" s="19"/>
      <c r="C221" s="19"/>
      <c r="D221" s="19"/>
      <c r="E221" s="19"/>
      <c r="F221" s="19"/>
      <c r="G221" s="20"/>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row>
    <row r="222" spans="1:39">
      <c r="A222" s="19"/>
      <c r="B222" s="19"/>
      <c r="C222" s="19"/>
      <c r="D222" s="19"/>
      <c r="E222" s="19"/>
      <c r="F222" s="19"/>
      <c r="G222" s="20"/>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row>
    <row r="223" spans="1:39">
      <c r="A223" s="19"/>
      <c r="B223" s="19"/>
      <c r="C223" s="19"/>
      <c r="D223" s="19"/>
      <c r="E223" s="19"/>
      <c r="F223" s="19"/>
      <c r="G223" s="20"/>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row>
    <row r="224" spans="1:39">
      <c r="A224" s="19"/>
      <c r="B224" s="19"/>
      <c r="C224" s="19"/>
      <c r="D224" s="19"/>
      <c r="E224" s="19"/>
      <c r="F224" s="19"/>
      <c r="G224" s="20"/>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row>
    <row r="225" spans="1:39">
      <c r="A225" s="19"/>
      <c r="B225" s="19"/>
      <c r="C225" s="19"/>
      <c r="D225" s="19"/>
      <c r="E225" s="19"/>
      <c r="F225" s="19"/>
      <c r="G225" s="20"/>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row>
    <row r="226" spans="1:39">
      <c r="A226" s="19"/>
      <c r="B226" s="19"/>
      <c r="C226" s="19"/>
      <c r="D226" s="19"/>
      <c r="E226" s="19"/>
      <c r="F226" s="19"/>
      <c r="G226" s="20"/>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row>
  </sheetData>
  <sheetProtection selectLockedCells="1"/>
  <dataConsolidate/>
  <mergeCells count="19">
    <mergeCell ref="AS58:AS64"/>
    <mergeCell ref="B62:B68"/>
    <mergeCell ref="L2:M2"/>
    <mergeCell ref="A1:M1"/>
    <mergeCell ref="D11:E12"/>
    <mergeCell ref="C114:G116"/>
    <mergeCell ref="B85:C89"/>
    <mergeCell ref="B16:B19"/>
    <mergeCell ref="D14:G15"/>
    <mergeCell ref="D22:F22"/>
    <mergeCell ref="D24:F25"/>
    <mergeCell ref="D16:I16"/>
    <mergeCell ref="D17:I17"/>
    <mergeCell ref="D18:I18"/>
    <mergeCell ref="D19:I19"/>
    <mergeCell ref="D23:F23"/>
    <mergeCell ref="B34:B35"/>
    <mergeCell ref="I68:M68"/>
    <mergeCell ref="B45:B47"/>
  </mergeCells>
  <phoneticPr fontId="5" type="noConversion"/>
  <conditionalFormatting sqref="F97">
    <cfRule type="cellIs" dxfId="37" priority="68" stopIfTrue="1" operator="greaterThanOrEqual">
      <formula>F96</formula>
    </cfRule>
  </conditionalFormatting>
  <conditionalFormatting sqref="G99">
    <cfRule type="expression" dxfId="36" priority="70" stopIfTrue="1">
      <formula>F95="Option A"</formula>
    </cfRule>
  </conditionalFormatting>
  <conditionalFormatting sqref="E99">
    <cfRule type="expression" dxfId="35" priority="71" stopIfTrue="1">
      <formula>F95="Option A"</formula>
    </cfRule>
  </conditionalFormatting>
  <conditionalFormatting sqref="F103">
    <cfRule type="expression" dxfId="34" priority="72" stopIfTrue="1">
      <formula>F95="Option A"</formula>
    </cfRule>
  </conditionalFormatting>
  <conditionalFormatting sqref="E103">
    <cfRule type="expression" dxfId="33" priority="74" stopIfTrue="1">
      <formula>F95="Option A"</formula>
    </cfRule>
  </conditionalFormatting>
  <conditionalFormatting sqref="F40">
    <cfRule type="cellIs" dxfId="32" priority="75" stopIfTrue="1" operator="greaterThan">
      <formula>200</formula>
    </cfRule>
  </conditionalFormatting>
  <conditionalFormatting sqref="D110:F113">
    <cfRule type="cellIs" dxfId="31" priority="77" stopIfTrue="1" operator="notBetween">
      <formula>10</formula>
      <formula>80</formula>
    </cfRule>
  </conditionalFormatting>
  <conditionalFormatting sqref="G103">
    <cfRule type="expression" dxfId="30" priority="65">
      <formula>F95="Option A"</formula>
    </cfRule>
  </conditionalFormatting>
  <conditionalFormatting sqref="G107">
    <cfRule type="expression" dxfId="29" priority="64">
      <formula>F95="Option A"</formula>
    </cfRule>
  </conditionalFormatting>
  <conditionalFormatting sqref="E107">
    <cfRule type="expression" dxfId="28" priority="62">
      <formula>F95="Option A"</formula>
    </cfRule>
  </conditionalFormatting>
  <conditionalFormatting sqref="F63">
    <cfRule type="colorScale" priority="39">
      <colorScale>
        <cfvo type="min"/>
        <cfvo type="formula" val="$AN$56*0.8"/>
        <cfvo type="num" val="$AN$56"/>
        <color theme="0"/>
        <color rgb="FFFFC000"/>
        <color rgb="FFFF0000"/>
      </colorScale>
    </cfRule>
  </conditionalFormatting>
  <conditionalFormatting sqref="F41:F42">
    <cfRule type="cellIs" dxfId="27" priority="36" operator="equal">
      <formula>"NA"</formula>
    </cfRule>
    <cfRule type="cellIs" dxfId="26" priority="42" operator="equal">
      <formula>"""NA"""</formula>
    </cfRule>
  </conditionalFormatting>
  <conditionalFormatting sqref="F74">
    <cfRule type="cellIs" dxfId="25" priority="81" operator="lessThan">
      <formula>0.25</formula>
    </cfRule>
  </conditionalFormatting>
  <conditionalFormatting sqref="F77">
    <cfRule type="cellIs" dxfId="24" priority="32" operator="lessThan">
      <formula>$F$76</formula>
    </cfRule>
  </conditionalFormatting>
  <conditionalFormatting sqref="F79">
    <cfRule type="cellIs" dxfId="23" priority="29" operator="lessThan">
      <formula>1.1</formula>
    </cfRule>
    <cfRule type="cellIs" dxfId="22" priority="30" operator="between">
      <formula>1.1</formula>
      <formula>1.3</formula>
    </cfRule>
  </conditionalFormatting>
  <conditionalFormatting sqref="E72:F72">
    <cfRule type="expression" dxfId="21" priority="79">
      <formula>#REF!="Yes"</formula>
    </cfRule>
  </conditionalFormatting>
  <conditionalFormatting sqref="G83 G85:G90">
    <cfRule type="expression" dxfId="20" priority="27">
      <formula>#REF!="Yes"</formula>
    </cfRule>
  </conditionalFormatting>
  <conditionalFormatting sqref="E73:G79">
    <cfRule type="expression" dxfId="19" priority="25" stopIfTrue="1">
      <formula>$F$72="Yes"</formula>
    </cfRule>
  </conditionalFormatting>
  <conditionalFormatting sqref="D81:G92 E80:G80 B85">
    <cfRule type="expression" dxfId="18" priority="11" stopIfTrue="1">
      <formula>$F$72="NO"</formula>
    </cfRule>
  </conditionalFormatting>
  <conditionalFormatting sqref="F83 F86">
    <cfRule type="cellIs" dxfId="17" priority="20" operator="greaterThanOrEqual">
      <formula>$F$81</formula>
    </cfRule>
  </conditionalFormatting>
  <conditionalFormatting sqref="F87 F92">
    <cfRule type="cellIs" dxfId="16" priority="22" operator="lessThan">
      <formula>1.1</formula>
    </cfRule>
  </conditionalFormatting>
  <conditionalFormatting sqref="F68">
    <cfRule type="cellIs" dxfId="15" priority="18" operator="lessThan">
      <formula>$F$64</formula>
    </cfRule>
  </conditionalFormatting>
  <conditionalFormatting sqref="F80">
    <cfRule type="expression" dxfId="14" priority="17">
      <formula>#REF!="Yes"</formula>
    </cfRule>
  </conditionalFormatting>
  <conditionalFormatting sqref="E41:G45">
    <cfRule type="expression" dxfId="13" priority="14" stopIfTrue="1">
      <formula>IF($F$39="No", "TRUE", "FALSE")</formula>
    </cfRule>
  </conditionalFormatting>
  <conditionalFormatting sqref="F46:F48">
    <cfRule type="cellIs" dxfId="12" priority="13" operator="lessThan">
      <formula>$F$30</formula>
    </cfRule>
  </conditionalFormatting>
  <conditionalFormatting sqref="F81:F82">
    <cfRule type="containsText" dxfId="11" priority="12" operator="containsText" text="NA">
      <formula>NOT(ISERROR(SEARCH("NA",F81)))</formula>
    </cfRule>
  </conditionalFormatting>
  <conditionalFormatting sqref="F87">
    <cfRule type="cellIs" dxfId="10" priority="21" operator="between">
      <formula>1.1</formula>
      <formula>1.299999</formula>
    </cfRule>
  </conditionalFormatting>
  <conditionalFormatting sqref="F92">
    <cfRule type="cellIs" dxfId="9" priority="19" operator="between">
      <formula>1.1</formula>
      <formula>1.299999</formula>
    </cfRule>
  </conditionalFormatting>
  <conditionalFormatting sqref="F99">
    <cfRule type="cellIs" dxfId="8" priority="10" stopIfTrue="1" operator="greaterThanOrEqual">
      <formula>F98</formula>
    </cfRule>
  </conditionalFormatting>
  <conditionalFormatting sqref="B27:AO61 B69:AO154 C62:AO67 C68:I68 N68:AO68">
    <cfRule type="expression" dxfId="7" priority="8">
      <formula>$G$23="No"</formula>
    </cfRule>
    <cfRule type="expression" dxfId="6" priority="9">
      <formula>$G$22="No"</formula>
    </cfRule>
  </conditionalFormatting>
  <conditionalFormatting sqref="G22">
    <cfRule type="expression" priority="7">
      <formula>$G$22</formula>
    </cfRule>
  </conditionalFormatting>
  <conditionalFormatting sqref="D22">
    <cfRule type="expression" dxfId="5" priority="6">
      <formula>$G$22="Yes"</formula>
    </cfRule>
  </conditionalFormatting>
  <conditionalFormatting sqref="D23">
    <cfRule type="expression" dxfId="4" priority="5">
      <formula>$G$23="Yes"</formula>
    </cfRule>
  </conditionalFormatting>
  <conditionalFormatting sqref="AS58:AS64">
    <cfRule type="expression" dxfId="3" priority="3">
      <formula>$G$23="No"</formula>
    </cfRule>
    <cfRule type="expression" dxfId="2" priority="4">
      <formula>$G$22="No"</formula>
    </cfRule>
  </conditionalFormatting>
  <conditionalFormatting sqref="B62:B68">
    <cfRule type="expression" dxfId="1" priority="1">
      <formula>$G$23="No"</formula>
    </cfRule>
    <cfRule type="expression" dxfId="0" priority="2">
      <formula>$G$22="No"</formula>
    </cfRule>
  </conditionalFormatting>
  <dataValidations xWindow="820" yWindow="376" count="19">
    <dataValidation type="decimal" allowBlank="1" showInputMessage="1" showErrorMessage="1" errorTitle="Lower UVLO Violation" error="The lower UVLO threshold MUST be at least 2.65V, and  less than the upper UVLO threshold. They cannot be equal." sqref="F97" xr:uid="{00000000-0002-0000-0100-000000000000}">
      <formula1>2.65</formula1>
      <formula2>F96</formula2>
    </dataValidation>
    <dataValidation type="decimal" allowBlank="1" showInputMessage="1" showErrorMessage="1" errorTitle="Upper OVLO Threshold Violation" error="The Upper OVLO Threshold must be greater than the upper UVLO threshold, and less than 80V." sqref="F98" xr:uid="{00000000-0002-0000-0100-000001000000}">
      <formula1>F96+0.01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99" xr:uid="{00000000-0002-0000-0100-000002000000}">
      <formula1>F96+0.01</formula1>
      <formula2>F98</formula2>
    </dataValidation>
    <dataValidation type="decimal" allowBlank="1" showInputMessage="1" showErrorMessage="1" errorTitle="UVLO Threshold Violation" error="The upper UVLO threshold must be no less than 10V, and no greater than 80V." sqref="F96"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5" xr:uid="{00000000-0002-0000-0100-000007000000}">
      <formula1>$AN$95:$AN$96</formula1>
    </dataValidation>
    <dataValidation type="list" allowBlank="1" showInputMessage="1" showErrorMessage="1" sqref="F51" xr:uid="{00000000-0002-0000-0100-000008000000}">
      <formula1>$AN$50:$AN$51</formula1>
    </dataValidation>
    <dataValidation type="list" allowBlank="1" showInputMessage="1" showErrorMessage="1" sqref="F50" xr:uid="{00000000-0002-0000-0100-000009000000}">
      <formula1>$AN$48:$AN$49</formula1>
    </dataValidation>
    <dataValidation type="whole" allowBlank="1" showInputMessage="1" showErrorMessage="1" sqref="F54" xr:uid="{00000000-0002-0000-0100-00000A000000}">
      <formula1>1</formula1>
      <formula2>6</formula2>
    </dataValidation>
    <dataValidation type="decimal" operator="greaterThan" allowBlank="1" showInputMessage="1" showErrorMessage="1" sqref="F43 F45"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xr:uid="{00000000-0002-0000-0100-00000C000000}">
      <formula1>"""NA"""</formula1>
    </dataValidation>
    <dataValidation type="list" allowBlank="1" showInputMessage="1" showErrorMessage="1" sqref="F72 F80" xr:uid="{00000000-0002-0000-0100-00000D000000}">
      <formula1>$AN$39:$AN$40</formula1>
    </dataValidation>
    <dataValidation type="list" allowBlank="1" showErrorMessage="1" sqref="F39" xr:uid="{00000000-0002-0000-0100-00000E000000}">
      <formula1>$AN$39:$AN$40</formula1>
    </dataValidation>
    <dataValidation type="list" allowBlank="1" showInputMessage="1" showErrorMessage="1" sqref="F37" xr:uid="{00000000-0002-0000-0100-00000F000000}">
      <formula1>$AN$37:$AN$38</formula1>
    </dataValidation>
    <dataValidation type="list" allowBlank="1" showInputMessage="1" showErrorMessage="1" sqref="F70" xr:uid="{00000000-0002-0000-0100-000010000000}">
      <formula1>$AN$71:$AN$72</formula1>
    </dataValidation>
    <dataValidation type="decimal" allowBlank="1" showInputMessage="1" showErrorMessage="1" error="Must enter a value between 0 and 10." sqref="F44" xr:uid="{00000000-0002-0000-0100-000012000000}">
      <formula1>0</formula1>
      <formula2>10</formula2>
    </dataValidation>
    <dataValidation type="list" allowBlank="1" showInputMessage="1" showErrorMessage="1" sqref="G22:G23" xr:uid="{00000000-0002-0000-0100-000013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4:B35" r:id="rId4" display="Steps 1 &amp; 2: Operating Conditions, Current Limit, &amp; Circuit Breaker" xr:uid="{00000000-0004-0000-0100-000003000000}"/>
    <hyperlink ref="B45:B47" r:id="rId5" display="Steps 1 &amp; 2: Operating Conditions, Current Limit, &amp; Circuit Breaker" xr:uid="{00000000-0004-0000-0100-000004000000}"/>
    <hyperlink ref="B59" r:id="rId6" xr:uid="{00000000-0004-0000-0100-000005000000}"/>
    <hyperlink ref="B79" r:id="rId7" xr:uid="{00000000-0004-0000-0100-000006000000}"/>
    <hyperlink ref="B102" r:id="rId8" xr:uid="{00000000-0004-0000-0100-000007000000}"/>
    <hyperlink ref="D19" r:id="rId9" display="Step 5: UVLO, OVLO &amp; PGD Thresholds" xr:uid="{00000000-0004-0000-0100-000008000000}"/>
    <hyperlink ref="D18" r:id="rId10" display="Step 4: Startup" xr:uid="{00000000-0004-0000-0100-000009000000}"/>
    <hyperlink ref="D17" r:id="rId11" display="Step 3: MOSFET Selection" xr:uid="{00000000-0004-0000-0100-00000A000000}"/>
    <hyperlink ref="D16:F16" r:id="rId12" display="Steps 1 &amp; 2: Operating Conditions, Current Limit, &amp; Circuit Breaker"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4000000}">
          <x14:formula1>
            <xm:f>0</xm:f>
          </x14:formula1>
          <x14:formula2>
            <xm:f>Equations!F91</xm:f>
          </x14:formula2>
          <xm:sqref>F69</xm:sqref>
        </x14:dataValidation>
        <x14:dataValidation type="decimal" allowBlank="1" showInputMessage="1" showErrorMessage="1" errorTitle="Ambient Temperature Violation" error="The Ambient Temperature must be between -40C and 125C" xr:uid="{00000000-0002-0000-0100-000015000000}">
          <x14:formula1>
            <xm:f>'Device Parameters'!C6</xm:f>
          </x14:formula1>
          <x14:formula2>
            <xm:f>'Device Parameters'!E6</xm:f>
          </x14:formula2>
          <xm:sqref>F36</xm:sqref>
        </x14:dataValidation>
        <x14:dataValidation type="decimal" operator="lessThanOrEqual" allowBlank="1" showInputMessage="1" showErrorMessage="1" errorTitle="Maximum System Voltage Violation" error="The maximum system voltage must be no greater than 80V." xr:uid="{00000000-0002-0000-0100-000016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7000000}">
          <x14:formula1>
            <xm:f>'Device Parameters'!C4</xm:f>
          </x14:formula1>
          <x14:formula2>
            <xm:f>'Device Parameters'!E4</xm:f>
          </x14:formula2>
          <xm:sqref>F32:F34</xm:sqref>
        </x14:dataValidation>
        <x14:dataValidation type="decimal" allowBlank="1" showInputMessage="1" showErrorMessage="1" errorTitle="Ambient Temperature Violation" error="The Ambient Temperature must be between -40C and 125C" xr:uid="{00000000-0002-0000-0100-000018000000}">
          <x14:formula1>
            <xm:f>'Device Parameters'!C6</xm:f>
          </x14:formula1>
          <x14:formula2>
            <xm:f>'Device Parameters'!E6</xm:f>
          </x14:formula2>
          <xm:sqref>F35</xm:sqref>
        </x14:dataValidation>
        <x14:dataValidation type="decimal" operator="greaterThanOrEqual" allowBlank="1" showInputMessage="1" showErrorMessage="1" errorTitle="Minimum System Voltage Violation" error="The minimum system voltage must be at least 10V." xr:uid="{00000000-0002-0000-0100-000019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workbookViewId="0">
      <selection activeCell="E7" sqref="E7"/>
    </sheetView>
  </sheetViews>
  <sheetFormatPr defaultRowHeight="13.2"/>
  <cols>
    <col min="1" max="1" width="9.44140625" customWidth="1"/>
    <col min="2" max="2" width="24.21875" customWidth="1"/>
    <col min="3" max="3" width="9.21875" customWidth="1"/>
    <col min="12" max="12" width="13.5546875" customWidth="1"/>
  </cols>
  <sheetData>
    <row r="2" spans="1:17">
      <c r="A2" s="33"/>
      <c r="C2" s="33" t="s">
        <v>71</v>
      </c>
      <c r="D2" s="33" t="s">
        <v>72</v>
      </c>
      <c r="E2" s="33" t="s">
        <v>73</v>
      </c>
      <c r="F2" s="33" t="s">
        <v>162</v>
      </c>
    </row>
    <row r="3" spans="1:17">
      <c r="A3" s="27" t="s">
        <v>157</v>
      </c>
      <c r="C3" s="33"/>
      <c r="D3" s="33"/>
      <c r="E3" s="33"/>
    </row>
    <row r="4" spans="1:17">
      <c r="A4" s="27"/>
      <c r="B4" s="33" t="s">
        <v>170</v>
      </c>
      <c r="C4" s="81">
        <v>-40</v>
      </c>
      <c r="D4" s="81"/>
      <c r="E4" s="81">
        <v>125</v>
      </c>
    </row>
    <row r="5" spans="1:17">
      <c r="B5" s="34" t="s">
        <v>158</v>
      </c>
      <c r="C5" s="1">
        <v>10</v>
      </c>
      <c r="D5" s="1"/>
      <c r="E5" s="1">
        <v>80</v>
      </c>
      <c r="F5" s="33" t="s">
        <v>86</v>
      </c>
      <c r="J5" s="2"/>
    </row>
    <row r="6" spans="1:17" ht="16.5" customHeight="1">
      <c r="A6" s="27" t="s">
        <v>134</v>
      </c>
      <c r="B6" s="34"/>
      <c r="C6" s="1"/>
      <c r="D6" s="1"/>
      <c r="E6" s="1"/>
      <c r="J6" s="2"/>
    </row>
    <row r="7" spans="1:17">
      <c r="B7" s="34" t="s">
        <v>160</v>
      </c>
      <c r="C7" s="1">
        <v>23</v>
      </c>
      <c r="D7" s="1">
        <v>26</v>
      </c>
      <c r="E7" s="1">
        <v>29</v>
      </c>
      <c r="J7" s="2"/>
    </row>
    <row r="8" spans="1:17">
      <c r="B8" s="34" t="s">
        <v>159</v>
      </c>
      <c r="C8" s="1">
        <v>47</v>
      </c>
      <c r="D8" s="1">
        <v>50</v>
      </c>
      <c r="E8" s="1">
        <v>53</v>
      </c>
      <c r="J8" s="34"/>
    </row>
    <row r="9" spans="1:17">
      <c r="B9" s="34" t="s">
        <v>161</v>
      </c>
      <c r="C9" s="1"/>
      <c r="D9" s="1">
        <v>25</v>
      </c>
      <c r="E9" s="1"/>
      <c r="F9" s="33" t="s">
        <v>163</v>
      </c>
      <c r="J9" s="34"/>
    </row>
    <row r="10" spans="1:17">
      <c r="C10" s="1"/>
      <c r="D10" s="1"/>
      <c r="E10" s="1"/>
    </row>
    <row r="11" spans="1:17">
      <c r="A11" s="27" t="s">
        <v>172</v>
      </c>
      <c r="C11" s="1"/>
      <c r="D11" s="1"/>
      <c r="E11" s="1"/>
    </row>
    <row r="12" spans="1:17">
      <c r="B12" s="33" t="s">
        <v>277</v>
      </c>
      <c r="C12" s="1"/>
      <c r="D12" s="1"/>
      <c r="E12" s="1">
        <v>1.5E-3</v>
      </c>
      <c r="F12" s="33" t="s">
        <v>86</v>
      </c>
    </row>
    <row r="13" spans="1:17">
      <c r="B13" s="33" t="s">
        <v>278</v>
      </c>
      <c r="C13" s="156"/>
      <c r="D13" s="156"/>
      <c r="E13" s="156">
        <v>4.0000000000000001E-3</v>
      </c>
      <c r="F13" s="33" t="s">
        <v>86</v>
      </c>
      <c r="G13" s="33" t="s">
        <v>279</v>
      </c>
    </row>
    <row r="14" spans="1:17">
      <c r="B14" s="33" t="s">
        <v>280</v>
      </c>
      <c r="C14" s="156"/>
      <c r="D14" s="156"/>
      <c r="E14" s="160">
        <v>140000</v>
      </c>
      <c r="F14" s="33"/>
    </row>
    <row r="15" spans="1:17">
      <c r="B15" s="33"/>
      <c r="C15" s="156"/>
      <c r="D15" s="156"/>
      <c r="E15" s="160"/>
      <c r="F15" s="33"/>
    </row>
    <row r="16" spans="1:17">
      <c r="B16" s="33" t="s">
        <v>287</v>
      </c>
      <c r="C16" s="159" t="s">
        <v>281</v>
      </c>
      <c r="D16" s="156"/>
      <c r="E16" s="156"/>
      <c r="F16" s="33"/>
      <c r="I16" s="33" t="s">
        <v>282</v>
      </c>
      <c r="J16" s="33" t="s">
        <v>70</v>
      </c>
      <c r="K16" s="33" t="s">
        <v>283</v>
      </c>
      <c r="L16" s="33" t="s">
        <v>285</v>
      </c>
      <c r="M16" s="33" t="s">
        <v>284</v>
      </c>
      <c r="N16" s="33" t="s">
        <v>286</v>
      </c>
      <c r="P16" s="33" t="s">
        <v>284</v>
      </c>
      <c r="Q16" s="33" t="s">
        <v>283</v>
      </c>
    </row>
    <row r="17" spans="1:17">
      <c r="B17" s="33"/>
      <c r="C17" s="159" t="s">
        <v>443</v>
      </c>
      <c r="D17" s="156"/>
      <c r="E17" s="156"/>
      <c r="F17" s="33"/>
      <c r="J17">
        <v>12</v>
      </c>
      <c r="K17">
        <v>25</v>
      </c>
      <c r="L17">
        <f>0.5</f>
        <v>0.5</v>
      </c>
      <c r="M17" s="162">
        <f>1/(0.001*L17)*(K17*1000/$E$14+J17*$E$12)</f>
        <v>393.14285714285711</v>
      </c>
      <c r="N17" s="161">
        <f>K17*1000/$E$14/J17+$E$12</f>
        <v>1.6380952380952381E-2</v>
      </c>
      <c r="P17">
        <v>82</v>
      </c>
      <c r="Q17">
        <f>E14*(P17*L17*0.001-J17*E12)</f>
        <v>3220</v>
      </c>
    </row>
    <row r="18" spans="1:17">
      <c r="B18" s="33"/>
      <c r="C18" s="159" t="s">
        <v>467</v>
      </c>
      <c r="D18" s="156"/>
      <c r="E18" s="156"/>
      <c r="F18" s="33"/>
      <c r="J18">
        <v>12</v>
      </c>
      <c r="K18">
        <v>5</v>
      </c>
      <c r="L18">
        <f>0.5</f>
        <v>0.5</v>
      </c>
      <c r="M18" s="162">
        <f>1/(0.001*L18)*(K18*1000/$E$14+J18*$E$12)</f>
        <v>107.42857142857143</v>
      </c>
      <c r="N18" s="161">
        <f>K18*1000/$E$14/J18+$E$12*0.001</f>
        <v>2.9776904761904762E-3</v>
      </c>
    </row>
    <row r="19" spans="1:17">
      <c r="B19" s="33" t="s">
        <v>288</v>
      </c>
      <c r="E19" s="156"/>
      <c r="F19" s="33"/>
      <c r="I19" s="33" t="s">
        <v>290</v>
      </c>
      <c r="M19" s="162"/>
      <c r="N19" s="161"/>
    </row>
    <row r="20" spans="1:17">
      <c r="C20" s="1"/>
      <c r="D20" s="1"/>
      <c r="E20" s="1"/>
    </row>
    <row r="21" spans="1:17">
      <c r="A21" s="27" t="s">
        <v>165</v>
      </c>
      <c r="C21" s="1"/>
      <c r="D21" s="1"/>
      <c r="E21" s="1"/>
    </row>
    <row r="22" spans="1:17">
      <c r="B22" s="34" t="s">
        <v>166</v>
      </c>
      <c r="C22" s="1">
        <v>3.74</v>
      </c>
      <c r="D22" s="1">
        <v>3.9</v>
      </c>
      <c r="E22" s="1">
        <v>4.07</v>
      </c>
      <c r="F22" s="33" t="s">
        <v>86</v>
      </c>
    </row>
    <row r="23" spans="1:17">
      <c r="B23" s="34" t="s">
        <v>167</v>
      </c>
      <c r="C23" s="1">
        <v>-5.9</v>
      </c>
      <c r="D23" s="1">
        <v>-4.8</v>
      </c>
      <c r="E23" s="1">
        <v>-3.3</v>
      </c>
      <c r="F23" s="33" t="s">
        <v>163</v>
      </c>
    </row>
    <row r="24" spans="1:17">
      <c r="B24" s="34" t="s">
        <v>376</v>
      </c>
      <c r="C24" s="201"/>
      <c r="D24" s="201"/>
      <c r="E24" s="201"/>
      <c r="F24" s="33"/>
    </row>
    <row r="25" spans="1:17">
      <c r="B25" s="34" t="s">
        <v>168</v>
      </c>
      <c r="C25" s="1">
        <v>95</v>
      </c>
      <c r="D25" s="1">
        <v>75</v>
      </c>
      <c r="E25" s="1">
        <v>50</v>
      </c>
      <c r="F25" s="33" t="s">
        <v>163</v>
      </c>
    </row>
    <row r="26" spans="1:17">
      <c r="B26" s="34" t="s">
        <v>313</v>
      </c>
      <c r="C26" s="157"/>
      <c r="D26" s="157">
        <f>SQRT(0.66^2+ ((120-90)/90)^2+ 0.1^2)</f>
        <v>0.74613076006227697</v>
      </c>
      <c r="E26" s="157"/>
      <c r="F26" s="33"/>
      <c r="G26" s="33" t="s">
        <v>312</v>
      </c>
    </row>
    <row r="27" spans="1:17">
      <c r="B27" s="34" t="s">
        <v>310</v>
      </c>
      <c r="C27" s="157"/>
      <c r="D27" s="157">
        <v>0.75</v>
      </c>
      <c r="E27" s="157"/>
      <c r="F27" s="33"/>
      <c r="G27" s="33" t="s">
        <v>311</v>
      </c>
    </row>
    <row r="28" spans="1:17">
      <c r="B28" s="2"/>
      <c r="C28" s="1"/>
      <c r="D28" s="1"/>
      <c r="E28" s="1"/>
    </row>
    <row r="29" spans="1:17">
      <c r="A29" s="27" t="s">
        <v>199</v>
      </c>
      <c r="B29" s="2"/>
      <c r="C29" s="1"/>
      <c r="D29" s="1"/>
      <c r="E29" s="1"/>
    </row>
    <row r="30" spans="1:17">
      <c r="B30" s="34" t="s">
        <v>203</v>
      </c>
      <c r="C30" s="1">
        <v>10</v>
      </c>
      <c r="D30" s="1">
        <v>20</v>
      </c>
      <c r="E30" s="1">
        <v>26</v>
      </c>
    </row>
    <row r="31" spans="1:17">
      <c r="B31" s="2"/>
      <c r="C31" s="1"/>
      <c r="D31" s="1"/>
      <c r="E31" s="1"/>
    </row>
    <row r="32" spans="1:17">
      <c r="A32" s="27" t="s">
        <v>164</v>
      </c>
      <c r="B32" s="2"/>
      <c r="C32" s="361" t="s">
        <v>435</v>
      </c>
      <c r="D32" s="361"/>
      <c r="E32" s="361"/>
      <c r="F32" s="361" t="s">
        <v>436</v>
      </c>
      <c r="G32" s="361"/>
      <c r="H32" s="361"/>
    </row>
    <row r="33" spans="1:8">
      <c r="B33" s="34" t="s">
        <v>437</v>
      </c>
      <c r="C33" s="1">
        <v>39</v>
      </c>
      <c r="D33" s="1">
        <v>48</v>
      </c>
      <c r="E33" s="1">
        <v>57</v>
      </c>
      <c r="F33" s="225">
        <v>80</v>
      </c>
      <c r="G33" s="225">
        <v>96</v>
      </c>
      <c r="H33" s="225">
        <v>110</v>
      </c>
    </row>
    <row r="34" spans="1:8">
      <c r="B34" s="34" t="s">
        <v>438</v>
      </c>
      <c r="C34" s="1"/>
      <c r="D34" s="1">
        <v>1.88</v>
      </c>
      <c r="E34" s="1"/>
      <c r="F34" s="225">
        <v>1.64</v>
      </c>
      <c r="G34" s="225">
        <v>1.94</v>
      </c>
      <c r="H34" s="225">
        <v>2.23</v>
      </c>
    </row>
    <row r="35" spans="1:8">
      <c r="B35" s="34" t="s">
        <v>439</v>
      </c>
      <c r="C35" s="1">
        <v>79</v>
      </c>
      <c r="D35" s="1">
        <v>96</v>
      </c>
      <c r="E35" s="1">
        <v>113</v>
      </c>
      <c r="F35" s="225">
        <v>164</v>
      </c>
      <c r="G35" s="225">
        <v>193</v>
      </c>
      <c r="H35" s="225">
        <v>222</v>
      </c>
    </row>
    <row r="36" spans="1:8">
      <c r="B36" s="34" t="s">
        <v>440</v>
      </c>
      <c r="C36" s="1"/>
      <c r="D36" s="1">
        <v>3.75</v>
      </c>
      <c r="E36" s="1"/>
      <c r="F36" s="225">
        <v>3.28</v>
      </c>
      <c r="G36" s="225">
        <v>3.87</v>
      </c>
      <c r="H36" s="225">
        <v>4.45</v>
      </c>
    </row>
    <row r="37" spans="1:8">
      <c r="B37" s="2"/>
      <c r="C37" s="1"/>
      <c r="D37" s="1"/>
      <c r="E37" s="1"/>
    </row>
    <row r="38" spans="1:8">
      <c r="A38" s="27" t="s">
        <v>244</v>
      </c>
      <c r="B38" s="2"/>
    </row>
    <row r="39" spans="1:8">
      <c r="B39" s="34" t="s">
        <v>166</v>
      </c>
      <c r="C39">
        <v>3.74</v>
      </c>
      <c r="D39">
        <v>3.9</v>
      </c>
      <c r="E39">
        <v>4.07</v>
      </c>
    </row>
    <row r="40" spans="1:8">
      <c r="B40" s="34" t="s">
        <v>245</v>
      </c>
      <c r="C40">
        <v>0.98</v>
      </c>
      <c r="D40">
        <v>1.1000000000000001</v>
      </c>
      <c r="E40">
        <v>1.24</v>
      </c>
    </row>
    <row r="41" spans="1:8">
      <c r="B41" s="34" t="s">
        <v>246</v>
      </c>
      <c r="D41">
        <v>0.3</v>
      </c>
    </row>
    <row r="42" spans="1:8">
      <c r="B42" s="34" t="s">
        <v>247</v>
      </c>
      <c r="D42">
        <v>0.3</v>
      </c>
    </row>
    <row r="43" spans="1:8">
      <c r="B43" s="34" t="s">
        <v>248</v>
      </c>
      <c r="C43">
        <v>3.3</v>
      </c>
      <c r="D43">
        <v>4.8</v>
      </c>
      <c r="E43">
        <v>5.9</v>
      </c>
    </row>
    <row r="44" spans="1:8">
      <c r="B44" s="34" t="s">
        <v>249</v>
      </c>
      <c r="C44">
        <v>1</v>
      </c>
      <c r="D44">
        <v>1.5</v>
      </c>
      <c r="E44">
        <v>2</v>
      </c>
    </row>
    <row r="45" spans="1:8">
      <c r="B45" s="34" t="s">
        <v>168</v>
      </c>
      <c r="C45">
        <v>50</v>
      </c>
      <c r="D45">
        <v>75</v>
      </c>
      <c r="E45">
        <v>95</v>
      </c>
    </row>
    <row r="46" spans="1:8">
      <c r="B46" s="34" t="s">
        <v>250</v>
      </c>
      <c r="C46">
        <v>1.7</v>
      </c>
      <c r="D46">
        <v>2.5</v>
      </c>
      <c r="E46">
        <v>3.2</v>
      </c>
    </row>
    <row r="48" spans="1:8">
      <c r="A48" s="27" t="s">
        <v>254</v>
      </c>
    </row>
    <row r="49" spans="1:8">
      <c r="B49" s="34" t="s">
        <v>255</v>
      </c>
      <c r="D49">
        <v>60</v>
      </c>
      <c r="E49">
        <v>110</v>
      </c>
      <c r="F49" s="33" t="s">
        <v>173</v>
      </c>
      <c r="G49">
        <v>2</v>
      </c>
      <c r="H49" s="33" t="s">
        <v>256</v>
      </c>
    </row>
    <row r="50" spans="1:8">
      <c r="A50" s="27" t="s">
        <v>257</v>
      </c>
    </row>
    <row r="51" spans="1:8">
      <c r="B51" s="33" t="s">
        <v>258</v>
      </c>
      <c r="C51">
        <v>2.41</v>
      </c>
      <c r="D51">
        <v>2.46</v>
      </c>
      <c r="E51">
        <v>2.52</v>
      </c>
      <c r="F51" s="33" t="s">
        <v>86</v>
      </c>
    </row>
    <row r="52" spans="1:8">
      <c r="B52" s="33" t="s">
        <v>259</v>
      </c>
      <c r="C52">
        <v>15</v>
      </c>
      <c r="D52">
        <v>20</v>
      </c>
      <c r="E52">
        <v>25</v>
      </c>
      <c r="F52" s="33" t="s">
        <v>163</v>
      </c>
    </row>
  </sheetData>
  <mergeCells count="2">
    <mergeCell ref="C32:E32"/>
    <mergeCell ref="F32:H32"/>
  </mergeCells>
  <phoneticPr fontId="5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193" workbookViewId="0">
      <selection activeCell="E7" sqref="E7"/>
    </sheetView>
  </sheetViews>
  <sheetFormatPr defaultRowHeight="13.2"/>
  <cols>
    <col min="6" max="6" width="12.44140625" bestFit="1" customWidth="1"/>
    <col min="8" max="8" width="14" customWidth="1"/>
    <col min="9" max="9" width="12.77734375" customWidth="1"/>
    <col min="10" max="10" width="11.77734375" customWidth="1"/>
  </cols>
  <sheetData>
    <row r="13" spans="1:6">
      <c r="A13" s="27" t="s">
        <v>134</v>
      </c>
    </row>
    <row r="14" spans="1:6">
      <c r="E14" s="2"/>
    </row>
    <row r="15" spans="1:6">
      <c r="D15" t="s">
        <v>210</v>
      </c>
      <c r="E15">
        <f>IF('Design Calculator'!$F$37="26 mV",'Device Parameters'!C7,'Device Parameters'!C8)</f>
        <v>47</v>
      </c>
      <c r="F15" s="106" t="s">
        <v>173</v>
      </c>
    </row>
    <row r="16" spans="1:6">
      <c r="D16" t="s">
        <v>209</v>
      </c>
      <c r="E16">
        <f>IF('Design Calculator'!$F$37="26 mV",'Device Parameters'!D7,'Device Parameters'!D8)</f>
        <v>50</v>
      </c>
      <c r="F16" s="106" t="s">
        <v>173</v>
      </c>
    </row>
    <row r="17" spans="1:8">
      <c r="D17" t="s">
        <v>208</v>
      </c>
      <c r="E17">
        <f>IF('Design Calculator'!$F$37="26 mV",'Device Parameters'!E7,'Device Parameters'!E8)</f>
        <v>53</v>
      </c>
      <c r="F17" s="106" t="s">
        <v>173</v>
      </c>
    </row>
    <row r="18" spans="1:8">
      <c r="E18" s="2"/>
    </row>
    <row r="19" spans="1:8">
      <c r="A19" s="27"/>
      <c r="E19" s="2"/>
    </row>
    <row r="20" spans="1:8">
      <c r="E20" s="2" t="s">
        <v>0</v>
      </c>
      <c r="F20">
        <f>CLMIN_Threshold/('Design Calculator'!F30*1.01)</f>
        <v>4.653465346534654</v>
      </c>
    </row>
    <row r="21" spans="1:8">
      <c r="E21" s="34" t="s">
        <v>211</v>
      </c>
      <c r="F21" s="33" t="str">
        <f>IF(Rs&gt;RsMAX,10,"NA")</f>
        <v>NA</v>
      </c>
    </row>
    <row r="22" spans="1:8">
      <c r="E22" s="34" t="s">
        <v>212</v>
      </c>
      <c r="F22" t="str">
        <f>IF(Rs&gt;RsMAX,(((IOUTMAX*Rs)/CLMIN_Threshold)-1)*F21,"NA")</f>
        <v>NA</v>
      </c>
    </row>
    <row r="23" spans="1:8">
      <c r="E23" s="34" t="s">
        <v>213</v>
      </c>
      <c r="F23">
        <f>IF(RsMAX&gt;Rs,Rs,IF('Design Calculator'!F39="Yes",IF(Rs&gt;RsMAX,Rs/(1+RDIV2/RDIV1),Rs),Rs))</f>
        <v>3</v>
      </c>
      <c r="H23" s="142"/>
    </row>
    <row r="24" spans="1:8">
      <c r="E24" s="2" t="s">
        <v>1</v>
      </c>
      <c r="F24" s="4">
        <f>CLMIN_Threshold/RsEFF</f>
        <v>15.666666666666666</v>
      </c>
      <c r="G24" s="4"/>
    </row>
    <row r="25" spans="1:8">
      <c r="E25" s="2" t="s">
        <v>2</v>
      </c>
      <c r="F25">
        <f>CLNOM_Threshold/RsEFF</f>
        <v>16.666666666666668</v>
      </c>
    </row>
    <row r="26" spans="1:8">
      <c r="E26" s="2" t="s">
        <v>3</v>
      </c>
      <c r="F26">
        <f>CLMAX_Threshold/RsEFF</f>
        <v>17.666666666666668</v>
      </c>
    </row>
    <row r="27" spans="1:8">
      <c r="E27" s="2" t="s">
        <v>4</v>
      </c>
      <c r="F27">
        <f>F26^2*'Design Calculator'!F40</f>
        <v>936.33333333333348</v>
      </c>
    </row>
    <row r="30" spans="1:8">
      <c r="E30" s="2"/>
    </row>
    <row r="31" spans="1:8">
      <c r="A31" s="27" t="s">
        <v>154</v>
      </c>
    </row>
    <row r="32" spans="1:8">
      <c r="A32" s="33"/>
      <c r="F32" s="33" t="s">
        <v>155</v>
      </c>
      <c r="H32" s="33" t="s">
        <v>156</v>
      </c>
    </row>
    <row r="33" spans="1:8">
      <c r="A33" s="33"/>
      <c r="E33" s="67" t="s">
        <v>130</v>
      </c>
      <c r="F33" s="68">
        <f>VINMAX*'Design Calculator'!F57</f>
        <v>6000</v>
      </c>
      <c r="G33" s="33" t="s">
        <v>87</v>
      </c>
      <c r="H33">
        <f>F33*(TJMAX-TJ)/(TJMAX-25)</f>
        <v>3476.0000000000005</v>
      </c>
    </row>
    <row r="34" spans="1:8">
      <c r="A34" s="33"/>
      <c r="E34" s="67" t="s">
        <v>131</v>
      </c>
      <c r="F34" s="68">
        <f>VINMAX*'Design Calculator'!F58</f>
        <v>1800</v>
      </c>
      <c r="G34" s="33" t="s">
        <v>87</v>
      </c>
      <c r="H34">
        <f>F34*(TJMAX-TJ)/(TJMAX-25)</f>
        <v>1042.8</v>
      </c>
    </row>
    <row r="35" spans="1:8">
      <c r="A35" s="33"/>
      <c r="E35" s="67" t="s">
        <v>132</v>
      </c>
      <c r="F35" s="68">
        <f>VINMAX*'Design Calculator'!F59</f>
        <v>360</v>
      </c>
      <c r="G35" s="33" t="s">
        <v>87</v>
      </c>
      <c r="H35">
        <f>F35*(TJMAX-TJ)/(TJMAX-25)</f>
        <v>208.56000000000003</v>
      </c>
    </row>
    <row r="36" spans="1:8">
      <c r="A36" s="33"/>
      <c r="E36" s="67" t="s">
        <v>133</v>
      </c>
      <c r="F36" s="68">
        <f>VINMAX*'Design Calculator'!F60</f>
        <v>120</v>
      </c>
      <c r="G36" s="76" t="s">
        <v>87</v>
      </c>
      <c r="H36">
        <f>F36*(TJMAX-TJ)/(TJMAX-25)</f>
        <v>69.52</v>
      </c>
    </row>
    <row r="37" spans="1:8">
      <c r="A37" s="33"/>
      <c r="E37" s="78"/>
      <c r="F37" s="77"/>
      <c r="G37" s="76"/>
    </row>
    <row r="38" spans="1:8">
      <c r="A38" s="33"/>
      <c r="E38" s="78" t="s">
        <v>174</v>
      </c>
      <c r="F38" s="77">
        <f>VINMAX*'Device Parameters'!E13/RsEFF/0.001</f>
        <v>80</v>
      </c>
      <c r="G38" s="76" t="s">
        <v>87</v>
      </c>
    </row>
    <row r="39" spans="1:8">
      <c r="A39" s="33"/>
      <c r="D39" s="150"/>
      <c r="E39" s="78" t="s">
        <v>293</v>
      </c>
      <c r="F39" s="77">
        <f>'Design Calculator'!F65</f>
        <v>120</v>
      </c>
      <c r="G39" s="76" t="s">
        <v>87</v>
      </c>
      <c r="H39" s="150"/>
    </row>
    <row r="40" spans="1:8">
      <c r="A40" s="33"/>
      <c r="D40" s="150"/>
      <c r="E40" s="78" t="s">
        <v>283</v>
      </c>
      <c r="F40" s="150">
        <f>'Device Parameters'!E14*RsEFF*0.001*(F39-('Device Parameters'!E12*VINMAX/RsEFF*1000))/1000</f>
        <v>37.799999999999997</v>
      </c>
      <c r="G40" s="76" t="s">
        <v>294</v>
      </c>
      <c r="H40" s="150"/>
    </row>
    <row r="41" spans="1:8">
      <c r="A41" s="33"/>
      <c r="D41" s="150"/>
      <c r="E41" s="78" t="s">
        <v>296</v>
      </c>
      <c r="F41" s="77">
        <f>RPWR</f>
        <v>37.799999999999997</v>
      </c>
      <c r="G41" s="76" t="s">
        <v>294</v>
      </c>
      <c r="H41" s="150"/>
    </row>
    <row r="42" spans="1:8">
      <c r="A42" s="33"/>
      <c r="D42" s="150"/>
      <c r="E42" s="78" t="s">
        <v>297</v>
      </c>
      <c r="F42" s="229">
        <f>(1/RsEFF)*1000*((Equations!F41*1000/'Device Parameters'!E14)+('Device Parameters'!E12*VINMAX))</f>
        <v>119.99999999999999</v>
      </c>
      <c r="G42" s="76" t="s">
        <v>87</v>
      </c>
      <c r="H42" s="150"/>
    </row>
    <row r="43" spans="1:8">
      <c r="A43" s="33"/>
      <c r="D43" s="150"/>
      <c r="E43" s="78"/>
      <c r="F43" s="150"/>
      <c r="G43" s="76"/>
      <c r="H43" s="150"/>
    </row>
    <row r="44" spans="1:8">
      <c r="A44" s="33"/>
      <c r="D44" s="150"/>
      <c r="E44" s="78"/>
      <c r="F44" s="150"/>
      <c r="G44" s="76"/>
      <c r="H44" s="150"/>
    </row>
    <row r="45" spans="1:8">
      <c r="A45" s="33"/>
      <c r="D45" s="150"/>
      <c r="E45" s="78"/>
      <c r="F45" s="150"/>
      <c r="G45" s="76"/>
      <c r="H45" s="150"/>
    </row>
    <row r="46" spans="1:8">
      <c r="D46" s="150"/>
      <c r="E46" s="230" t="s">
        <v>5</v>
      </c>
      <c r="F46" s="231">
        <f>F47*(1-0.24)</f>
        <v>91.199999999999989</v>
      </c>
      <c r="G46" s="150" t="s">
        <v>15</v>
      </c>
      <c r="H46" s="150"/>
    </row>
    <row r="47" spans="1:8">
      <c r="D47" s="150"/>
      <c r="E47" s="230" t="s">
        <v>6</v>
      </c>
      <c r="F47" s="231">
        <f>F42</f>
        <v>119.99999999999999</v>
      </c>
      <c r="G47" s="150"/>
      <c r="H47" s="150"/>
    </row>
    <row r="48" spans="1:8">
      <c r="D48" s="150"/>
      <c r="E48" s="230" t="s">
        <v>7</v>
      </c>
      <c r="F48" s="231">
        <f>F47*(1+0.24)</f>
        <v>148.79999999999998</v>
      </c>
      <c r="G48" s="150"/>
      <c r="H48" s="150"/>
    </row>
    <row r="49" spans="1:12">
      <c r="D49" s="150"/>
      <c r="E49" s="230"/>
      <c r="F49" s="232"/>
      <c r="G49" s="150"/>
      <c r="H49" s="230"/>
      <c r="I49" s="1"/>
      <c r="K49" s="2"/>
      <c r="L49" s="1"/>
    </row>
    <row r="50" spans="1:12">
      <c r="D50" s="150"/>
      <c r="E50" s="230"/>
      <c r="F50" s="232"/>
      <c r="G50" s="150"/>
      <c r="H50" s="230"/>
      <c r="I50" s="1"/>
      <c r="K50" s="2"/>
      <c r="L50" s="1"/>
    </row>
    <row r="51" spans="1:12">
      <c r="A51" s="27" t="s">
        <v>153</v>
      </c>
      <c r="D51" s="150"/>
      <c r="E51" s="150"/>
      <c r="F51" s="150"/>
      <c r="G51" s="150"/>
      <c r="H51" s="150"/>
    </row>
    <row r="52" spans="1:12">
      <c r="A52" s="27"/>
      <c r="D52" s="362" t="s">
        <v>336</v>
      </c>
      <c r="E52" s="363"/>
      <c r="F52" s="363"/>
      <c r="G52" s="363"/>
      <c r="H52" s="150"/>
    </row>
    <row r="53" spans="1:12">
      <c r="A53" s="27"/>
      <c r="D53" s="150"/>
      <c r="E53" s="78" t="s">
        <v>316</v>
      </c>
      <c r="F53" s="231">
        <f>Start_up!M2</f>
        <v>3.4593562751824662</v>
      </c>
      <c r="G53" s="233" t="s">
        <v>8</v>
      </c>
      <c r="H53" s="150"/>
    </row>
    <row r="54" spans="1:12">
      <c r="A54" s="27"/>
      <c r="D54" s="150"/>
      <c r="E54" s="78" t="s">
        <v>317</v>
      </c>
      <c r="F54" s="231">
        <f>'Device Parameters'!D27</f>
        <v>0.75</v>
      </c>
      <c r="G54" s="150"/>
      <c r="H54" s="150"/>
    </row>
    <row r="55" spans="1:12">
      <c r="A55" s="27"/>
      <c r="D55" s="150"/>
      <c r="E55" s="78" t="s">
        <v>318</v>
      </c>
      <c r="F55" s="150">
        <f>F53*(1+F54)</f>
        <v>6.0538734815693163</v>
      </c>
      <c r="G55" s="233" t="s">
        <v>8</v>
      </c>
      <c r="H55" s="150"/>
    </row>
    <row r="56" spans="1:12">
      <c r="A56" s="27"/>
      <c r="D56" s="150"/>
      <c r="E56" s="78" t="s">
        <v>319</v>
      </c>
      <c r="F56" s="150">
        <f>'Device Parameters'!D25/'Device Parameters'!D22*F55</f>
        <v>116.420643876333</v>
      </c>
      <c r="G56" s="233" t="s">
        <v>120</v>
      </c>
      <c r="H56" s="150"/>
    </row>
    <row r="57" spans="1:12">
      <c r="A57" s="27"/>
      <c r="D57" s="150"/>
      <c r="E57" s="78" t="s">
        <v>320</v>
      </c>
      <c r="F57" s="231">
        <f>'Design Calculator'!F77</f>
        <v>120</v>
      </c>
      <c r="G57" s="233" t="s">
        <v>120</v>
      </c>
      <c r="H57" s="150"/>
    </row>
    <row r="58" spans="1:12">
      <c r="A58" s="27"/>
      <c r="D58" s="150"/>
      <c r="E58" s="78" t="s">
        <v>323</v>
      </c>
      <c r="F58" s="150">
        <f>'Device Parameters'!D22/'Device Parameters'!D25*F57</f>
        <v>6.2399999999999993</v>
      </c>
      <c r="G58" s="233" t="s">
        <v>8</v>
      </c>
      <c r="H58" s="150"/>
    </row>
    <row r="59" spans="1:12">
      <c r="A59" s="27"/>
      <c r="D59" s="150"/>
      <c r="E59" s="78" t="s">
        <v>331</v>
      </c>
      <c r="F59" s="150">
        <f>SOA!C26/F47</f>
        <v>2.4166268718907182</v>
      </c>
      <c r="G59" s="233"/>
      <c r="H59" s="150"/>
    </row>
    <row r="60" spans="1:12">
      <c r="A60" s="27"/>
      <c r="D60" s="362" t="s">
        <v>340</v>
      </c>
      <c r="E60" s="363"/>
      <c r="F60" s="363"/>
      <c r="G60" s="363"/>
      <c r="H60" s="150"/>
    </row>
    <row r="61" spans="1:12">
      <c r="A61" s="27"/>
      <c r="C61" s="33"/>
      <c r="D61" s="234"/>
      <c r="E61" s="78" t="s">
        <v>337</v>
      </c>
      <c r="F61" s="235">
        <f>'Design Calculator'!F83</f>
        <v>0.5</v>
      </c>
      <c r="G61" s="235" t="s">
        <v>338</v>
      </c>
      <c r="H61" s="150"/>
    </row>
    <row r="62" spans="1:12">
      <c r="A62" s="27"/>
      <c r="C62" s="33"/>
      <c r="D62" s="234"/>
      <c r="E62" s="78" t="s">
        <v>361</v>
      </c>
      <c r="F62" s="232">
        <f>'Device Parameters'!D30/ss_rate</f>
        <v>40</v>
      </c>
      <c r="G62" s="233" t="s">
        <v>120</v>
      </c>
      <c r="H62" s="150"/>
    </row>
    <row r="63" spans="1:12">
      <c r="A63" s="27"/>
      <c r="C63" s="33"/>
      <c r="D63" s="234"/>
      <c r="E63" s="78" t="s">
        <v>362</v>
      </c>
      <c r="F63" s="235">
        <f>'Design Calculator'!F85</f>
        <v>39</v>
      </c>
      <c r="G63" s="233" t="s">
        <v>120</v>
      </c>
      <c r="H63" s="150"/>
    </row>
    <row r="64" spans="1:12">
      <c r="A64" s="27"/>
      <c r="C64" s="33"/>
      <c r="D64" s="234"/>
      <c r="E64" s="78" t="s">
        <v>363</v>
      </c>
      <c r="F64" s="232">
        <f>ss_rate*F62/F63</f>
        <v>0.51282051282051277</v>
      </c>
      <c r="G64" s="233" t="s">
        <v>338</v>
      </c>
      <c r="H64" s="150"/>
    </row>
    <row r="65" spans="1:8">
      <c r="A65" s="27"/>
      <c r="C65" s="33"/>
      <c r="D65" s="234"/>
      <c r="E65" s="78" t="s">
        <v>339</v>
      </c>
      <c r="F65" s="235">
        <f>COUTMAX*F64/1000</f>
        <v>0.10769230769230768</v>
      </c>
      <c r="G65" s="235" t="s">
        <v>25</v>
      </c>
      <c r="H65" s="150"/>
    </row>
    <row r="66" spans="1:8">
      <c r="A66" s="27"/>
      <c r="C66" s="33"/>
      <c r="D66" s="234"/>
      <c r="E66" s="78" t="s">
        <v>354</v>
      </c>
      <c r="F66" s="235">
        <f>VINMAX/F64</f>
        <v>117.00000000000001</v>
      </c>
      <c r="G66" s="235" t="s">
        <v>8</v>
      </c>
      <c r="H66" s="150"/>
    </row>
    <row r="67" spans="1:8">
      <c r="A67" s="27"/>
      <c r="C67" s="33"/>
      <c r="D67" s="234"/>
      <c r="E67" s="78" t="s">
        <v>355</v>
      </c>
      <c r="F67" s="235">
        <f>Start_up!N5</f>
        <v>0.37436538461538454</v>
      </c>
      <c r="G67" s="235" t="s">
        <v>344</v>
      </c>
      <c r="H67" s="150"/>
    </row>
    <row r="68" spans="1:8">
      <c r="A68" s="27"/>
      <c r="C68" s="33"/>
      <c r="D68" s="234"/>
      <c r="E68" s="78" t="s">
        <v>356</v>
      </c>
      <c r="F68" s="235">
        <f>Start_up!Q4</f>
        <v>119.99999999999999</v>
      </c>
      <c r="G68" s="235" t="s">
        <v>87</v>
      </c>
      <c r="H68" s="150"/>
    </row>
    <row r="69" spans="1:8">
      <c r="A69" s="27"/>
      <c r="D69" s="236"/>
      <c r="E69" s="78" t="s">
        <v>357</v>
      </c>
      <c r="F69" s="235">
        <f>F67/F68*1000</f>
        <v>3.1197115384615381</v>
      </c>
      <c r="G69" s="235" t="s">
        <v>8</v>
      </c>
      <c r="H69" s="150"/>
    </row>
    <row r="70" spans="1:8">
      <c r="A70" s="27"/>
      <c r="D70" s="150"/>
      <c r="E70" s="78" t="s">
        <v>358</v>
      </c>
      <c r="F70" s="233">
        <f>SOA!H28</f>
        <v>470.79284161107938</v>
      </c>
      <c r="G70" s="235" t="s">
        <v>87</v>
      </c>
      <c r="H70" s="150"/>
    </row>
    <row r="71" spans="1:8">
      <c r="A71" s="27"/>
      <c r="D71" s="150"/>
      <c r="E71" s="78" t="s">
        <v>359</v>
      </c>
      <c r="F71" s="233">
        <f>F70/F68</f>
        <v>3.9232736800923287</v>
      </c>
      <c r="G71" s="233"/>
      <c r="H71" s="150"/>
    </row>
    <row r="72" spans="1:8">
      <c r="A72" s="27"/>
      <c r="D72" s="150"/>
      <c r="E72" s="78"/>
      <c r="F72" s="233"/>
      <c r="G72" s="233"/>
      <c r="H72" s="150"/>
    </row>
    <row r="73" spans="1:8">
      <c r="A73" s="27"/>
      <c r="D73" s="150"/>
      <c r="E73" s="78"/>
      <c r="F73" s="233">
        <v>1</v>
      </c>
      <c r="G73" s="235" t="s">
        <v>8</v>
      </c>
      <c r="H73" s="150"/>
    </row>
    <row r="74" spans="1:8">
      <c r="A74" s="27"/>
      <c r="D74" s="364" t="s">
        <v>368</v>
      </c>
      <c r="E74" s="364"/>
      <c r="F74" s="364"/>
      <c r="G74" s="364"/>
      <c r="H74" s="364"/>
    </row>
    <row r="75" spans="1:8">
      <c r="A75" s="27"/>
      <c r="D75" s="150"/>
      <c r="E75" s="78" t="s">
        <v>364</v>
      </c>
      <c r="F75" s="237">
        <f>'Design Calculator'!F88</f>
        <v>0.52</v>
      </c>
      <c r="G75" s="233"/>
      <c r="H75" s="150"/>
    </row>
    <row r="76" spans="1:8">
      <c r="A76" s="27"/>
      <c r="D76" s="150"/>
      <c r="E76" s="78" t="s">
        <v>365</v>
      </c>
      <c r="F76" s="233">
        <f>'Device Parameters'!D25/'Device Parameters'!D22*F75</f>
        <v>10</v>
      </c>
      <c r="G76" s="233" t="s">
        <v>120</v>
      </c>
      <c r="H76" s="150"/>
    </row>
    <row r="77" spans="1:8">
      <c r="A77" s="27"/>
      <c r="D77" s="150"/>
      <c r="E77" s="199" t="s">
        <v>366</v>
      </c>
      <c r="F77" s="237">
        <f>'Design Calculator'!F90</f>
        <v>10</v>
      </c>
      <c r="G77" s="233" t="s">
        <v>120</v>
      </c>
      <c r="H77" s="150"/>
    </row>
    <row r="78" spans="1:8">
      <c r="A78" s="27"/>
      <c r="D78" s="150"/>
      <c r="E78" s="78" t="s">
        <v>371</v>
      </c>
      <c r="F78" s="233">
        <f>'Device Parameters'!D22/'Device Parameters'!D25*F77</f>
        <v>0.52</v>
      </c>
      <c r="G78" s="233" t="s">
        <v>8</v>
      </c>
      <c r="H78" s="150"/>
    </row>
    <row r="79" spans="1:8">
      <c r="A79" s="27"/>
      <c r="D79" s="150"/>
      <c r="E79" s="199" t="s">
        <v>370</v>
      </c>
      <c r="F79" s="233">
        <f>SOA!C26</f>
        <v>289.99522462688617</v>
      </c>
      <c r="G79" s="233" t="s">
        <v>87</v>
      </c>
      <c r="H79" s="150"/>
    </row>
    <row r="80" spans="1:8">
      <c r="A80" s="27"/>
      <c r="D80" s="150"/>
      <c r="E80" s="78" t="s">
        <v>359</v>
      </c>
      <c r="F80" s="233">
        <f>F79/F42</f>
        <v>2.4166268718907182</v>
      </c>
      <c r="G80" s="233"/>
      <c r="H80" s="150"/>
    </row>
    <row r="81" spans="1:13">
      <c r="A81" s="27"/>
      <c r="D81" s="150"/>
      <c r="E81" s="78"/>
      <c r="F81" s="233"/>
      <c r="G81" s="233"/>
      <c r="H81" s="150"/>
    </row>
    <row r="82" spans="1:13">
      <c r="A82" s="27"/>
      <c r="D82" s="150"/>
      <c r="E82" s="78"/>
      <c r="F82" s="233"/>
      <c r="G82" s="233"/>
      <c r="H82" s="150"/>
    </row>
    <row r="83" spans="1:13">
      <c r="A83" s="27"/>
      <c r="D83" s="150"/>
      <c r="E83" s="78"/>
      <c r="F83" s="233"/>
      <c r="G83" s="233"/>
      <c r="H83" s="150"/>
    </row>
    <row r="84" spans="1:13">
      <c r="A84" s="27"/>
      <c r="D84" s="150"/>
      <c r="E84" s="78"/>
      <c r="F84" s="233"/>
      <c r="G84" s="233"/>
      <c r="H84" s="150"/>
    </row>
    <row r="85" spans="1:13">
      <c r="A85" s="27"/>
      <c r="D85" s="150"/>
      <c r="E85" s="78"/>
      <c r="F85" s="233"/>
      <c r="G85" s="233"/>
      <c r="H85" s="150"/>
    </row>
    <row r="86" spans="1:13">
      <c r="A86" s="27"/>
      <c r="D86" s="150"/>
      <c r="E86" s="78"/>
      <c r="F86" s="233"/>
      <c r="G86" s="233"/>
      <c r="H86" s="150"/>
    </row>
    <row r="87" spans="1:13">
      <c r="A87" s="27"/>
      <c r="D87" s="150"/>
      <c r="E87" s="78"/>
      <c r="F87" s="233"/>
      <c r="G87" s="233"/>
      <c r="H87" s="150"/>
    </row>
    <row r="88" spans="1:13">
      <c r="A88" s="27"/>
      <c r="D88" s="150"/>
      <c r="E88" s="78"/>
      <c r="F88" s="233"/>
      <c r="G88" s="233"/>
      <c r="H88" s="150"/>
    </row>
    <row r="89" spans="1:13">
      <c r="A89" s="27"/>
      <c r="D89" s="150"/>
      <c r="E89" s="150"/>
      <c r="F89" s="233"/>
      <c r="G89" s="150"/>
      <c r="H89" s="150"/>
    </row>
    <row r="90" spans="1:13">
      <c r="A90" s="33"/>
      <c r="D90" s="150"/>
      <c r="E90" s="78"/>
      <c r="F90" s="233"/>
      <c r="G90" s="150"/>
      <c r="H90" s="150"/>
    </row>
    <row r="91" spans="1:13">
      <c r="A91" s="33"/>
      <c r="D91" s="150"/>
      <c r="E91" s="78"/>
      <c r="F91" s="233"/>
      <c r="G91" s="150"/>
      <c r="H91" s="150"/>
    </row>
    <row r="92" spans="1:13">
      <c r="D92" s="233"/>
      <c r="E92" s="78"/>
      <c r="F92" s="233"/>
      <c r="G92" s="150"/>
      <c r="H92" s="150"/>
    </row>
    <row r="93" spans="1:13">
      <c r="D93" s="233"/>
      <c r="E93" s="78"/>
      <c r="F93" s="233"/>
      <c r="G93" s="150"/>
      <c r="H93" s="150"/>
    </row>
    <row r="94" spans="1:13">
      <c r="D94" s="233"/>
      <c r="E94" s="78"/>
      <c r="F94" s="233"/>
      <c r="G94" s="150"/>
      <c r="H94" s="150"/>
    </row>
    <row r="95" spans="1:13">
      <c r="D95" s="150"/>
      <c r="E95" s="78"/>
      <c r="F95" s="233"/>
      <c r="G95" s="150"/>
      <c r="H95" s="150"/>
      <c r="J95" s="6"/>
      <c r="M95" s="6"/>
    </row>
    <row r="96" spans="1:13">
      <c r="D96" s="150"/>
      <c r="E96" s="78"/>
      <c r="F96" s="233"/>
      <c r="G96" s="150"/>
      <c r="H96" s="150"/>
      <c r="J96" s="6"/>
      <c r="M96" s="6"/>
    </row>
    <row r="97" spans="4:13">
      <c r="D97" s="150"/>
      <c r="E97" s="230"/>
      <c r="F97" s="233"/>
      <c r="G97" s="150" t="s">
        <v>16</v>
      </c>
      <c r="H97" s="150"/>
      <c r="J97" s="7"/>
      <c r="M97" s="7"/>
    </row>
    <row r="98" spans="4:13">
      <c r="D98" s="150"/>
      <c r="E98" s="78"/>
      <c r="F98" s="233"/>
      <c r="G98" s="150"/>
      <c r="H98" s="150"/>
      <c r="J98" s="7"/>
      <c r="M98" s="7"/>
    </row>
    <row r="99" spans="4:13">
      <c r="D99" s="150"/>
      <c r="E99" s="230"/>
      <c r="F99" s="233"/>
      <c r="G99" s="150"/>
      <c r="H99" s="150"/>
    </row>
    <row r="100" spans="4:13">
      <c r="D100" s="150"/>
      <c r="E100" s="230"/>
      <c r="F100" s="233"/>
      <c r="G100" s="150"/>
      <c r="H100" s="150"/>
      <c r="I100" t="s">
        <v>27</v>
      </c>
      <c r="L100" t="s">
        <v>50</v>
      </c>
    </row>
    <row r="101" spans="4:13">
      <c r="D101" s="150"/>
      <c r="E101" s="78"/>
      <c r="F101" s="233"/>
      <c r="G101" s="233" t="s">
        <v>25</v>
      </c>
      <c r="H101" s="150"/>
    </row>
    <row r="102" spans="4:13">
      <c r="D102" s="150"/>
      <c r="E102" s="78"/>
      <c r="F102" s="233"/>
      <c r="G102" s="233" t="s">
        <v>202</v>
      </c>
      <c r="H102" s="150"/>
    </row>
    <row r="103" spans="4:13">
      <c r="D103" s="150"/>
      <c r="E103" s="78"/>
      <c r="F103" s="233"/>
      <c r="G103" s="233" t="s">
        <v>120</v>
      </c>
      <c r="H103" s="150"/>
    </row>
    <row r="104" spans="4:13">
      <c r="D104" s="150"/>
      <c r="E104" s="78"/>
      <c r="F104" s="150"/>
      <c r="G104" s="233"/>
      <c r="H104" s="150"/>
    </row>
    <row r="105" spans="4:13">
      <c r="D105" s="150"/>
      <c r="E105" s="78"/>
      <c r="F105" s="150"/>
      <c r="G105" s="233"/>
      <c r="H105" s="150"/>
    </row>
    <row r="106" spans="4:13">
      <c r="D106" s="150"/>
      <c r="E106" s="78" t="s">
        <v>241</v>
      </c>
      <c r="F106" s="231">
        <f>IF('Design Calculator'!F72="YES", Equations!F77, Equations!F57)*'Device Parameters'!C39*1000/'Device Parameters'!E43*0.001</f>
        <v>76.067796610169495</v>
      </c>
      <c r="G106" s="233" t="s">
        <v>8</v>
      </c>
      <c r="H106" s="150"/>
    </row>
    <row r="107" spans="4:13">
      <c r="D107" s="150"/>
      <c r="E107" s="78" t="s">
        <v>9</v>
      </c>
      <c r="F107" s="231">
        <f>IF('Design Calculator'!F72="YES", Equations!F77, Equations!F57)*0.001*'Device Parameters'!D39*1000/'Device Parameters'!D43</f>
        <v>97.5</v>
      </c>
      <c r="G107" s="233" t="s">
        <v>8</v>
      </c>
      <c r="H107" s="150"/>
    </row>
    <row r="108" spans="4:13">
      <c r="D108" s="150"/>
      <c r="E108" s="78" t="s">
        <v>242</v>
      </c>
      <c r="F108" s="231">
        <f>IF('Design Calculator'!F72="YES", Equations!F77, Equations!F57)*0.001*'Device Parameters'!E39*1000/'Device Parameters'!C43</f>
        <v>148</v>
      </c>
      <c r="G108" s="233" t="s">
        <v>8</v>
      </c>
      <c r="H108" s="150"/>
    </row>
    <row r="109" spans="4:13">
      <c r="D109" s="150"/>
      <c r="E109" s="78" t="s">
        <v>243</v>
      </c>
      <c r="F109" s="150">
        <f>IF('Design Calculator'!F72="YES", Equations!F77, Equations!F57)*(H109+I109+J109)</f>
        <v>1114.5852631578948</v>
      </c>
      <c r="G109" s="233" t="s">
        <v>8</v>
      </c>
      <c r="H109" s="150">
        <f>(('Device Parameters'!C39-'Device Parameters'!E40)/'Device Parameters'!E45)*7</f>
        <v>0.18421052631578946</v>
      </c>
      <c r="I109">
        <f>(('Device Parameters'!C39-'Device Parameters'!C40)/'Device Parameters'!D46)*8</f>
        <v>8.8320000000000007</v>
      </c>
      <c r="J109">
        <f>(('Device Parameters'!C40-'Device Parameters'!D41)/'Device Parameters'!D46)</f>
        <v>0.27199999999999996</v>
      </c>
    </row>
    <row r="110" spans="4:13">
      <c r="D110" s="150"/>
      <c r="E110" s="78" t="s">
        <v>10</v>
      </c>
      <c r="F110" s="150">
        <f>IF('Design Calculator'!F72="YES", Equations!F77, Equations!F57)*(H110+I110+J110)</f>
        <v>1144.9599999999998</v>
      </c>
      <c r="G110" s="233" t="s">
        <v>8</v>
      </c>
      <c r="H110" s="150">
        <f>(('Device Parameters'!D39-'Device Parameters'!D40)/'Device Parameters'!D45)*7</f>
        <v>0.26133333333333331</v>
      </c>
      <c r="I110">
        <f>(('Device Parameters'!D39-'Device Parameters'!D40)/'Device Parameters'!D46)*8</f>
        <v>8.9599999999999991</v>
      </c>
      <c r="J110">
        <f>(('Device Parameters'!D40-'Device Parameters'!D41)/'Device Parameters'!D46)</f>
        <v>0.32</v>
      </c>
    </row>
    <row r="111" spans="4:13">
      <c r="D111" s="150"/>
      <c r="E111" s="78" t="s">
        <v>263</v>
      </c>
      <c r="F111" s="150">
        <f>IF('Design Calculator'!F72="YES", Equations!F77, Equations!F57)*(H111+I111+J111)</f>
        <v>1183.7520000000002</v>
      </c>
      <c r="G111" s="233" t="s">
        <v>8</v>
      </c>
      <c r="H111" s="150">
        <f>(('Device Parameters'!E39-'Device Parameters'!C40)/'Device Parameters'!C45)*7</f>
        <v>0.43260000000000004</v>
      </c>
      <c r="I111">
        <f>(('Device Parameters'!E39-'Device Parameters'!E40)/'Device Parameters'!D46)*8</f>
        <v>9.0560000000000009</v>
      </c>
      <c r="J111">
        <f>(('Device Parameters'!E40-'Device Parameters'!D41)/'Device Parameters'!D46)</f>
        <v>0.376</v>
      </c>
    </row>
    <row r="112" spans="4:13">
      <c r="D112" s="150"/>
      <c r="E112" s="78" t="s">
        <v>262</v>
      </c>
      <c r="F112" s="150">
        <f>(1+'Design Calculator'!F122/'Design Calculator'!F123)*'Device Parameters'!C51</f>
        <v>36.838571428571434</v>
      </c>
      <c r="G112" s="233"/>
      <c r="H112" s="150"/>
    </row>
    <row r="113" spans="4:12">
      <c r="D113" s="150"/>
      <c r="E113" s="78" t="s">
        <v>261</v>
      </c>
      <c r="F113" s="150">
        <f>(1+'Design Calculator'!F122/'Design Calculator'!F123)*'Device Parameters'!D51</f>
        <v>37.602857142857147</v>
      </c>
      <c r="G113" s="233"/>
      <c r="H113" s="150"/>
    </row>
    <row r="114" spans="4:12">
      <c r="D114" s="150"/>
      <c r="E114" s="78" t="s">
        <v>260</v>
      </c>
      <c r="F114" s="150">
        <f>(1+'Design Calculator'!F122/'Design Calculator'!F123)*'Device Parameters'!E51</f>
        <v>38.520000000000003</v>
      </c>
      <c r="G114" s="150"/>
      <c r="H114" s="150"/>
    </row>
    <row r="115" spans="4:12">
      <c r="D115" s="150"/>
      <c r="E115" s="78" t="s">
        <v>264</v>
      </c>
      <c r="F115" s="150">
        <f>('Design Calculator'!F122*'Device Parameters'!C52)</f>
        <v>2250</v>
      </c>
      <c r="G115" s="150"/>
      <c r="H115" s="150"/>
    </row>
    <row r="116" spans="4:12">
      <c r="D116" s="150"/>
      <c r="E116" s="78" t="s">
        <v>265</v>
      </c>
      <c r="F116" s="150">
        <f>('Design Calculator'!F122*'Device Parameters'!$D$52)</f>
        <v>3000</v>
      </c>
      <c r="G116" s="150"/>
      <c r="H116" s="150"/>
    </row>
    <row r="117" spans="4:12">
      <c r="D117" s="150"/>
      <c r="E117" s="78" t="s">
        <v>266</v>
      </c>
      <c r="F117" s="150">
        <f>('Design Calculator'!F122*'Device Parameters'!$E$52)</f>
        <v>3750</v>
      </c>
      <c r="G117" s="150"/>
      <c r="H117" s="150"/>
    </row>
    <row r="118" spans="4:12">
      <c r="D118" s="150"/>
      <c r="E118" s="78"/>
      <c r="F118" s="150"/>
      <c r="G118" s="150"/>
      <c r="H118" s="150"/>
    </row>
    <row r="119" spans="4:12">
      <c r="D119" s="150"/>
      <c r="E119" s="78"/>
      <c r="F119" s="150"/>
      <c r="G119" s="150"/>
      <c r="H119" s="150"/>
    </row>
    <row r="120" spans="4:12">
      <c r="D120" s="238"/>
      <c r="E120" s="150"/>
      <c r="F120" s="150"/>
      <c r="G120" s="150"/>
      <c r="H120" s="150"/>
      <c r="I120" t="s">
        <v>28</v>
      </c>
      <c r="L120" t="s">
        <v>51</v>
      </c>
    </row>
    <row r="121" spans="4:12">
      <c r="D121" s="238"/>
      <c r="E121" s="150"/>
      <c r="F121" s="150"/>
      <c r="G121" s="150"/>
      <c r="H121" s="150"/>
      <c r="I121" t="s">
        <v>29</v>
      </c>
      <c r="L121" t="s">
        <v>52</v>
      </c>
    </row>
    <row r="122" spans="4:12">
      <c r="D122" s="238"/>
      <c r="E122" s="150"/>
      <c r="F122" s="150"/>
      <c r="G122" s="150"/>
      <c r="H122" s="150"/>
      <c r="I122" t="s">
        <v>30</v>
      </c>
      <c r="L122" t="s">
        <v>53</v>
      </c>
    </row>
    <row r="123" spans="4:12">
      <c r="D123" s="150"/>
      <c r="E123" s="150"/>
      <c r="F123" s="150"/>
      <c r="G123" s="150"/>
      <c r="H123" s="150"/>
    </row>
    <row r="124" spans="4:12">
      <c r="D124" s="150"/>
      <c r="E124" s="150"/>
      <c r="F124" s="150"/>
      <c r="G124" s="150"/>
      <c r="H124" s="150"/>
    </row>
    <row r="125" spans="4:12">
      <c r="D125" s="150"/>
      <c r="E125" s="230" t="s">
        <v>19</v>
      </c>
      <c r="F125" s="150"/>
      <c r="G125" s="150"/>
      <c r="H125" s="150"/>
    </row>
    <row r="126" spans="4:12">
      <c r="D126" s="150"/>
      <c r="E126" s="230" t="s">
        <v>20</v>
      </c>
      <c r="F126" s="150"/>
      <c r="G126" s="150"/>
      <c r="H126" s="150"/>
    </row>
    <row r="127" spans="4:12">
      <c r="D127" s="150"/>
      <c r="E127" s="230"/>
      <c r="F127" s="232" t="s">
        <v>25</v>
      </c>
      <c r="G127" s="232" t="s">
        <v>26</v>
      </c>
      <c r="H127" s="232" t="s">
        <v>449</v>
      </c>
      <c r="I127" s="225" t="s">
        <v>450</v>
      </c>
    </row>
    <row r="128" spans="4:12">
      <c r="D128" s="150"/>
      <c r="E128" s="230" t="s">
        <v>33</v>
      </c>
      <c r="F128" s="239">
        <f>('Design Calculator'!F96-'Design Calculator'!F97)*1000/20</f>
        <v>150</v>
      </c>
      <c r="G128" s="239">
        <f>('Design Calculator'!F96-'Design Calculator'!F97)*1000/20</f>
        <v>150</v>
      </c>
      <c r="H128" s="150"/>
    </row>
    <row r="129" spans="2:8">
      <c r="D129" s="150"/>
      <c r="E129" s="230" t="s">
        <v>32</v>
      </c>
      <c r="F129" s="239">
        <f>2.48*F128/('Design Calculator'!F97-2.48)-F130</f>
        <v>5.3292648311098487</v>
      </c>
      <c r="G129" s="239">
        <f>2.48*G128/('Design Calculator'!F97-2.48)</f>
        <v>11.43911439114391</v>
      </c>
      <c r="H129" s="150"/>
    </row>
    <row r="130" spans="2:8">
      <c r="D130" s="150"/>
      <c r="E130" s="230" t="s">
        <v>31</v>
      </c>
      <c r="F130" s="239">
        <f>(F128*'Design Calculator'!F97*2.46)/('Design Calculator'!F98*('Design Calculator'!F97-2.48))</f>
        <v>6.1098495600340614</v>
      </c>
      <c r="G130" s="239">
        <f>('Design Calculator'!F98-'Design Calculator'!F99)*1000/21</f>
        <v>95.238095238095241</v>
      </c>
      <c r="H130" s="150"/>
    </row>
    <row r="131" spans="2:8">
      <c r="D131" s="150"/>
      <c r="E131" s="230" t="s">
        <v>34</v>
      </c>
      <c r="F131" s="232"/>
      <c r="G131" s="239">
        <f>2.46*G130/('Design Calculator'!F98-2.46)</f>
        <v>3.7461738772899631</v>
      </c>
      <c r="H131" s="150"/>
    </row>
    <row r="132" spans="2:8">
      <c r="B132" s="10"/>
      <c r="C132" s="11"/>
      <c r="D132" s="240"/>
      <c r="E132" s="12" t="s">
        <v>38</v>
      </c>
      <c r="F132" s="239">
        <f>2.41+('Design Calculator'!F104*((2.41/('Design Calculator'!F105+'Design Calculator'!F106))+(13/1000)))</f>
        <v>7.7448314606741571</v>
      </c>
      <c r="G132" s="239">
        <f>2.41+('Design Calculator'!F$104*((2.41/'Design Calculator'!F$105)+(13/1000)))</f>
        <v>35.794782608695655</v>
      </c>
      <c r="H132" s="150"/>
    </row>
    <row r="133" spans="2:8">
      <c r="B133" s="13"/>
      <c r="C133" s="9"/>
      <c r="D133" s="241"/>
      <c r="E133" s="14" t="s">
        <v>39</v>
      </c>
      <c r="F133" s="239">
        <f>2.48+('Design Calculator'!F104*((2.48/('Design Calculator'!F105+'Design Calculator'!F106))+(20/1000)))</f>
        <v>8.9631460674157299</v>
      </c>
      <c r="G133" s="239">
        <f>2.48+('Design Calculator'!F$104*((2.48/'Design Calculator'!F$105)+(20/1000)))</f>
        <v>37.82782608695652</v>
      </c>
      <c r="H133" s="150"/>
    </row>
    <row r="134" spans="2:8">
      <c r="B134" s="15"/>
      <c r="C134" s="16"/>
      <c r="D134" s="242"/>
      <c r="E134" s="17" t="s">
        <v>40</v>
      </c>
      <c r="F134" s="239">
        <f>2.55+('Design Calculator'!F104*((2.55/('Design Calculator'!F105+'Design Calculator'!F106))+(26/1000)))</f>
        <v>10.031460674157302</v>
      </c>
      <c r="G134" s="239">
        <f>2.55+('Design Calculator'!F$104*((2.55/'Design Calculator'!F$105)+(26/1000)))</f>
        <v>39.710869565217386</v>
      </c>
      <c r="H134" s="150"/>
    </row>
    <row r="135" spans="2:8">
      <c r="D135" s="150"/>
      <c r="E135" s="3" t="s">
        <v>41</v>
      </c>
      <c r="F135" s="239">
        <f>2.41*('Design Calculator'!F104+'Design Calculator'!F105+'Design Calculator'!F106)/('Design Calculator'!F105+'Design Calculator'!F106)</f>
        <v>5.7948314606741578</v>
      </c>
      <c r="G135" s="239">
        <f>2.41*('Design Calculator'!F$104+'Design Calculator'!F$105)/'Design Calculator'!F$105</f>
        <v>33.844782608695652</v>
      </c>
      <c r="H135" s="150"/>
    </row>
    <row r="136" spans="2:8">
      <c r="D136" s="150"/>
      <c r="E136" s="3" t="s">
        <v>42</v>
      </c>
      <c r="F136" s="239">
        <f>2.48*('Design Calculator'!F104+'Design Calculator'!F105+'Design Calculator'!F106)/('Design Calculator'!F105+'Design Calculator'!F106)</f>
        <v>5.9631460674157308</v>
      </c>
      <c r="G136" s="239">
        <f>2.48*('Design Calculator'!F$104+'Design Calculator'!F$105)/'Design Calculator'!F$105</f>
        <v>34.82782608695652</v>
      </c>
      <c r="H136" s="150"/>
    </row>
    <row r="137" spans="2:8">
      <c r="D137" s="150"/>
      <c r="E137" s="3" t="s">
        <v>43</v>
      </c>
      <c r="F137" s="239">
        <f>2.55*('Design Calculator'!F104+'Design Calculator'!F105+'Design Calculator'!F106)/('Design Calculator'!F105+'Design Calculator'!F106)</f>
        <v>6.1314606741573039</v>
      </c>
      <c r="G137" s="239">
        <f>2.55*('Design Calculator'!F$104+'Design Calculator'!F$105)/'Design Calculator'!F$105</f>
        <v>35.810869565217388</v>
      </c>
      <c r="H137" s="150"/>
    </row>
    <row r="138" spans="2:8">
      <c r="B138" s="10"/>
      <c r="C138" s="11"/>
      <c r="D138" s="240"/>
      <c r="E138" s="12" t="s">
        <v>44</v>
      </c>
      <c r="F138" s="239">
        <f>2.39*('Design Calculator'!F104+'Design Calculator'!F105+'Design Calculator'!F106)/'Design Calculator'!F106</f>
        <v>6.4402098635886684</v>
      </c>
      <c r="G138" s="239">
        <f>2.39*('Design Calculator'!F$106+'Design Calculator'!F$107)/'Design Calculator'!F$107</f>
        <v>64.791917808219182</v>
      </c>
      <c r="H138" s="150"/>
    </row>
    <row r="139" spans="2:8">
      <c r="B139" s="13"/>
      <c r="C139" s="9"/>
      <c r="D139" s="241"/>
      <c r="E139" s="14" t="s">
        <v>45</v>
      </c>
      <c r="F139" s="239">
        <f>2.46*('Design Calculator'!F$104+'Design Calculator'!F$105+'Design Calculator'!F$106)/'Design Calculator'!F$106</f>
        <v>6.6288352570828968</v>
      </c>
      <c r="G139" s="239">
        <f>2.46*('Design Calculator'!F$106+'Design Calculator'!F$107)/'Design Calculator'!F$107</f>
        <v>66.689589041095886</v>
      </c>
      <c r="H139" s="150"/>
    </row>
    <row r="140" spans="2:8">
      <c r="B140" s="15"/>
      <c r="C140" s="16"/>
      <c r="D140" s="242"/>
      <c r="E140" s="17" t="s">
        <v>46</v>
      </c>
      <c r="F140" s="239">
        <f>2.53*('Design Calculator'!F$104+'Design Calculator'!F$105+'Design Calculator'!F$106)/'Design Calculator'!F$106</f>
        <v>6.8174606505771242</v>
      </c>
      <c r="G140" s="239">
        <f>2.53*('Design Calculator'!F$106+'Design Calculator'!F$107)/'Design Calculator'!F$107</f>
        <v>68.587260273972603</v>
      </c>
      <c r="H140" s="150"/>
    </row>
    <row r="141" spans="2:8">
      <c r="D141" s="150"/>
      <c r="E141" s="3" t="s">
        <v>47</v>
      </c>
      <c r="F141" s="239">
        <f>2.39+(('Design Calculator'!F$104+'Design Calculator'!F$105)*((2.39/'Design Calculator'!F$106)-(26/1000)))</f>
        <v>2.2412098635886681</v>
      </c>
      <c r="G141" s="239">
        <f>2.39+('Design Calculator'!F$106*((2.39/'Design Calculator'!F$107)-(26/1000)))</f>
        <v>62.31411780821918</v>
      </c>
      <c r="H141" s="150"/>
    </row>
    <row r="142" spans="2:8">
      <c r="D142" s="150"/>
      <c r="E142" s="3" t="s">
        <v>48</v>
      </c>
      <c r="F142" s="239">
        <f>2.46+(('Design Calculator'!F$104+'Design Calculator'!F$105)*((2.46/'Design Calculator'!F$106)-(21/1000)))</f>
        <v>3.2373352570828957</v>
      </c>
      <c r="G142" s="239">
        <f>2.46+('Design Calculator'!F$106*((2.46/'Design Calculator'!F$107)-(21/1000)))</f>
        <v>64.688289041095885</v>
      </c>
      <c r="H142" s="150"/>
    </row>
    <row r="143" spans="2:8">
      <c r="D143" s="150"/>
      <c r="E143" s="3" t="s">
        <v>49</v>
      </c>
      <c r="F143" s="239">
        <f>2.53+(('Design Calculator'!F$104+'Design Calculator'!F$105)*((2.53/'Design Calculator'!F$106)-(13/1000)))</f>
        <v>4.7179606505771243</v>
      </c>
      <c r="G143" s="239">
        <f>2.53+('Design Calculator'!F$106*((2.53/'Design Calculator'!F$107)-(13/1000)))</f>
        <v>67.348360273972588</v>
      </c>
      <c r="H143" s="150"/>
    </row>
    <row r="144" spans="2:8">
      <c r="D144" s="150"/>
      <c r="E144" s="150"/>
      <c r="F144" s="150"/>
      <c r="G144" s="150"/>
      <c r="H144" s="150"/>
    </row>
    <row r="145" spans="4:8">
      <c r="D145" s="150"/>
      <c r="E145" s="150"/>
      <c r="F145" s="150"/>
      <c r="G145" s="150"/>
      <c r="H145" s="150"/>
    </row>
    <row r="146" spans="4:8">
      <c r="D146" s="150"/>
      <c r="E146" s="150"/>
      <c r="F146" s="150"/>
      <c r="G146" s="150"/>
      <c r="H146" s="150"/>
    </row>
    <row r="147" spans="4:8">
      <c r="D147" s="150"/>
      <c r="E147" s="150"/>
      <c r="F147" s="150"/>
      <c r="G147" s="150"/>
      <c r="H147" s="150"/>
    </row>
    <row r="148" spans="4:8">
      <c r="D148" s="150"/>
      <c r="E148" s="150"/>
      <c r="F148" s="150"/>
      <c r="G148" s="150"/>
      <c r="H148" s="150"/>
    </row>
    <row r="149" spans="4:8">
      <c r="D149" s="150"/>
      <c r="E149" s="150"/>
      <c r="F149" s="150"/>
      <c r="G149" s="150"/>
      <c r="H149" s="150"/>
    </row>
    <row r="150" spans="4:8">
      <c r="D150" s="150"/>
      <c r="E150" s="150"/>
      <c r="F150" s="150"/>
      <c r="G150" s="150"/>
      <c r="H150" s="150"/>
    </row>
    <row r="151" spans="4:8">
      <c r="D151" s="150"/>
      <c r="E151" s="78" t="s">
        <v>117</v>
      </c>
      <c r="F151" s="233" t="e">
        <f>'Design Calculator'!#REF!</f>
        <v>#REF!</v>
      </c>
      <c r="G151" s="233" t="s">
        <v>8</v>
      </c>
      <c r="H151" s="150"/>
    </row>
    <row r="152" spans="4:8">
      <c r="D152" s="150"/>
      <c r="E152" s="78" t="s">
        <v>118</v>
      </c>
      <c r="F152" s="233">
        <f>'Design Calculator'!F28</f>
        <v>48</v>
      </c>
      <c r="G152" s="233" t="s">
        <v>86</v>
      </c>
      <c r="H152" s="150"/>
    </row>
    <row r="153" spans="4:8">
      <c r="D153" s="150"/>
      <c r="E153" s="78" t="s">
        <v>119</v>
      </c>
      <c r="F153" s="150" t="e">
        <f>22/F152*F151</f>
        <v>#REF!</v>
      </c>
      <c r="G153" s="233" t="s">
        <v>120</v>
      </c>
      <c r="H153" s="150"/>
    </row>
    <row r="154" spans="4:8">
      <c r="D154" s="150"/>
      <c r="E154" s="150"/>
      <c r="F154" s="150"/>
      <c r="G154" s="150"/>
      <c r="H154" s="150"/>
    </row>
    <row r="155" spans="4:8">
      <c r="D155" s="150"/>
      <c r="E155" s="150"/>
      <c r="F155" s="150"/>
      <c r="G155" s="150"/>
      <c r="H155" s="150"/>
    </row>
    <row r="156" spans="4:8">
      <c r="D156" s="150"/>
      <c r="E156" s="150"/>
      <c r="F156" s="150"/>
      <c r="G156" s="150"/>
      <c r="H156" s="150"/>
    </row>
    <row r="157" spans="4:8">
      <c r="D157" s="150"/>
      <c r="E157" s="150"/>
      <c r="F157" s="150"/>
      <c r="G157" s="150"/>
      <c r="H157" s="150"/>
    </row>
    <row r="158" spans="4:8">
      <c r="D158" s="150"/>
      <c r="E158" s="150"/>
      <c r="F158" s="150"/>
      <c r="G158" s="150"/>
      <c r="H158" s="150"/>
    </row>
    <row r="159" spans="4:8">
      <c r="D159" s="150"/>
      <c r="E159" s="150"/>
      <c r="F159" s="150"/>
      <c r="G159" s="150"/>
      <c r="H159" s="150"/>
    </row>
    <row r="160" spans="4:8">
      <c r="D160" s="150"/>
      <c r="E160" s="150"/>
      <c r="F160" s="150"/>
      <c r="G160" s="150"/>
      <c r="H160" s="150"/>
    </row>
    <row r="161" spans="3:8">
      <c r="D161" s="150"/>
      <c r="E161" s="150"/>
      <c r="F161" s="150"/>
      <c r="G161" s="150"/>
      <c r="H161" s="150"/>
    </row>
    <row r="162" spans="3:8">
      <c r="D162" s="150"/>
      <c r="E162" s="150"/>
      <c r="F162" s="150"/>
      <c r="G162" s="150"/>
      <c r="H162" s="150"/>
    </row>
    <row r="163" spans="3:8">
      <c r="D163" s="150"/>
      <c r="E163" s="150"/>
      <c r="F163" s="150"/>
      <c r="G163" s="150"/>
      <c r="H163" s="150"/>
    </row>
    <row r="164" spans="3:8">
      <c r="D164" s="150"/>
      <c r="E164" s="150"/>
      <c r="F164" s="150"/>
      <c r="G164" s="150"/>
      <c r="H164" s="150"/>
    </row>
    <row r="165" spans="3:8">
      <c r="D165" s="150"/>
      <c r="E165" s="150"/>
      <c r="F165" s="150"/>
      <c r="G165" s="150"/>
      <c r="H165" s="150"/>
    </row>
    <row r="166" spans="3:8">
      <c r="D166" s="150"/>
      <c r="E166" s="150"/>
      <c r="F166" s="150"/>
      <c r="G166" s="150"/>
      <c r="H166" s="150"/>
    </row>
    <row r="167" spans="3:8">
      <c r="D167" s="150"/>
      <c r="E167" s="150"/>
      <c r="F167" s="150"/>
      <c r="G167" s="150"/>
      <c r="H167" s="150"/>
    </row>
    <row r="168" spans="3:8">
      <c r="D168" s="150"/>
      <c r="E168" s="150"/>
      <c r="F168" s="150"/>
      <c r="G168" s="150"/>
      <c r="H168" s="150"/>
    </row>
    <row r="169" spans="3:8">
      <c r="D169" s="150"/>
      <c r="E169" s="150"/>
      <c r="F169" s="150"/>
      <c r="G169" s="150"/>
      <c r="H169" s="150"/>
    </row>
    <row r="170" spans="3:8">
      <c r="D170" s="150"/>
      <c r="E170" s="150"/>
      <c r="F170" s="150"/>
      <c r="G170" s="150"/>
      <c r="H170" s="150"/>
    </row>
    <row r="171" spans="3:8">
      <c r="D171" s="150"/>
      <c r="E171" s="150"/>
      <c r="F171" s="150"/>
      <c r="G171" s="150"/>
      <c r="H171" s="150"/>
    </row>
    <row r="174" spans="3:8">
      <c r="C174" s="27" t="s">
        <v>56</v>
      </c>
    </row>
    <row r="175" spans="3:8">
      <c r="E175" s="2" t="s">
        <v>57</v>
      </c>
      <c r="F175" s="1">
        <f>'Design Calculator'!F40</f>
        <v>3</v>
      </c>
    </row>
    <row r="176" spans="3:8" ht="15.6">
      <c r="E176" s="2" t="s">
        <v>58</v>
      </c>
      <c r="F176" s="1">
        <f>'Design Calculator'!F67</f>
        <v>37.799999999999997</v>
      </c>
    </row>
    <row r="177" spans="2:25">
      <c r="E177" s="2" t="s">
        <v>59</v>
      </c>
      <c r="F177" s="1">
        <f>'Design Calculator'!F29</f>
        <v>60</v>
      </c>
    </row>
    <row r="179" spans="2:25">
      <c r="E179" s="2" t="s">
        <v>60</v>
      </c>
      <c r="F179" s="18">
        <f>F24</f>
        <v>15.666666666666666</v>
      </c>
    </row>
    <row r="180" spans="2:25">
      <c r="E180" s="2" t="s">
        <v>61</v>
      </c>
      <c r="F180" s="18">
        <f>F25</f>
        <v>16.666666666666668</v>
      </c>
    </row>
    <row r="181" spans="2:25">
      <c r="E181" s="2" t="s">
        <v>62</v>
      </c>
      <c r="F181" s="18">
        <f>F26</f>
        <v>17.666666666666668</v>
      </c>
    </row>
    <row r="183" spans="2:25">
      <c r="E183" s="2" t="s">
        <v>63</v>
      </c>
      <c r="F183" s="6">
        <f>F46</f>
        <v>91.199999999999989</v>
      </c>
    </row>
    <row r="184" spans="2:25">
      <c r="E184" s="2" t="s">
        <v>64</v>
      </c>
      <c r="F184" s="6">
        <f>F47</f>
        <v>119.99999999999999</v>
      </c>
      <c r="Y184" s="33" t="s">
        <v>87</v>
      </c>
    </row>
    <row r="185" spans="2:25">
      <c r="E185" s="2" t="s">
        <v>65</v>
      </c>
      <c r="F185" s="6">
        <f>F48</f>
        <v>148.79999999999998</v>
      </c>
    </row>
    <row r="190" spans="2:25">
      <c r="D190" t="s">
        <v>66</v>
      </c>
      <c r="E190" s="2"/>
      <c r="I190" t="s">
        <v>67</v>
      </c>
      <c r="N190" t="s">
        <v>82</v>
      </c>
      <c r="R190" s="33" t="s">
        <v>88</v>
      </c>
    </row>
    <row r="191" spans="2:25">
      <c r="D191" t="s">
        <v>68</v>
      </c>
      <c r="I191" t="s">
        <v>69</v>
      </c>
      <c r="N191" t="s">
        <v>74</v>
      </c>
      <c r="R191" s="33" t="s">
        <v>89</v>
      </c>
    </row>
    <row r="192" spans="2:25">
      <c r="B192" s="33" t="s">
        <v>146</v>
      </c>
      <c r="D192" s="5" t="s">
        <v>70</v>
      </c>
      <c r="E192" s="5" t="s">
        <v>71</v>
      </c>
      <c r="F192" s="158" t="s">
        <v>72</v>
      </c>
      <c r="G192" s="5" t="s">
        <v>73</v>
      </c>
      <c r="I192" s="5" t="s">
        <v>70</v>
      </c>
      <c r="J192" s="5" t="s">
        <v>71</v>
      </c>
      <c r="K192" s="5" t="s">
        <v>72</v>
      </c>
      <c r="L192" s="5" t="s">
        <v>73</v>
      </c>
      <c r="N192" t="s">
        <v>75</v>
      </c>
      <c r="R192" s="5" t="s">
        <v>70</v>
      </c>
      <c r="S192" s="26" t="s">
        <v>71</v>
      </c>
      <c r="T192" s="26" t="s">
        <v>72</v>
      </c>
      <c r="U192" s="26" t="s">
        <v>73</v>
      </c>
      <c r="V192" s="170" t="s">
        <v>81</v>
      </c>
      <c r="X192" s="171" t="s">
        <v>329</v>
      </c>
    </row>
    <row r="193" spans="2:24">
      <c r="B193">
        <f>D193*F193</f>
        <v>90.499999999999986</v>
      </c>
      <c r="D193" s="5">
        <v>1</v>
      </c>
      <c r="E193" s="28">
        <f t="shared" ref="E193:E209" si="0">(1-$F$280)*F193</f>
        <v>67.874999999999986</v>
      </c>
      <c r="F193" s="28">
        <f t="shared" ref="F193:F224" si="1">($F$184+(D193-VINMAX)*$E$277/$E$278)/D193</f>
        <v>90.499999999999986</v>
      </c>
      <c r="G193" s="28">
        <f t="shared" ref="G193:G209" si="2">F193*(1+$F$280)</f>
        <v>113.12499999999999</v>
      </c>
      <c r="I193" s="5">
        <v>1</v>
      </c>
      <c r="J193" s="28">
        <f t="shared" ref="J193:J209" si="3">IF(E193&gt;$F$179,$F$179,E193)</f>
        <v>15.666666666666666</v>
      </c>
      <c r="K193" s="28">
        <f t="shared" ref="K193:K209" si="4">IF(F193&gt;$F$180,$F$180,F193)</f>
        <v>16.666666666666668</v>
      </c>
      <c r="L193" s="28">
        <f t="shared" ref="L193:L209" si="5">IF(G193&gt;$F$181,$F$181,G193)</f>
        <v>17.666666666666668</v>
      </c>
      <c r="N193" t="s">
        <v>76</v>
      </c>
      <c r="R193" s="5">
        <v>1</v>
      </c>
      <c r="S193" s="28">
        <f t="shared" ref="S193:S209" si="6">IF($R193&gt;$F$177,0.0000000005,J193)</f>
        <v>15.666666666666666</v>
      </c>
      <c r="T193" s="28">
        <f t="shared" ref="T193:T209" si="7">IF($R193&gt;$F$177,0.0000000005,K193)</f>
        <v>16.666666666666668</v>
      </c>
      <c r="U193" s="28">
        <f t="shared" ref="U193:U209" si="8">IF($R193&gt;$F$177,0.0000000005,L193)</f>
        <v>17.666666666666668</v>
      </c>
      <c r="V193" s="28">
        <f t="shared" ref="V193:V209" si="9">$X$193/R193</f>
        <v>289.99522462688617</v>
      </c>
      <c r="X193">
        <f>SOA!C26</f>
        <v>289.99522462688617</v>
      </c>
    </row>
    <row r="194" spans="2:24">
      <c r="B194">
        <f t="shared" ref="B194:B257" si="10">D194*F194</f>
        <v>90.999999999999986</v>
      </c>
      <c r="D194" s="5">
        <v>2</v>
      </c>
      <c r="E194" s="28">
        <f t="shared" si="0"/>
        <v>34.124999999999993</v>
      </c>
      <c r="F194" s="28">
        <f t="shared" si="1"/>
        <v>45.499999999999993</v>
      </c>
      <c r="G194" s="28">
        <f t="shared" si="2"/>
        <v>56.874999999999993</v>
      </c>
      <c r="I194" s="5">
        <v>2</v>
      </c>
      <c r="J194" s="28">
        <f t="shared" si="3"/>
        <v>15.666666666666666</v>
      </c>
      <c r="K194" s="28">
        <f t="shared" si="4"/>
        <v>16.666666666666668</v>
      </c>
      <c r="L194" s="28">
        <f t="shared" si="5"/>
        <v>17.666666666666668</v>
      </c>
      <c r="R194" s="5">
        <v>2</v>
      </c>
      <c r="S194" s="28">
        <f t="shared" si="6"/>
        <v>15.666666666666666</v>
      </c>
      <c r="T194" s="28">
        <f t="shared" si="7"/>
        <v>16.666666666666668</v>
      </c>
      <c r="U194" s="28">
        <f t="shared" si="8"/>
        <v>17.666666666666668</v>
      </c>
      <c r="V194" s="28">
        <f t="shared" si="9"/>
        <v>144.99761231344308</v>
      </c>
    </row>
    <row r="195" spans="2:24">
      <c r="B195">
        <f t="shared" si="10"/>
        <v>91.499999999999986</v>
      </c>
      <c r="D195" s="5">
        <v>3</v>
      </c>
      <c r="E195" s="28">
        <f t="shared" si="0"/>
        <v>22.874999999999996</v>
      </c>
      <c r="F195" s="28">
        <f t="shared" si="1"/>
        <v>30.499999999999996</v>
      </c>
      <c r="G195" s="28">
        <f t="shared" si="2"/>
        <v>38.124999999999993</v>
      </c>
      <c r="I195" s="5">
        <v>3</v>
      </c>
      <c r="J195" s="28">
        <f t="shared" si="3"/>
        <v>15.666666666666666</v>
      </c>
      <c r="K195" s="28">
        <f t="shared" si="4"/>
        <v>16.666666666666668</v>
      </c>
      <c r="L195" s="28">
        <f t="shared" si="5"/>
        <v>17.666666666666668</v>
      </c>
      <c r="O195" s="29" t="s">
        <v>77</v>
      </c>
      <c r="R195" s="5">
        <v>3</v>
      </c>
      <c r="S195" s="28">
        <f t="shared" si="6"/>
        <v>15.666666666666666</v>
      </c>
      <c r="T195" s="28">
        <f t="shared" si="7"/>
        <v>16.666666666666668</v>
      </c>
      <c r="U195" s="28">
        <f t="shared" si="8"/>
        <v>17.666666666666668</v>
      </c>
      <c r="V195" s="28">
        <f t="shared" si="9"/>
        <v>96.665074875628719</v>
      </c>
    </row>
    <row r="196" spans="2:24">
      <c r="B196">
        <f t="shared" si="10"/>
        <v>91.999999999999986</v>
      </c>
      <c r="D196" s="5">
        <v>4</v>
      </c>
      <c r="E196" s="28">
        <f t="shared" si="0"/>
        <v>17.249999999999996</v>
      </c>
      <c r="F196" s="28">
        <f t="shared" si="1"/>
        <v>22.999999999999996</v>
      </c>
      <c r="G196" s="28">
        <f t="shared" si="2"/>
        <v>28.749999999999996</v>
      </c>
      <c r="I196" s="5">
        <v>4</v>
      </c>
      <c r="J196" s="28">
        <f t="shared" si="3"/>
        <v>15.666666666666666</v>
      </c>
      <c r="K196" s="28">
        <f t="shared" si="4"/>
        <v>16.666666666666668</v>
      </c>
      <c r="L196" s="28">
        <f t="shared" si="5"/>
        <v>17.666666666666668</v>
      </c>
      <c r="N196" s="8" t="s">
        <v>70</v>
      </c>
      <c r="O196" s="30" t="s">
        <v>78</v>
      </c>
      <c r="R196" s="5">
        <v>4</v>
      </c>
      <c r="S196" s="28">
        <f t="shared" si="6"/>
        <v>15.666666666666666</v>
      </c>
      <c r="T196" s="28">
        <f t="shared" si="7"/>
        <v>16.666666666666668</v>
      </c>
      <c r="U196" s="28">
        <f t="shared" si="8"/>
        <v>17.666666666666668</v>
      </c>
      <c r="V196" s="28">
        <f t="shared" si="9"/>
        <v>72.498806156721542</v>
      </c>
    </row>
    <row r="197" spans="2:24">
      <c r="B197">
        <f t="shared" si="10"/>
        <v>92.499999999999986</v>
      </c>
      <c r="D197" s="5">
        <v>5</v>
      </c>
      <c r="E197" s="28">
        <f t="shared" si="0"/>
        <v>13.874999999999996</v>
      </c>
      <c r="F197" s="28">
        <f t="shared" si="1"/>
        <v>18.499999999999996</v>
      </c>
      <c r="G197" s="28">
        <f t="shared" si="2"/>
        <v>23.124999999999996</v>
      </c>
      <c r="I197" s="5">
        <v>5</v>
      </c>
      <c r="J197" s="28">
        <f t="shared" si="3"/>
        <v>13.874999999999996</v>
      </c>
      <c r="K197" s="28">
        <f t="shared" si="4"/>
        <v>16.666666666666668</v>
      </c>
      <c r="L197" s="28">
        <f t="shared" si="5"/>
        <v>17.666666666666668</v>
      </c>
      <c r="N197" s="5">
        <v>1</v>
      </c>
      <c r="O197" s="5" t="e">
        <f>#REF!</f>
        <v>#REF!</v>
      </c>
      <c r="P197" t="s">
        <v>79</v>
      </c>
      <c r="R197" s="5">
        <v>5</v>
      </c>
      <c r="S197" s="28">
        <f t="shared" si="6"/>
        <v>13.874999999999996</v>
      </c>
      <c r="T197" s="28">
        <f t="shared" si="7"/>
        <v>16.666666666666668</v>
      </c>
      <c r="U197" s="28">
        <f t="shared" si="8"/>
        <v>17.666666666666668</v>
      </c>
      <c r="V197" s="28">
        <f t="shared" si="9"/>
        <v>57.999044925377234</v>
      </c>
    </row>
    <row r="198" spans="2:24">
      <c r="B198">
        <f t="shared" si="10"/>
        <v>92.999999999999986</v>
      </c>
      <c r="D198" s="5">
        <v>6</v>
      </c>
      <c r="E198" s="28">
        <f t="shared" si="0"/>
        <v>11.624999999999998</v>
      </c>
      <c r="F198" s="28">
        <f t="shared" si="1"/>
        <v>15.499999999999998</v>
      </c>
      <c r="G198" s="28">
        <f t="shared" si="2"/>
        <v>19.374999999999996</v>
      </c>
      <c r="I198" s="5">
        <v>6</v>
      </c>
      <c r="J198" s="28">
        <f t="shared" si="3"/>
        <v>11.624999999999998</v>
      </c>
      <c r="K198" s="28">
        <f t="shared" si="4"/>
        <v>15.499999999999998</v>
      </c>
      <c r="L198" s="28">
        <f t="shared" si="5"/>
        <v>17.666666666666668</v>
      </c>
      <c r="N198" s="5">
        <v>2</v>
      </c>
      <c r="O198" s="28" t="e">
        <f>O201+((O197-O201)*3/7)</f>
        <v>#REF!</v>
      </c>
      <c r="R198" s="5">
        <v>6</v>
      </c>
      <c r="S198" s="28">
        <f t="shared" si="6"/>
        <v>11.624999999999998</v>
      </c>
      <c r="T198" s="28">
        <f t="shared" si="7"/>
        <v>15.499999999999998</v>
      </c>
      <c r="U198" s="28">
        <f t="shared" si="8"/>
        <v>17.666666666666668</v>
      </c>
      <c r="V198" s="28">
        <f t="shared" si="9"/>
        <v>48.332537437814359</v>
      </c>
    </row>
    <row r="199" spans="2:24">
      <c r="B199">
        <f t="shared" si="10"/>
        <v>93.499999999999986</v>
      </c>
      <c r="D199" s="5">
        <v>7</v>
      </c>
      <c r="E199" s="28">
        <f t="shared" si="0"/>
        <v>10.017857142857142</v>
      </c>
      <c r="F199" s="28">
        <f t="shared" si="1"/>
        <v>13.357142857142856</v>
      </c>
      <c r="G199" s="28">
        <f t="shared" si="2"/>
        <v>16.696428571428569</v>
      </c>
      <c r="I199" s="5">
        <v>7</v>
      </c>
      <c r="J199" s="28">
        <f t="shared" si="3"/>
        <v>10.017857142857142</v>
      </c>
      <c r="K199" s="28">
        <f t="shared" si="4"/>
        <v>13.357142857142856</v>
      </c>
      <c r="L199" s="28">
        <f t="shared" si="5"/>
        <v>16.696428571428569</v>
      </c>
      <c r="N199" s="5">
        <v>3</v>
      </c>
      <c r="O199" s="28" t="e">
        <f>O201+((O197-O201)*2/8)</f>
        <v>#REF!</v>
      </c>
      <c r="R199" s="5">
        <v>7</v>
      </c>
      <c r="S199" s="28">
        <f t="shared" si="6"/>
        <v>10.017857142857142</v>
      </c>
      <c r="T199" s="28">
        <f t="shared" si="7"/>
        <v>13.357142857142856</v>
      </c>
      <c r="U199" s="28">
        <f t="shared" si="8"/>
        <v>16.696428571428569</v>
      </c>
      <c r="V199" s="28">
        <f t="shared" si="9"/>
        <v>41.427889232412312</v>
      </c>
    </row>
    <row r="200" spans="2:24">
      <c r="B200">
        <f t="shared" si="10"/>
        <v>93.999999999999986</v>
      </c>
      <c r="D200" s="5">
        <v>8</v>
      </c>
      <c r="E200" s="28">
        <f t="shared" si="0"/>
        <v>8.8124999999999982</v>
      </c>
      <c r="F200" s="28">
        <f t="shared" si="1"/>
        <v>11.749999999999998</v>
      </c>
      <c r="G200" s="28">
        <f t="shared" si="2"/>
        <v>14.687499999999998</v>
      </c>
      <c r="I200" s="5">
        <v>8</v>
      </c>
      <c r="J200" s="28">
        <f t="shared" si="3"/>
        <v>8.8124999999999982</v>
      </c>
      <c r="K200" s="28">
        <f t="shared" si="4"/>
        <v>11.749999999999998</v>
      </c>
      <c r="L200" s="28">
        <f t="shared" si="5"/>
        <v>14.687499999999998</v>
      </c>
      <c r="N200" s="5">
        <v>4</v>
      </c>
      <c r="O200" s="28" t="e">
        <f>O201+((O197-O201)*1/9)</f>
        <v>#REF!</v>
      </c>
      <c r="R200" s="5">
        <v>8</v>
      </c>
      <c r="S200" s="28">
        <f t="shared" si="6"/>
        <v>8.8124999999999982</v>
      </c>
      <c r="T200" s="28">
        <f t="shared" si="7"/>
        <v>11.749999999999998</v>
      </c>
      <c r="U200" s="28">
        <f t="shared" si="8"/>
        <v>14.687499999999998</v>
      </c>
      <c r="V200" s="28">
        <f t="shared" si="9"/>
        <v>36.249403078360771</v>
      </c>
    </row>
    <row r="201" spans="2:24">
      <c r="B201">
        <f t="shared" si="10"/>
        <v>94.499999999999986</v>
      </c>
      <c r="D201" s="5">
        <v>9</v>
      </c>
      <c r="E201" s="28">
        <f t="shared" si="0"/>
        <v>7.8749999999999982</v>
      </c>
      <c r="F201" s="28">
        <f t="shared" si="1"/>
        <v>10.499999999999998</v>
      </c>
      <c r="G201" s="28">
        <f t="shared" si="2"/>
        <v>13.124999999999998</v>
      </c>
      <c r="I201" s="5">
        <v>9</v>
      </c>
      <c r="J201" s="28">
        <f t="shared" si="3"/>
        <v>7.8749999999999982</v>
      </c>
      <c r="K201" s="28">
        <f t="shared" si="4"/>
        <v>10.499999999999998</v>
      </c>
      <c r="L201" s="28">
        <f t="shared" si="5"/>
        <v>13.124999999999998</v>
      </c>
      <c r="N201" s="5">
        <v>5</v>
      </c>
      <c r="O201" s="28" t="e">
        <f>#REF!</f>
        <v>#REF!</v>
      </c>
      <c r="P201" t="s">
        <v>80</v>
      </c>
      <c r="R201" s="5">
        <v>9</v>
      </c>
      <c r="S201" s="28">
        <f t="shared" si="6"/>
        <v>7.8749999999999982</v>
      </c>
      <c r="T201" s="28">
        <f t="shared" si="7"/>
        <v>10.499999999999998</v>
      </c>
      <c r="U201" s="28">
        <f t="shared" si="8"/>
        <v>13.124999999999998</v>
      </c>
      <c r="V201" s="28">
        <f t="shared" si="9"/>
        <v>32.221691625209573</v>
      </c>
    </row>
    <row r="202" spans="2:24">
      <c r="B202">
        <f t="shared" si="10"/>
        <v>94.999999999999986</v>
      </c>
      <c r="D202" s="5">
        <v>10</v>
      </c>
      <c r="E202" s="28">
        <f t="shared" si="0"/>
        <v>7.1249999999999982</v>
      </c>
      <c r="F202" s="28">
        <f t="shared" si="1"/>
        <v>9.4999999999999982</v>
      </c>
      <c r="G202" s="28">
        <f t="shared" si="2"/>
        <v>11.874999999999998</v>
      </c>
      <c r="I202" s="5">
        <v>10</v>
      </c>
      <c r="J202" s="28">
        <f t="shared" si="3"/>
        <v>7.1249999999999982</v>
      </c>
      <c r="K202" s="28">
        <f t="shared" si="4"/>
        <v>9.4999999999999982</v>
      </c>
      <c r="L202" s="28">
        <f t="shared" si="5"/>
        <v>11.874999999999998</v>
      </c>
      <c r="N202" s="5">
        <v>6</v>
      </c>
      <c r="O202" s="28" t="e">
        <f>O$206+((O$201-O$206)*4/6)</f>
        <v>#REF!</v>
      </c>
      <c r="R202" s="5">
        <v>10</v>
      </c>
      <c r="S202" s="28">
        <f t="shared" si="6"/>
        <v>7.1249999999999982</v>
      </c>
      <c r="T202" s="28">
        <f t="shared" si="7"/>
        <v>9.4999999999999982</v>
      </c>
      <c r="U202" s="28">
        <f t="shared" si="8"/>
        <v>11.874999999999998</v>
      </c>
      <c r="V202" s="28">
        <f t="shared" si="9"/>
        <v>28.999522462688617</v>
      </c>
    </row>
    <row r="203" spans="2:24">
      <c r="B203">
        <f t="shared" si="10"/>
        <v>95.499999999999972</v>
      </c>
      <c r="D203" s="5">
        <v>11</v>
      </c>
      <c r="E203" s="28">
        <f t="shared" si="0"/>
        <v>6.5113636363636349</v>
      </c>
      <c r="F203" s="28">
        <f t="shared" si="1"/>
        <v>8.6818181818181799</v>
      </c>
      <c r="G203" s="28">
        <f t="shared" si="2"/>
        <v>10.852272727272725</v>
      </c>
      <c r="I203" s="5">
        <v>11</v>
      </c>
      <c r="J203" s="28">
        <f t="shared" si="3"/>
        <v>6.5113636363636349</v>
      </c>
      <c r="K203" s="28">
        <f t="shared" si="4"/>
        <v>8.6818181818181799</v>
      </c>
      <c r="L203" s="28">
        <f t="shared" si="5"/>
        <v>10.852272727272725</v>
      </c>
      <c r="N203" s="5">
        <v>7</v>
      </c>
      <c r="O203" s="28" t="e">
        <f>O$206+((O$201-O$206)*3/7)</f>
        <v>#REF!</v>
      </c>
      <c r="R203" s="5">
        <v>11</v>
      </c>
      <c r="S203" s="28">
        <f t="shared" si="6"/>
        <v>6.5113636363636349</v>
      </c>
      <c r="T203" s="28">
        <f t="shared" si="7"/>
        <v>8.6818181818181799</v>
      </c>
      <c r="U203" s="28">
        <f t="shared" si="8"/>
        <v>10.852272727272725</v>
      </c>
      <c r="V203" s="28">
        <f t="shared" si="9"/>
        <v>26.363202238807833</v>
      </c>
    </row>
    <row r="204" spans="2:24">
      <c r="B204">
        <f t="shared" si="10"/>
        <v>95.999999999999986</v>
      </c>
      <c r="D204" s="5">
        <v>12</v>
      </c>
      <c r="E204" s="28">
        <f t="shared" si="0"/>
        <v>5.9999999999999991</v>
      </c>
      <c r="F204" s="28">
        <f t="shared" si="1"/>
        <v>7.9999999999999991</v>
      </c>
      <c r="G204" s="28">
        <f t="shared" si="2"/>
        <v>9.9999999999999982</v>
      </c>
      <c r="I204" s="5">
        <v>12</v>
      </c>
      <c r="J204" s="28">
        <f t="shared" si="3"/>
        <v>5.9999999999999991</v>
      </c>
      <c r="K204" s="28">
        <f t="shared" si="4"/>
        <v>7.9999999999999991</v>
      </c>
      <c r="L204" s="28">
        <f t="shared" si="5"/>
        <v>9.9999999999999982</v>
      </c>
      <c r="N204" s="5">
        <v>8</v>
      </c>
      <c r="O204" s="28" t="e">
        <f>O$206+((O$201-O$206)*2/8)</f>
        <v>#REF!</v>
      </c>
      <c r="R204" s="5">
        <v>12</v>
      </c>
      <c r="S204" s="28">
        <f t="shared" si="6"/>
        <v>5.9999999999999991</v>
      </c>
      <c r="T204" s="28">
        <f t="shared" si="7"/>
        <v>7.9999999999999991</v>
      </c>
      <c r="U204" s="28">
        <f t="shared" si="8"/>
        <v>9.9999999999999982</v>
      </c>
      <c r="V204" s="28">
        <f t="shared" si="9"/>
        <v>24.16626871890718</v>
      </c>
    </row>
    <row r="205" spans="2:24">
      <c r="B205">
        <f t="shared" si="10"/>
        <v>96.499999999999986</v>
      </c>
      <c r="D205" s="5">
        <v>13</v>
      </c>
      <c r="E205" s="28">
        <f t="shared" si="0"/>
        <v>5.5673076923076916</v>
      </c>
      <c r="F205" s="28">
        <f t="shared" si="1"/>
        <v>7.4230769230769216</v>
      </c>
      <c r="G205" s="28">
        <f t="shared" si="2"/>
        <v>9.2788461538461515</v>
      </c>
      <c r="I205" s="5">
        <v>13</v>
      </c>
      <c r="J205" s="28">
        <f t="shared" si="3"/>
        <v>5.5673076923076916</v>
      </c>
      <c r="K205" s="28">
        <f t="shared" si="4"/>
        <v>7.4230769230769216</v>
      </c>
      <c r="L205" s="28">
        <f t="shared" si="5"/>
        <v>9.2788461538461515</v>
      </c>
      <c r="N205" s="5">
        <v>9</v>
      </c>
      <c r="O205" s="28" t="e">
        <f>O$206+((O$201-O$206)*1/9)</f>
        <v>#REF!</v>
      </c>
      <c r="R205" s="5">
        <v>13</v>
      </c>
      <c r="S205" s="28">
        <f t="shared" si="6"/>
        <v>5.5673076923076916</v>
      </c>
      <c r="T205" s="28">
        <f t="shared" si="7"/>
        <v>7.4230769230769216</v>
      </c>
      <c r="U205" s="28">
        <f t="shared" si="8"/>
        <v>9.2788461538461515</v>
      </c>
      <c r="V205" s="28">
        <f t="shared" si="9"/>
        <v>22.307324971298936</v>
      </c>
    </row>
    <row r="206" spans="2:24">
      <c r="B206">
        <f t="shared" si="10"/>
        <v>96.999999999999986</v>
      </c>
      <c r="D206" s="5">
        <v>14</v>
      </c>
      <c r="E206" s="28">
        <f t="shared" si="0"/>
        <v>5.1964285714285712</v>
      </c>
      <c r="F206" s="28">
        <f t="shared" si="1"/>
        <v>6.9285714285714279</v>
      </c>
      <c r="G206" s="28">
        <f t="shared" si="2"/>
        <v>8.6607142857142847</v>
      </c>
      <c r="I206" s="5">
        <v>14</v>
      </c>
      <c r="J206" s="28">
        <f t="shared" si="3"/>
        <v>5.1964285714285712</v>
      </c>
      <c r="K206" s="28">
        <f t="shared" si="4"/>
        <v>6.9285714285714279</v>
      </c>
      <c r="L206" s="28">
        <f t="shared" si="5"/>
        <v>8.6607142857142847</v>
      </c>
      <c r="N206" s="5">
        <v>10</v>
      </c>
      <c r="O206" s="28" t="e">
        <f>#REF!</f>
        <v>#REF!</v>
      </c>
      <c r="P206" t="s">
        <v>80</v>
      </c>
      <c r="R206" s="5">
        <v>14</v>
      </c>
      <c r="S206" s="28">
        <f t="shared" si="6"/>
        <v>5.1964285714285712</v>
      </c>
      <c r="T206" s="28">
        <f t="shared" si="7"/>
        <v>6.9285714285714279</v>
      </c>
      <c r="U206" s="28">
        <f t="shared" si="8"/>
        <v>8.6607142857142847</v>
      </c>
      <c r="V206" s="28">
        <f t="shared" si="9"/>
        <v>20.713944616206156</v>
      </c>
    </row>
    <row r="207" spans="2:24">
      <c r="B207">
        <f t="shared" si="10"/>
        <v>97.499999999999986</v>
      </c>
      <c r="D207" s="5">
        <v>15</v>
      </c>
      <c r="E207" s="28">
        <f t="shared" si="0"/>
        <v>4.8749999999999991</v>
      </c>
      <c r="F207" s="28">
        <f t="shared" si="1"/>
        <v>6.4999999999999991</v>
      </c>
      <c r="G207" s="28">
        <f t="shared" si="2"/>
        <v>8.1249999999999982</v>
      </c>
      <c r="I207" s="5">
        <v>15</v>
      </c>
      <c r="J207" s="28">
        <f t="shared" si="3"/>
        <v>4.8749999999999991</v>
      </c>
      <c r="K207" s="28">
        <f t="shared" si="4"/>
        <v>6.4999999999999991</v>
      </c>
      <c r="L207" s="28">
        <f t="shared" si="5"/>
        <v>8.1249999999999982</v>
      </c>
      <c r="N207" s="5">
        <v>11</v>
      </c>
      <c r="O207" s="28" t="e">
        <f>O$211+((O$206-O$211)*4/6)</f>
        <v>#REF!</v>
      </c>
      <c r="R207" s="5">
        <v>15</v>
      </c>
      <c r="S207" s="28">
        <f t="shared" si="6"/>
        <v>4.8749999999999991</v>
      </c>
      <c r="T207" s="28">
        <f t="shared" si="7"/>
        <v>6.4999999999999991</v>
      </c>
      <c r="U207" s="28">
        <f t="shared" si="8"/>
        <v>8.1249999999999982</v>
      </c>
      <c r="V207" s="28">
        <f t="shared" si="9"/>
        <v>19.333014975125746</v>
      </c>
    </row>
    <row r="208" spans="2:24">
      <c r="B208">
        <f t="shared" si="10"/>
        <v>97.999999999999986</v>
      </c>
      <c r="D208" s="5">
        <v>16</v>
      </c>
      <c r="E208" s="28">
        <f t="shared" si="0"/>
        <v>4.5937499999999991</v>
      </c>
      <c r="F208" s="28">
        <f t="shared" si="1"/>
        <v>6.1249999999999991</v>
      </c>
      <c r="G208" s="28">
        <f t="shared" si="2"/>
        <v>7.6562499999999991</v>
      </c>
      <c r="I208" s="5">
        <v>16</v>
      </c>
      <c r="J208" s="28">
        <f t="shared" si="3"/>
        <v>4.5937499999999991</v>
      </c>
      <c r="K208" s="28">
        <f t="shared" si="4"/>
        <v>6.1249999999999991</v>
      </c>
      <c r="L208" s="28">
        <f t="shared" si="5"/>
        <v>7.6562499999999991</v>
      </c>
      <c r="N208" s="5">
        <v>12</v>
      </c>
      <c r="O208" s="28" t="e">
        <f>O$211+((O$206-O$211)*3/7)</f>
        <v>#REF!</v>
      </c>
      <c r="R208" s="5">
        <v>16</v>
      </c>
      <c r="S208" s="28">
        <f t="shared" si="6"/>
        <v>4.5937499999999991</v>
      </c>
      <c r="T208" s="28">
        <f t="shared" si="7"/>
        <v>6.1249999999999991</v>
      </c>
      <c r="U208" s="28">
        <f t="shared" si="8"/>
        <v>7.6562499999999991</v>
      </c>
      <c r="V208" s="28">
        <f t="shared" si="9"/>
        <v>18.124701539180386</v>
      </c>
    </row>
    <row r="209" spans="2:22">
      <c r="B209">
        <f t="shared" si="10"/>
        <v>98.499999999999986</v>
      </c>
      <c r="D209" s="5">
        <v>17</v>
      </c>
      <c r="E209" s="28">
        <f t="shared" si="0"/>
        <v>4.3455882352941169</v>
      </c>
      <c r="F209" s="28">
        <f t="shared" si="1"/>
        <v>5.7941176470588225</v>
      </c>
      <c r="G209" s="28">
        <f t="shared" si="2"/>
        <v>7.2426470588235281</v>
      </c>
      <c r="I209" s="5">
        <v>17</v>
      </c>
      <c r="J209" s="28">
        <f t="shared" si="3"/>
        <v>4.3455882352941169</v>
      </c>
      <c r="K209" s="28">
        <f t="shared" si="4"/>
        <v>5.7941176470588225</v>
      </c>
      <c r="L209" s="28">
        <f t="shared" si="5"/>
        <v>7.2426470588235281</v>
      </c>
      <c r="N209" s="5">
        <v>13</v>
      </c>
      <c r="O209" s="28" t="e">
        <f>O$211+((O$206-O$211)*2/8)</f>
        <v>#REF!</v>
      </c>
      <c r="R209" s="5">
        <v>17</v>
      </c>
      <c r="S209" s="28">
        <f t="shared" si="6"/>
        <v>4.3455882352941169</v>
      </c>
      <c r="T209" s="28">
        <f t="shared" si="7"/>
        <v>5.7941176470588225</v>
      </c>
      <c r="U209" s="28">
        <f t="shared" si="8"/>
        <v>7.2426470588235281</v>
      </c>
      <c r="V209" s="28">
        <f t="shared" si="9"/>
        <v>17.058542625110952</v>
      </c>
    </row>
    <row r="210" spans="2:22">
      <c r="B210">
        <f t="shared" si="10"/>
        <v>98.999999999999986</v>
      </c>
      <c r="D210" s="5">
        <v>18</v>
      </c>
      <c r="E210" s="28">
        <f t="shared" ref="E210:E272" si="11">(1-$F$280)*F210</f>
        <v>4.1249999999999991</v>
      </c>
      <c r="F210" s="28">
        <f t="shared" si="1"/>
        <v>5.4999999999999991</v>
      </c>
      <c r="G210" s="28">
        <f t="shared" ref="G210:G272" si="12">F210*(1+$F$280)</f>
        <v>6.8749999999999991</v>
      </c>
      <c r="I210" s="5">
        <v>18</v>
      </c>
      <c r="J210" s="28">
        <f t="shared" ref="J210:J272" si="13">IF(E210&gt;$F$179,$F$179,E210)</f>
        <v>4.1249999999999991</v>
      </c>
      <c r="K210" s="28">
        <f t="shared" ref="K210:K272" si="14">IF(F210&gt;$F$180,$F$180,F210)</f>
        <v>5.4999999999999991</v>
      </c>
      <c r="L210" s="28">
        <f t="shared" ref="L210:L272" si="15">IF(G210&gt;$F$181,$F$181,G210)</f>
        <v>6.8749999999999991</v>
      </c>
      <c r="N210" s="5">
        <v>14</v>
      </c>
      <c r="O210" s="28" t="e">
        <f>O$211+((O$206-O$211)*1/9)</f>
        <v>#REF!</v>
      </c>
      <c r="R210" s="26">
        <v>18</v>
      </c>
      <c r="S210" s="28">
        <f t="shared" ref="S210:S212" si="16">IF($R210&gt;$F$177,0.0000000005,J210)</f>
        <v>4.1249999999999991</v>
      </c>
      <c r="T210" s="28">
        <f t="shared" ref="T210:T212" si="17">IF($R210&gt;$F$177,0.0000000005,K210)</f>
        <v>5.4999999999999991</v>
      </c>
      <c r="U210" s="28">
        <f t="shared" ref="U210:U212" si="18">IF($R210&gt;$F$177,0.0000000005,L210)</f>
        <v>6.8749999999999991</v>
      </c>
      <c r="V210" s="28">
        <f t="shared" ref="V210:V212" si="19">$X$193/R210</f>
        <v>16.110845812604786</v>
      </c>
    </row>
    <row r="211" spans="2:22">
      <c r="B211">
        <f t="shared" si="10"/>
        <v>99.5</v>
      </c>
      <c r="D211" s="5">
        <v>19</v>
      </c>
      <c r="E211" s="28">
        <f t="shared" si="11"/>
        <v>3.9276315789473681</v>
      </c>
      <c r="F211" s="28">
        <f t="shared" si="1"/>
        <v>5.2368421052631575</v>
      </c>
      <c r="G211" s="28">
        <f t="shared" si="12"/>
        <v>6.5460526315789469</v>
      </c>
      <c r="I211" s="5">
        <v>19</v>
      </c>
      <c r="J211" s="28">
        <f t="shared" si="13"/>
        <v>3.9276315789473681</v>
      </c>
      <c r="K211" s="28">
        <f t="shared" si="14"/>
        <v>5.2368421052631575</v>
      </c>
      <c r="L211" s="28">
        <f t="shared" si="15"/>
        <v>6.5460526315789469</v>
      </c>
      <c r="N211" s="5">
        <v>15</v>
      </c>
      <c r="O211" s="28" t="e">
        <f>#REF!</f>
        <v>#REF!</v>
      </c>
      <c r="P211" t="s">
        <v>80</v>
      </c>
      <c r="R211" s="26">
        <v>19</v>
      </c>
      <c r="S211" s="28">
        <f t="shared" si="16"/>
        <v>3.9276315789473681</v>
      </c>
      <c r="T211" s="28">
        <f t="shared" si="17"/>
        <v>5.2368421052631575</v>
      </c>
      <c r="U211" s="28">
        <f t="shared" si="18"/>
        <v>6.5460526315789469</v>
      </c>
      <c r="V211" s="28">
        <f t="shared" si="19"/>
        <v>15.262906559309798</v>
      </c>
    </row>
    <row r="212" spans="2:22">
      <c r="B212">
        <f t="shared" si="10"/>
        <v>99.999999999999986</v>
      </c>
      <c r="D212" s="5">
        <v>20</v>
      </c>
      <c r="E212" s="28">
        <f t="shared" si="11"/>
        <v>3.7499999999999991</v>
      </c>
      <c r="F212" s="28">
        <f t="shared" si="1"/>
        <v>4.9999999999999991</v>
      </c>
      <c r="G212" s="28">
        <f t="shared" si="12"/>
        <v>6.2499999999999991</v>
      </c>
      <c r="I212" s="5">
        <v>20</v>
      </c>
      <c r="J212" s="28">
        <f t="shared" si="13"/>
        <v>3.7499999999999991</v>
      </c>
      <c r="K212" s="28">
        <f t="shared" si="14"/>
        <v>4.9999999999999991</v>
      </c>
      <c r="L212" s="28">
        <f t="shared" si="15"/>
        <v>6.2499999999999991</v>
      </c>
      <c r="N212" s="5">
        <v>16</v>
      </c>
      <c r="O212" s="28" t="e">
        <f>O$216+((O$211-O$216)*4/6)</f>
        <v>#REF!</v>
      </c>
      <c r="R212" s="26">
        <v>20</v>
      </c>
      <c r="S212" s="28">
        <f t="shared" si="16"/>
        <v>3.7499999999999991</v>
      </c>
      <c r="T212" s="28">
        <f t="shared" si="17"/>
        <v>4.9999999999999991</v>
      </c>
      <c r="U212" s="28">
        <f t="shared" si="18"/>
        <v>6.2499999999999991</v>
      </c>
      <c r="V212" s="28">
        <f t="shared" si="19"/>
        <v>14.499761231344308</v>
      </c>
    </row>
    <row r="213" spans="2:22">
      <c r="B213">
        <f t="shared" si="10"/>
        <v>100.49999999999997</v>
      </c>
      <c r="D213" s="5">
        <v>21</v>
      </c>
      <c r="E213" s="28">
        <f t="shared" si="11"/>
        <v>3.5892857142857135</v>
      </c>
      <c r="F213" s="28">
        <f t="shared" si="1"/>
        <v>4.7857142857142847</v>
      </c>
      <c r="G213" s="28">
        <f t="shared" si="12"/>
        <v>5.9821428571428559</v>
      </c>
      <c r="I213" s="5">
        <v>21</v>
      </c>
      <c r="J213" s="28">
        <f t="shared" si="13"/>
        <v>3.5892857142857135</v>
      </c>
      <c r="K213" s="28">
        <f t="shared" si="14"/>
        <v>4.7857142857142847</v>
      </c>
      <c r="L213" s="28">
        <f t="shared" si="15"/>
        <v>5.9821428571428559</v>
      </c>
      <c r="N213" s="5">
        <v>17</v>
      </c>
      <c r="O213" s="28" t="e">
        <f>O$216+((O$211-O$216)*3/7)</f>
        <v>#REF!</v>
      </c>
      <c r="R213" s="5">
        <v>21</v>
      </c>
      <c r="S213" s="28">
        <f t="shared" ref="S213:S228" si="20">IF($R213&gt;$F$177,0.0000000005,J213)</f>
        <v>3.5892857142857135</v>
      </c>
      <c r="T213" s="28">
        <f t="shared" ref="T213:T228" si="21">IF($R213&gt;$F$177,0.0000000005,K213)</f>
        <v>4.7857142857142847</v>
      </c>
      <c r="U213" s="28">
        <f t="shared" ref="U213:U228" si="22">IF($R213&gt;$F$177,0.0000000005,L213)</f>
        <v>5.9821428571428559</v>
      </c>
      <c r="V213" s="28">
        <f t="shared" ref="V213:V249" si="23">$X$193/R213</f>
        <v>13.809296410804103</v>
      </c>
    </row>
    <row r="214" spans="2:22">
      <c r="B214">
        <f t="shared" si="10"/>
        <v>100.99999999999997</v>
      </c>
      <c r="D214" s="5">
        <v>22</v>
      </c>
      <c r="E214" s="28">
        <f t="shared" si="11"/>
        <v>3.4431818181818175</v>
      </c>
      <c r="F214" s="28">
        <f t="shared" si="1"/>
        <v>4.5909090909090899</v>
      </c>
      <c r="G214" s="28">
        <f t="shared" si="12"/>
        <v>5.7386363636363624</v>
      </c>
      <c r="I214" s="5">
        <v>22</v>
      </c>
      <c r="J214" s="28">
        <f t="shared" si="13"/>
        <v>3.4431818181818175</v>
      </c>
      <c r="K214" s="28">
        <f t="shared" si="14"/>
        <v>4.5909090909090899</v>
      </c>
      <c r="L214" s="28">
        <f t="shared" si="15"/>
        <v>5.7386363636363624</v>
      </c>
      <c r="N214" s="26">
        <v>18</v>
      </c>
      <c r="O214" s="28" t="e">
        <f>O$216+((O$211-O$216)*2/8)</f>
        <v>#REF!</v>
      </c>
      <c r="R214" s="5">
        <v>22</v>
      </c>
      <c r="S214" s="28">
        <f t="shared" si="20"/>
        <v>3.4431818181818175</v>
      </c>
      <c r="T214" s="28">
        <f t="shared" si="21"/>
        <v>4.5909090909090899</v>
      </c>
      <c r="U214" s="28">
        <f t="shared" si="22"/>
        <v>5.7386363636363624</v>
      </c>
      <c r="V214" s="28">
        <f t="shared" si="23"/>
        <v>13.181601119403917</v>
      </c>
    </row>
    <row r="215" spans="2:22">
      <c r="B215">
        <f t="shared" si="10"/>
        <v>101.49999999999999</v>
      </c>
      <c r="D215" s="5">
        <v>23</v>
      </c>
      <c r="E215" s="28">
        <f t="shared" si="11"/>
        <v>3.3097826086956519</v>
      </c>
      <c r="F215" s="28">
        <f t="shared" si="1"/>
        <v>4.4130434782608692</v>
      </c>
      <c r="G215" s="28">
        <f t="shared" si="12"/>
        <v>5.516304347826086</v>
      </c>
      <c r="I215" s="5">
        <v>23</v>
      </c>
      <c r="J215" s="28">
        <f t="shared" si="13"/>
        <v>3.3097826086956519</v>
      </c>
      <c r="K215" s="28">
        <f t="shared" si="14"/>
        <v>4.4130434782608692</v>
      </c>
      <c r="L215" s="28">
        <f t="shared" si="15"/>
        <v>5.516304347826086</v>
      </c>
      <c r="N215" s="26">
        <v>19</v>
      </c>
      <c r="O215" s="28" t="e">
        <f>O$216+((O$211-O$216)*1/9)</f>
        <v>#REF!</v>
      </c>
      <c r="R215" s="5">
        <v>23</v>
      </c>
      <c r="S215" s="28">
        <f t="shared" si="20"/>
        <v>3.3097826086956519</v>
      </c>
      <c r="T215" s="28">
        <f t="shared" si="21"/>
        <v>4.4130434782608692</v>
      </c>
      <c r="U215" s="28">
        <f t="shared" si="22"/>
        <v>5.516304347826086</v>
      </c>
      <c r="V215" s="28">
        <f t="shared" si="23"/>
        <v>12.60848802725592</v>
      </c>
    </row>
    <row r="216" spans="2:22">
      <c r="B216">
        <f t="shared" si="10"/>
        <v>101.99999999999997</v>
      </c>
      <c r="D216" s="5">
        <v>24</v>
      </c>
      <c r="E216" s="28">
        <f t="shared" si="11"/>
        <v>3.1874999999999991</v>
      </c>
      <c r="F216" s="28">
        <f t="shared" si="1"/>
        <v>4.2499999999999991</v>
      </c>
      <c r="G216" s="28">
        <f t="shared" si="12"/>
        <v>5.3124999999999991</v>
      </c>
      <c r="I216" s="5">
        <v>24</v>
      </c>
      <c r="J216" s="28">
        <f t="shared" si="13"/>
        <v>3.1874999999999991</v>
      </c>
      <c r="K216" s="28">
        <f t="shared" si="14"/>
        <v>4.2499999999999991</v>
      </c>
      <c r="L216" s="28">
        <f t="shared" si="15"/>
        <v>5.3124999999999991</v>
      </c>
      <c r="N216" s="26">
        <v>20</v>
      </c>
      <c r="O216" s="28" t="e">
        <f>#REF!</f>
        <v>#REF!</v>
      </c>
      <c r="P216" t="s">
        <v>80</v>
      </c>
      <c r="R216" s="5">
        <v>24</v>
      </c>
      <c r="S216" s="28">
        <f t="shared" si="20"/>
        <v>3.1874999999999991</v>
      </c>
      <c r="T216" s="28">
        <f t="shared" si="21"/>
        <v>4.2499999999999991</v>
      </c>
      <c r="U216" s="28">
        <f t="shared" si="22"/>
        <v>5.3124999999999991</v>
      </c>
      <c r="V216" s="28">
        <f t="shared" si="23"/>
        <v>12.08313435945359</v>
      </c>
    </row>
    <row r="217" spans="2:22">
      <c r="B217">
        <f t="shared" si="10"/>
        <v>102.49999999999999</v>
      </c>
      <c r="D217" s="5">
        <v>25</v>
      </c>
      <c r="E217" s="28">
        <f t="shared" si="11"/>
        <v>3.0749999999999997</v>
      </c>
      <c r="F217" s="28">
        <f t="shared" si="1"/>
        <v>4.0999999999999996</v>
      </c>
      <c r="G217" s="28">
        <f t="shared" si="12"/>
        <v>5.125</v>
      </c>
      <c r="I217" s="5">
        <v>25</v>
      </c>
      <c r="J217" s="28">
        <f t="shared" si="13"/>
        <v>3.0749999999999997</v>
      </c>
      <c r="K217" s="28">
        <f t="shared" si="14"/>
        <v>4.0999999999999996</v>
      </c>
      <c r="L217" s="28">
        <f t="shared" si="15"/>
        <v>5.125</v>
      </c>
      <c r="R217" s="5">
        <v>25</v>
      </c>
      <c r="S217" s="28">
        <f t="shared" si="20"/>
        <v>3.0749999999999997</v>
      </c>
      <c r="T217" s="28">
        <f t="shared" si="21"/>
        <v>4.0999999999999996</v>
      </c>
      <c r="U217" s="28">
        <f t="shared" si="22"/>
        <v>5.125</v>
      </c>
      <c r="V217" s="28">
        <f t="shared" si="23"/>
        <v>11.599808985075446</v>
      </c>
    </row>
    <row r="218" spans="2:22">
      <c r="B218">
        <f t="shared" si="10"/>
        <v>102.99999999999999</v>
      </c>
      <c r="D218" s="5">
        <v>26</v>
      </c>
      <c r="E218" s="28">
        <f t="shared" si="11"/>
        <v>2.9711538461538458</v>
      </c>
      <c r="F218" s="28">
        <f t="shared" si="1"/>
        <v>3.9615384615384608</v>
      </c>
      <c r="G218" s="28">
        <f t="shared" si="12"/>
        <v>4.9519230769230758</v>
      </c>
      <c r="I218" s="5">
        <v>26</v>
      </c>
      <c r="J218" s="28">
        <f t="shared" si="13"/>
        <v>2.9711538461538458</v>
      </c>
      <c r="K218" s="28">
        <f t="shared" si="14"/>
        <v>3.9615384615384608</v>
      </c>
      <c r="L218" s="28">
        <f t="shared" si="15"/>
        <v>4.9519230769230758</v>
      </c>
      <c r="R218" s="5">
        <v>26</v>
      </c>
      <c r="S218" s="28">
        <f t="shared" si="20"/>
        <v>2.9711538461538458</v>
      </c>
      <c r="T218" s="28">
        <f t="shared" si="21"/>
        <v>3.9615384615384608</v>
      </c>
      <c r="U218" s="28">
        <f t="shared" si="22"/>
        <v>4.9519230769230758</v>
      </c>
      <c r="V218" s="28">
        <f t="shared" si="23"/>
        <v>11.153662485649468</v>
      </c>
    </row>
    <row r="219" spans="2:22">
      <c r="B219">
        <f t="shared" si="10"/>
        <v>103.49999999999999</v>
      </c>
      <c r="D219" s="5">
        <v>27</v>
      </c>
      <c r="E219" s="28">
        <f t="shared" si="11"/>
        <v>2.8749999999999996</v>
      </c>
      <c r="F219" s="28">
        <f t="shared" si="1"/>
        <v>3.8333333333333326</v>
      </c>
      <c r="G219" s="28">
        <f t="shared" si="12"/>
        <v>4.7916666666666661</v>
      </c>
      <c r="I219" s="5">
        <v>27</v>
      </c>
      <c r="J219" s="28">
        <f t="shared" si="13"/>
        <v>2.8749999999999996</v>
      </c>
      <c r="K219" s="28">
        <f t="shared" si="14"/>
        <v>3.8333333333333326</v>
      </c>
      <c r="L219" s="28">
        <f t="shared" si="15"/>
        <v>4.7916666666666661</v>
      </c>
      <c r="R219" s="5">
        <v>27</v>
      </c>
      <c r="S219" s="28">
        <f t="shared" si="20"/>
        <v>2.8749999999999996</v>
      </c>
      <c r="T219" s="28">
        <f t="shared" si="21"/>
        <v>3.8333333333333326</v>
      </c>
      <c r="U219" s="28">
        <f t="shared" si="22"/>
        <v>4.7916666666666661</v>
      </c>
      <c r="V219" s="28">
        <f t="shared" si="23"/>
        <v>10.740563875069858</v>
      </c>
    </row>
    <row r="220" spans="2:22">
      <c r="B220">
        <f t="shared" si="10"/>
        <v>103.99999999999999</v>
      </c>
      <c r="D220" s="5">
        <v>28</v>
      </c>
      <c r="E220" s="28">
        <f t="shared" si="11"/>
        <v>2.7857142857142856</v>
      </c>
      <c r="F220" s="28">
        <f t="shared" si="1"/>
        <v>3.714285714285714</v>
      </c>
      <c r="G220" s="28">
        <f t="shared" si="12"/>
        <v>4.6428571428571423</v>
      </c>
      <c r="I220" s="5">
        <v>28</v>
      </c>
      <c r="J220" s="28">
        <f t="shared" si="13"/>
        <v>2.7857142857142856</v>
      </c>
      <c r="K220" s="28">
        <f t="shared" si="14"/>
        <v>3.714285714285714</v>
      </c>
      <c r="L220" s="28">
        <f t="shared" si="15"/>
        <v>4.6428571428571423</v>
      </c>
      <c r="R220" s="5">
        <v>28</v>
      </c>
      <c r="S220" s="28">
        <f t="shared" si="20"/>
        <v>2.7857142857142856</v>
      </c>
      <c r="T220" s="28">
        <f t="shared" si="21"/>
        <v>3.714285714285714</v>
      </c>
      <c r="U220" s="28">
        <f t="shared" si="22"/>
        <v>4.6428571428571423</v>
      </c>
      <c r="V220" s="28">
        <f t="shared" si="23"/>
        <v>10.356972308103078</v>
      </c>
    </row>
    <row r="221" spans="2:22">
      <c r="B221">
        <f t="shared" si="10"/>
        <v>104.49999999999999</v>
      </c>
      <c r="D221" s="5">
        <v>29</v>
      </c>
      <c r="E221" s="28">
        <f t="shared" si="11"/>
        <v>2.7025862068965516</v>
      </c>
      <c r="F221" s="28">
        <f t="shared" si="1"/>
        <v>3.6034482758620685</v>
      </c>
      <c r="G221" s="28">
        <f t="shared" si="12"/>
        <v>4.5043103448275854</v>
      </c>
      <c r="I221" s="5">
        <v>29</v>
      </c>
      <c r="J221" s="28">
        <f t="shared" si="13"/>
        <v>2.7025862068965516</v>
      </c>
      <c r="K221" s="28">
        <f t="shared" si="14"/>
        <v>3.6034482758620685</v>
      </c>
      <c r="L221" s="28">
        <f t="shared" si="15"/>
        <v>4.5043103448275854</v>
      </c>
      <c r="R221" s="5">
        <v>29</v>
      </c>
      <c r="S221" s="28">
        <f t="shared" si="20"/>
        <v>2.7025862068965516</v>
      </c>
      <c r="T221" s="28">
        <f t="shared" si="21"/>
        <v>3.6034482758620685</v>
      </c>
      <c r="U221" s="28">
        <f t="shared" si="22"/>
        <v>4.5043103448275854</v>
      </c>
      <c r="V221" s="28">
        <f t="shared" si="23"/>
        <v>9.9998353319615916</v>
      </c>
    </row>
    <row r="222" spans="2:22">
      <c r="B222">
        <f t="shared" si="10"/>
        <v>104.99999999999999</v>
      </c>
      <c r="D222" s="5">
        <v>30</v>
      </c>
      <c r="E222" s="28">
        <f t="shared" si="11"/>
        <v>2.6249999999999996</v>
      </c>
      <c r="F222" s="28">
        <f t="shared" si="1"/>
        <v>3.4999999999999996</v>
      </c>
      <c r="G222" s="28">
        <f t="shared" si="12"/>
        <v>4.3749999999999991</v>
      </c>
      <c r="I222" s="5">
        <v>30</v>
      </c>
      <c r="J222" s="28">
        <f t="shared" si="13"/>
        <v>2.6249999999999996</v>
      </c>
      <c r="K222" s="28">
        <f t="shared" si="14"/>
        <v>3.4999999999999996</v>
      </c>
      <c r="L222" s="28">
        <f t="shared" si="15"/>
        <v>4.3749999999999991</v>
      </c>
      <c r="R222" s="5">
        <v>30</v>
      </c>
      <c r="S222" s="28">
        <f t="shared" si="20"/>
        <v>2.6249999999999996</v>
      </c>
      <c r="T222" s="28">
        <f t="shared" si="21"/>
        <v>3.4999999999999996</v>
      </c>
      <c r="U222" s="28">
        <f t="shared" si="22"/>
        <v>4.3749999999999991</v>
      </c>
      <c r="V222" s="28">
        <f t="shared" si="23"/>
        <v>9.6665074875628729</v>
      </c>
    </row>
    <row r="223" spans="2:22">
      <c r="B223">
        <f t="shared" si="10"/>
        <v>105.49999999999999</v>
      </c>
      <c r="D223" s="5">
        <v>31</v>
      </c>
      <c r="E223" s="28">
        <f t="shared" si="11"/>
        <v>2.5524193548387095</v>
      </c>
      <c r="F223" s="28">
        <f t="shared" si="1"/>
        <v>3.4032258064516125</v>
      </c>
      <c r="G223" s="28">
        <f t="shared" si="12"/>
        <v>4.254032258064516</v>
      </c>
      <c r="I223" s="5">
        <v>31</v>
      </c>
      <c r="J223" s="28">
        <f t="shared" si="13"/>
        <v>2.5524193548387095</v>
      </c>
      <c r="K223" s="28">
        <f t="shared" si="14"/>
        <v>3.4032258064516125</v>
      </c>
      <c r="L223" s="28">
        <f t="shared" si="15"/>
        <v>4.254032258064516</v>
      </c>
      <c r="R223" s="5">
        <v>31</v>
      </c>
      <c r="S223" s="28">
        <f t="shared" si="20"/>
        <v>2.5524193548387095</v>
      </c>
      <c r="T223" s="28">
        <f t="shared" si="21"/>
        <v>3.4032258064516125</v>
      </c>
      <c r="U223" s="28">
        <f t="shared" si="22"/>
        <v>4.254032258064516</v>
      </c>
      <c r="V223" s="28">
        <f t="shared" si="23"/>
        <v>9.3546846653834255</v>
      </c>
    </row>
    <row r="224" spans="2:22">
      <c r="B224">
        <f t="shared" si="10"/>
        <v>105.99999999999999</v>
      </c>
      <c r="D224" s="5">
        <v>32</v>
      </c>
      <c r="E224" s="28">
        <f t="shared" si="11"/>
        <v>2.4843749999999996</v>
      </c>
      <c r="F224" s="28">
        <f t="shared" si="1"/>
        <v>3.3124999999999996</v>
      </c>
      <c r="G224" s="28">
        <f t="shared" si="12"/>
        <v>4.1406249999999991</v>
      </c>
      <c r="I224" s="5">
        <v>32</v>
      </c>
      <c r="J224" s="28">
        <f t="shared" si="13"/>
        <v>2.4843749999999996</v>
      </c>
      <c r="K224" s="28">
        <f t="shared" si="14"/>
        <v>3.3124999999999996</v>
      </c>
      <c r="L224" s="28">
        <f t="shared" si="15"/>
        <v>4.1406249999999991</v>
      </c>
      <c r="R224" s="5">
        <v>32</v>
      </c>
      <c r="S224" s="28">
        <f t="shared" si="20"/>
        <v>2.4843749999999996</v>
      </c>
      <c r="T224" s="28">
        <f t="shared" si="21"/>
        <v>3.3124999999999996</v>
      </c>
      <c r="U224" s="28">
        <f t="shared" si="22"/>
        <v>4.1406249999999991</v>
      </c>
      <c r="V224" s="28">
        <f t="shared" si="23"/>
        <v>9.0623507695901928</v>
      </c>
    </row>
    <row r="225" spans="2:22">
      <c r="B225">
        <f t="shared" si="10"/>
        <v>106.49999999999997</v>
      </c>
      <c r="D225" s="5">
        <v>33</v>
      </c>
      <c r="E225" s="28">
        <f t="shared" si="11"/>
        <v>2.420454545454545</v>
      </c>
      <c r="F225" s="28">
        <f t="shared" ref="F225:F256" si="24">($F$184+(D225-VINMAX)*$E$277/$E$278)/D225</f>
        <v>3.2272727272727266</v>
      </c>
      <c r="G225" s="28">
        <f t="shared" si="12"/>
        <v>4.0340909090909083</v>
      </c>
      <c r="I225" s="5">
        <v>33</v>
      </c>
      <c r="J225" s="28">
        <f t="shared" si="13"/>
        <v>2.420454545454545</v>
      </c>
      <c r="K225" s="28">
        <f t="shared" si="14"/>
        <v>3.2272727272727266</v>
      </c>
      <c r="L225" s="28">
        <f t="shared" si="15"/>
        <v>4.0340909090909083</v>
      </c>
      <c r="R225" s="5">
        <v>33</v>
      </c>
      <c r="S225" s="28">
        <f t="shared" si="20"/>
        <v>2.420454545454545</v>
      </c>
      <c r="T225" s="28">
        <f t="shared" si="21"/>
        <v>3.2272727272727266</v>
      </c>
      <c r="U225" s="28">
        <f t="shared" si="22"/>
        <v>4.0340909090909083</v>
      </c>
      <c r="V225" s="28">
        <f t="shared" si="23"/>
        <v>8.7877340796026111</v>
      </c>
    </row>
    <row r="226" spans="2:22">
      <c r="B226">
        <f t="shared" si="10"/>
        <v>106.99999999999999</v>
      </c>
      <c r="D226" s="5">
        <v>34</v>
      </c>
      <c r="E226" s="28">
        <f t="shared" si="11"/>
        <v>2.3602941176470584</v>
      </c>
      <c r="F226" s="28">
        <f t="shared" si="24"/>
        <v>3.1470588235294112</v>
      </c>
      <c r="G226" s="28">
        <f t="shared" si="12"/>
        <v>3.9338235294117641</v>
      </c>
      <c r="I226" s="5">
        <v>34</v>
      </c>
      <c r="J226" s="28">
        <f t="shared" si="13"/>
        <v>2.3602941176470584</v>
      </c>
      <c r="K226" s="28">
        <f t="shared" si="14"/>
        <v>3.1470588235294112</v>
      </c>
      <c r="L226" s="28">
        <f t="shared" si="15"/>
        <v>3.9338235294117641</v>
      </c>
      <c r="R226" s="5">
        <v>34</v>
      </c>
      <c r="S226" s="28">
        <f t="shared" si="20"/>
        <v>2.3602941176470584</v>
      </c>
      <c r="T226" s="28">
        <f t="shared" si="21"/>
        <v>3.1470588235294112</v>
      </c>
      <c r="U226" s="28">
        <f t="shared" si="22"/>
        <v>3.9338235294117641</v>
      </c>
      <c r="V226" s="28">
        <f t="shared" si="23"/>
        <v>8.5292713125554762</v>
      </c>
    </row>
    <row r="227" spans="2:22">
      <c r="B227">
        <f t="shared" si="10"/>
        <v>107.49999999999999</v>
      </c>
      <c r="D227" s="5">
        <v>35</v>
      </c>
      <c r="E227" s="28">
        <f t="shared" si="11"/>
        <v>2.3035714285714284</v>
      </c>
      <c r="F227" s="28">
        <f t="shared" si="24"/>
        <v>3.0714285714285712</v>
      </c>
      <c r="G227" s="28">
        <f t="shared" si="12"/>
        <v>3.839285714285714</v>
      </c>
      <c r="I227" s="5">
        <v>35</v>
      </c>
      <c r="J227" s="28">
        <f t="shared" si="13"/>
        <v>2.3035714285714284</v>
      </c>
      <c r="K227" s="28">
        <f t="shared" si="14"/>
        <v>3.0714285714285712</v>
      </c>
      <c r="L227" s="28">
        <f t="shared" si="15"/>
        <v>3.839285714285714</v>
      </c>
      <c r="R227" s="5">
        <v>35</v>
      </c>
      <c r="S227" s="28">
        <f t="shared" si="20"/>
        <v>2.3035714285714284</v>
      </c>
      <c r="T227" s="28">
        <f t="shared" si="21"/>
        <v>3.0714285714285712</v>
      </c>
      <c r="U227" s="28">
        <f t="shared" si="22"/>
        <v>3.839285714285714</v>
      </c>
      <c r="V227" s="28">
        <f t="shared" si="23"/>
        <v>8.2855778464824628</v>
      </c>
    </row>
    <row r="228" spans="2:22">
      <c r="B228">
        <f t="shared" si="10"/>
        <v>107.99999999999999</v>
      </c>
      <c r="D228" s="5">
        <v>36</v>
      </c>
      <c r="E228" s="28">
        <f t="shared" si="11"/>
        <v>2.2499999999999996</v>
      </c>
      <c r="F228" s="28">
        <f t="shared" si="24"/>
        <v>2.9999999999999996</v>
      </c>
      <c r="G228" s="28">
        <f t="shared" si="12"/>
        <v>3.7499999999999996</v>
      </c>
      <c r="I228" s="5">
        <v>36</v>
      </c>
      <c r="J228" s="28">
        <f t="shared" si="13"/>
        <v>2.2499999999999996</v>
      </c>
      <c r="K228" s="28">
        <f t="shared" si="14"/>
        <v>2.9999999999999996</v>
      </c>
      <c r="L228" s="28">
        <f t="shared" si="15"/>
        <v>3.7499999999999996</v>
      </c>
      <c r="R228" s="5">
        <v>36</v>
      </c>
      <c r="S228" s="28">
        <f t="shared" si="20"/>
        <v>2.2499999999999996</v>
      </c>
      <c r="T228" s="28">
        <f t="shared" si="21"/>
        <v>2.9999999999999996</v>
      </c>
      <c r="U228" s="28">
        <f t="shared" si="22"/>
        <v>3.7499999999999996</v>
      </c>
      <c r="V228" s="28">
        <f t="shared" si="23"/>
        <v>8.0554229063023932</v>
      </c>
    </row>
    <row r="229" spans="2:22">
      <c r="B229">
        <f t="shared" si="10"/>
        <v>108.49999999999999</v>
      </c>
      <c r="D229" s="5">
        <v>37</v>
      </c>
      <c r="E229" s="28">
        <f t="shared" si="11"/>
        <v>2.1993243243243241</v>
      </c>
      <c r="F229" s="28">
        <f t="shared" si="24"/>
        <v>2.932432432432432</v>
      </c>
      <c r="G229" s="28">
        <f t="shared" si="12"/>
        <v>3.6655405405405399</v>
      </c>
      <c r="I229" s="5">
        <v>37</v>
      </c>
      <c r="J229" s="28">
        <f t="shared" si="13"/>
        <v>2.1993243243243241</v>
      </c>
      <c r="K229" s="28">
        <f t="shared" si="14"/>
        <v>2.932432432432432</v>
      </c>
      <c r="L229" s="28">
        <f t="shared" si="15"/>
        <v>3.6655405405405399</v>
      </c>
      <c r="R229" s="5">
        <v>37</v>
      </c>
      <c r="S229" s="28">
        <f t="shared" ref="S229:S233" si="25">IF($R229&gt;$F$177,0.0000000005,J229)</f>
        <v>2.1993243243243241</v>
      </c>
      <c r="T229" s="28">
        <f t="shared" ref="T229:T233" si="26">IF($R229&gt;$F$177,0.0000000005,K229)</f>
        <v>2.932432432432432</v>
      </c>
      <c r="U229" s="28">
        <f t="shared" ref="U229:U233" si="27">IF($R229&gt;$F$177,0.0000000005,L229)</f>
        <v>3.6655405405405399</v>
      </c>
      <c r="V229" s="28">
        <f t="shared" ref="V229:V233" si="28">$X$193/R229</f>
        <v>7.8377087736996263</v>
      </c>
    </row>
    <row r="230" spans="2:22">
      <c r="B230">
        <f t="shared" si="10"/>
        <v>109</v>
      </c>
      <c r="D230" s="5">
        <v>38</v>
      </c>
      <c r="E230" s="28">
        <f t="shared" si="11"/>
        <v>2.1513157894736841</v>
      </c>
      <c r="F230" s="28">
        <f t="shared" si="24"/>
        <v>2.8684210526315788</v>
      </c>
      <c r="G230" s="28">
        <f t="shared" si="12"/>
        <v>3.5855263157894735</v>
      </c>
      <c r="I230" s="5">
        <v>38</v>
      </c>
      <c r="J230" s="28">
        <f t="shared" si="13"/>
        <v>2.1513157894736841</v>
      </c>
      <c r="K230" s="28">
        <f t="shared" si="14"/>
        <v>2.8684210526315788</v>
      </c>
      <c r="L230" s="28">
        <f t="shared" si="15"/>
        <v>3.5855263157894735</v>
      </c>
      <c r="R230" s="26">
        <v>38</v>
      </c>
      <c r="S230" s="28">
        <f t="shared" si="25"/>
        <v>2.1513157894736841</v>
      </c>
      <c r="T230" s="28">
        <f t="shared" si="26"/>
        <v>2.8684210526315788</v>
      </c>
      <c r="U230" s="28">
        <f t="shared" si="27"/>
        <v>3.5855263157894735</v>
      </c>
      <c r="V230" s="28">
        <f t="shared" si="28"/>
        <v>7.6314532796548988</v>
      </c>
    </row>
    <row r="231" spans="2:22">
      <c r="B231">
        <f t="shared" si="10"/>
        <v>109.49999999999999</v>
      </c>
      <c r="D231" s="5">
        <v>39</v>
      </c>
      <c r="E231" s="28">
        <f t="shared" si="11"/>
        <v>2.1057692307692308</v>
      </c>
      <c r="F231" s="28">
        <f t="shared" si="24"/>
        <v>2.8076923076923075</v>
      </c>
      <c r="G231" s="28">
        <f t="shared" si="12"/>
        <v>3.5096153846153841</v>
      </c>
      <c r="I231" s="5">
        <v>39</v>
      </c>
      <c r="J231" s="28">
        <f t="shared" si="13"/>
        <v>2.1057692307692308</v>
      </c>
      <c r="K231" s="28">
        <f t="shared" si="14"/>
        <v>2.8076923076923075</v>
      </c>
      <c r="L231" s="28">
        <f t="shared" si="15"/>
        <v>3.5096153846153841</v>
      </c>
      <c r="R231" s="26">
        <v>39</v>
      </c>
      <c r="S231" s="28">
        <f t="shared" si="25"/>
        <v>2.1057692307692308</v>
      </c>
      <c r="T231" s="28">
        <f t="shared" si="26"/>
        <v>2.8076923076923075</v>
      </c>
      <c r="U231" s="28">
        <f t="shared" si="27"/>
        <v>3.5096153846153841</v>
      </c>
      <c r="V231" s="28">
        <f t="shared" si="28"/>
        <v>7.4357749904329786</v>
      </c>
    </row>
    <row r="232" spans="2:22">
      <c r="B232">
        <f t="shared" si="10"/>
        <v>109.99999999999999</v>
      </c>
      <c r="D232" s="5">
        <v>40</v>
      </c>
      <c r="E232" s="28">
        <f t="shared" si="11"/>
        <v>2.0624999999999996</v>
      </c>
      <c r="F232" s="28">
        <f t="shared" si="24"/>
        <v>2.7499999999999996</v>
      </c>
      <c r="G232" s="28">
        <f t="shared" si="12"/>
        <v>3.4374999999999996</v>
      </c>
      <c r="I232" s="5">
        <v>40</v>
      </c>
      <c r="J232" s="28">
        <f t="shared" si="13"/>
        <v>2.0624999999999996</v>
      </c>
      <c r="K232" s="28">
        <f t="shared" si="14"/>
        <v>2.7499999999999996</v>
      </c>
      <c r="L232" s="28">
        <f t="shared" si="15"/>
        <v>3.4374999999999996</v>
      </c>
      <c r="R232" s="26">
        <v>40</v>
      </c>
      <c r="S232" s="28">
        <f t="shared" si="25"/>
        <v>2.0624999999999996</v>
      </c>
      <c r="T232" s="28">
        <f t="shared" si="26"/>
        <v>2.7499999999999996</v>
      </c>
      <c r="U232" s="28">
        <f t="shared" si="27"/>
        <v>3.4374999999999996</v>
      </c>
      <c r="V232" s="28">
        <f t="shared" si="28"/>
        <v>7.2498806156721542</v>
      </c>
    </row>
    <row r="233" spans="2:22">
      <c r="B233">
        <f t="shared" si="10"/>
        <v>110.49999999999999</v>
      </c>
      <c r="D233" s="5">
        <v>41</v>
      </c>
      <c r="E233" s="28">
        <f t="shared" si="11"/>
        <v>2.0213414634146338</v>
      </c>
      <c r="F233" s="28">
        <f t="shared" si="24"/>
        <v>2.6951219512195119</v>
      </c>
      <c r="G233" s="28">
        <f t="shared" si="12"/>
        <v>3.36890243902439</v>
      </c>
      <c r="I233" s="5">
        <v>41</v>
      </c>
      <c r="J233" s="28">
        <f t="shared" si="13"/>
        <v>2.0213414634146338</v>
      </c>
      <c r="K233" s="28">
        <f t="shared" si="14"/>
        <v>2.6951219512195119</v>
      </c>
      <c r="L233" s="28">
        <f t="shared" si="15"/>
        <v>3.36890243902439</v>
      </c>
      <c r="R233" s="5">
        <v>41</v>
      </c>
      <c r="S233" s="28">
        <f t="shared" si="25"/>
        <v>2.0213414634146338</v>
      </c>
      <c r="T233" s="28">
        <f t="shared" si="26"/>
        <v>2.6951219512195119</v>
      </c>
      <c r="U233" s="28">
        <f t="shared" si="27"/>
        <v>3.36890243902439</v>
      </c>
      <c r="V233" s="28">
        <f t="shared" si="28"/>
        <v>7.0730542591923458</v>
      </c>
    </row>
    <row r="234" spans="2:22">
      <c r="B234">
        <f t="shared" si="10"/>
        <v>110.99999999999997</v>
      </c>
      <c r="D234" s="5">
        <v>42</v>
      </c>
      <c r="E234" s="28">
        <f t="shared" si="11"/>
        <v>1.9821428571428568</v>
      </c>
      <c r="F234" s="28">
        <f t="shared" si="24"/>
        <v>2.6428571428571423</v>
      </c>
      <c r="G234" s="28">
        <f t="shared" si="12"/>
        <v>3.3035714285714279</v>
      </c>
      <c r="I234" s="5">
        <v>42</v>
      </c>
      <c r="J234" s="28">
        <f t="shared" si="13"/>
        <v>1.9821428571428568</v>
      </c>
      <c r="K234" s="28">
        <f t="shared" si="14"/>
        <v>2.6428571428571423</v>
      </c>
      <c r="L234" s="28">
        <f t="shared" si="15"/>
        <v>3.3035714285714279</v>
      </c>
      <c r="R234" s="5">
        <v>42</v>
      </c>
      <c r="S234" s="28">
        <f t="shared" ref="S234:S249" si="29">IF($R234&gt;$F$177,0.0000000005,J234)</f>
        <v>1.9821428571428568</v>
      </c>
      <c r="T234" s="28">
        <f t="shared" ref="T234:T249" si="30">IF($R234&gt;$F$177,0.0000000005,K234)</f>
        <v>2.6428571428571423</v>
      </c>
      <c r="U234" s="28">
        <f t="shared" ref="U234:U249" si="31">IF($R234&gt;$F$177,0.0000000005,L234)</f>
        <v>3.3035714285714279</v>
      </c>
      <c r="V234" s="28">
        <f t="shared" si="23"/>
        <v>6.9046482054020517</v>
      </c>
    </row>
    <row r="235" spans="2:22">
      <c r="B235">
        <f t="shared" si="10"/>
        <v>111.49999999999999</v>
      </c>
      <c r="D235" s="5">
        <v>43</v>
      </c>
      <c r="E235" s="28">
        <f t="shared" si="11"/>
        <v>1.9447674418604648</v>
      </c>
      <c r="F235" s="28">
        <f t="shared" si="24"/>
        <v>2.5930232558139532</v>
      </c>
      <c r="G235" s="28">
        <f t="shared" si="12"/>
        <v>3.2412790697674416</v>
      </c>
      <c r="I235" s="5">
        <v>43</v>
      </c>
      <c r="J235" s="28">
        <f t="shared" si="13"/>
        <v>1.9447674418604648</v>
      </c>
      <c r="K235" s="28">
        <f t="shared" si="14"/>
        <v>2.5930232558139532</v>
      </c>
      <c r="L235" s="28">
        <f t="shared" si="15"/>
        <v>3.2412790697674416</v>
      </c>
      <c r="R235" s="5">
        <v>43</v>
      </c>
      <c r="S235" s="28">
        <f t="shared" si="29"/>
        <v>1.9447674418604648</v>
      </c>
      <c r="T235" s="28">
        <f t="shared" si="30"/>
        <v>2.5930232558139532</v>
      </c>
      <c r="U235" s="28">
        <f t="shared" si="31"/>
        <v>3.2412790697674416</v>
      </c>
      <c r="V235" s="28">
        <f t="shared" si="23"/>
        <v>6.7440749913229343</v>
      </c>
    </row>
    <row r="236" spans="2:22">
      <c r="B236">
        <f t="shared" si="10"/>
        <v>111.99999999999997</v>
      </c>
      <c r="D236" s="5">
        <v>44</v>
      </c>
      <c r="E236" s="28">
        <f t="shared" si="11"/>
        <v>1.9090909090909087</v>
      </c>
      <c r="F236" s="28">
        <f t="shared" si="24"/>
        <v>2.545454545454545</v>
      </c>
      <c r="G236" s="28">
        <f t="shared" si="12"/>
        <v>3.1818181818181812</v>
      </c>
      <c r="I236" s="5">
        <v>44</v>
      </c>
      <c r="J236" s="28">
        <f t="shared" si="13"/>
        <v>1.9090909090909087</v>
      </c>
      <c r="K236" s="28">
        <f t="shared" si="14"/>
        <v>2.545454545454545</v>
      </c>
      <c r="L236" s="28">
        <f t="shared" si="15"/>
        <v>3.1818181818181812</v>
      </c>
      <c r="R236" s="5">
        <v>44</v>
      </c>
      <c r="S236" s="28">
        <f t="shared" si="29"/>
        <v>1.9090909090909087</v>
      </c>
      <c r="T236" s="28">
        <f t="shared" si="30"/>
        <v>2.545454545454545</v>
      </c>
      <c r="U236" s="28">
        <f t="shared" si="31"/>
        <v>3.1818181818181812</v>
      </c>
      <c r="V236" s="28">
        <f t="shared" si="23"/>
        <v>6.5908005597019583</v>
      </c>
    </row>
    <row r="237" spans="2:22">
      <c r="B237">
        <f t="shared" si="10"/>
        <v>112.49999999999999</v>
      </c>
      <c r="D237" s="5">
        <v>45</v>
      </c>
      <c r="E237" s="28">
        <f t="shared" si="11"/>
        <v>1.8749999999999996</v>
      </c>
      <c r="F237" s="28">
        <f t="shared" si="24"/>
        <v>2.4999999999999996</v>
      </c>
      <c r="G237" s="28">
        <f t="shared" si="12"/>
        <v>3.1249999999999996</v>
      </c>
      <c r="I237" s="5">
        <v>45</v>
      </c>
      <c r="J237" s="28">
        <f t="shared" si="13"/>
        <v>1.8749999999999996</v>
      </c>
      <c r="K237" s="28">
        <f t="shared" si="14"/>
        <v>2.4999999999999996</v>
      </c>
      <c r="L237" s="28">
        <f t="shared" si="15"/>
        <v>3.1249999999999996</v>
      </c>
      <c r="R237" s="5">
        <v>45</v>
      </c>
      <c r="S237" s="28">
        <f t="shared" si="29"/>
        <v>1.8749999999999996</v>
      </c>
      <c r="T237" s="28">
        <f t="shared" si="30"/>
        <v>2.4999999999999996</v>
      </c>
      <c r="U237" s="28">
        <f t="shared" si="31"/>
        <v>3.1249999999999996</v>
      </c>
      <c r="V237" s="28">
        <f t="shared" si="23"/>
        <v>6.4443383250419153</v>
      </c>
    </row>
    <row r="238" spans="2:22">
      <c r="B238">
        <f t="shared" si="10"/>
        <v>112.99999999999999</v>
      </c>
      <c r="D238" s="5">
        <v>46</v>
      </c>
      <c r="E238" s="28">
        <f t="shared" si="11"/>
        <v>1.8423913043478259</v>
      </c>
      <c r="F238" s="28">
        <f t="shared" si="24"/>
        <v>2.4565217391304346</v>
      </c>
      <c r="G238" s="28">
        <f t="shared" si="12"/>
        <v>3.070652173913043</v>
      </c>
      <c r="I238" s="5">
        <v>46</v>
      </c>
      <c r="J238" s="28">
        <f t="shared" si="13"/>
        <v>1.8423913043478259</v>
      </c>
      <c r="K238" s="28">
        <f t="shared" si="14"/>
        <v>2.4565217391304346</v>
      </c>
      <c r="L238" s="28">
        <f t="shared" si="15"/>
        <v>3.070652173913043</v>
      </c>
      <c r="R238" s="5">
        <v>46</v>
      </c>
      <c r="S238" s="28">
        <f t="shared" si="29"/>
        <v>1.8423913043478259</v>
      </c>
      <c r="T238" s="28">
        <f t="shared" si="30"/>
        <v>2.4565217391304346</v>
      </c>
      <c r="U238" s="28">
        <f t="shared" si="31"/>
        <v>3.070652173913043</v>
      </c>
      <c r="V238" s="28">
        <f t="shared" si="23"/>
        <v>6.3042440136279598</v>
      </c>
    </row>
    <row r="239" spans="2:22">
      <c r="B239">
        <f t="shared" si="10"/>
        <v>113.5</v>
      </c>
      <c r="D239" s="5">
        <v>47</v>
      </c>
      <c r="E239" s="28">
        <f t="shared" si="11"/>
        <v>1.8111702127659575</v>
      </c>
      <c r="F239" s="28">
        <f t="shared" si="24"/>
        <v>2.4148936170212765</v>
      </c>
      <c r="G239" s="28">
        <f t="shared" si="12"/>
        <v>3.0186170212765955</v>
      </c>
      <c r="I239" s="5">
        <v>47</v>
      </c>
      <c r="J239" s="28">
        <f t="shared" si="13"/>
        <v>1.8111702127659575</v>
      </c>
      <c r="K239" s="28">
        <f t="shared" si="14"/>
        <v>2.4148936170212765</v>
      </c>
      <c r="L239" s="28">
        <f t="shared" si="15"/>
        <v>3.0186170212765955</v>
      </c>
      <c r="R239" s="5">
        <v>47</v>
      </c>
      <c r="S239" s="28">
        <f t="shared" si="29"/>
        <v>1.8111702127659575</v>
      </c>
      <c r="T239" s="28">
        <f t="shared" si="30"/>
        <v>2.4148936170212765</v>
      </c>
      <c r="U239" s="28">
        <f t="shared" si="31"/>
        <v>3.0186170212765955</v>
      </c>
      <c r="V239" s="28">
        <f t="shared" si="23"/>
        <v>6.170111162274174</v>
      </c>
    </row>
    <row r="240" spans="2:22">
      <c r="B240">
        <f t="shared" si="10"/>
        <v>113.99999999999997</v>
      </c>
      <c r="D240" s="5">
        <v>48</v>
      </c>
      <c r="E240" s="28">
        <f t="shared" si="11"/>
        <v>1.7812499999999996</v>
      </c>
      <c r="F240" s="28">
        <f t="shared" si="24"/>
        <v>2.3749999999999996</v>
      </c>
      <c r="G240" s="28">
        <f t="shared" si="12"/>
        <v>2.9687499999999996</v>
      </c>
      <c r="I240" s="5">
        <v>48</v>
      </c>
      <c r="J240" s="28">
        <f t="shared" si="13"/>
        <v>1.7812499999999996</v>
      </c>
      <c r="K240" s="28">
        <f t="shared" si="14"/>
        <v>2.3749999999999996</v>
      </c>
      <c r="L240" s="28">
        <f t="shared" si="15"/>
        <v>2.9687499999999996</v>
      </c>
      <c r="R240" s="5">
        <v>48</v>
      </c>
      <c r="S240" s="28">
        <f t="shared" si="29"/>
        <v>1.7812499999999996</v>
      </c>
      <c r="T240" s="28">
        <f t="shared" si="30"/>
        <v>2.3749999999999996</v>
      </c>
      <c r="U240" s="28">
        <f t="shared" si="31"/>
        <v>2.9687499999999996</v>
      </c>
      <c r="V240" s="28">
        <f t="shared" si="23"/>
        <v>6.0415671797267949</v>
      </c>
    </row>
    <row r="241" spans="2:22">
      <c r="B241">
        <f t="shared" si="10"/>
        <v>114.49999999999999</v>
      </c>
      <c r="D241" s="5">
        <v>49</v>
      </c>
      <c r="E241" s="28">
        <f t="shared" si="11"/>
        <v>1.7525510204081631</v>
      </c>
      <c r="F241" s="28">
        <f t="shared" si="24"/>
        <v>2.3367346938775508</v>
      </c>
      <c r="G241" s="28">
        <f t="shared" si="12"/>
        <v>2.9209183673469385</v>
      </c>
      <c r="I241" s="5">
        <v>49</v>
      </c>
      <c r="J241" s="28">
        <f t="shared" si="13"/>
        <v>1.7525510204081631</v>
      </c>
      <c r="K241" s="28">
        <f t="shared" si="14"/>
        <v>2.3367346938775508</v>
      </c>
      <c r="L241" s="28">
        <f t="shared" si="15"/>
        <v>2.9209183673469385</v>
      </c>
      <c r="R241" s="5">
        <v>49</v>
      </c>
      <c r="S241" s="28">
        <f t="shared" si="29"/>
        <v>1.7525510204081631</v>
      </c>
      <c r="T241" s="28">
        <f t="shared" si="30"/>
        <v>2.3367346938775508</v>
      </c>
      <c r="U241" s="28">
        <f t="shared" si="31"/>
        <v>2.9209183673469385</v>
      </c>
      <c r="V241" s="28">
        <f t="shared" si="23"/>
        <v>5.9182698903446154</v>
      </c>
    </row>
    <row r="242" spans="2:22">
      <c r="B242">
        <f t="shared" si="10"/>
        <v>114.99999999999999</v>
      </c>
      <c r="D242" s="5">
        <v>50</v>
      </c>
      <c r="E242" s="28">
        <f t="shared" si="11"/>
        <v>1.7249999999999999</v>
      </c>
      <c r="F242" s="28">
        <f t="shared" si="24"/>
        <v>2.2999999999999998</v>
      </c>
      <c r="G242" s="28">
        <f t="shared" si="12"/>
        <v>2.875</v>
      </c>
      <c r="I242" s="5">
        <v>50</v>
      </c>
      <c r="J242" s="28">
        <f t="shared" si="13"/>
        <v>1.7249999999999999</v>
      </c>
      <c r="K242" s="28">
        <f t="shared" si="14"/>
        <v>2.2999999999999998</v>
      </c>
      <c r="L242" s="28">
        <f t="shared" si="15"/>
        <v>2.875</v>
      </c>
      <c r="R242" s="5">
        <v>50</v>
      </c>
      <c r="S242" s="28">
        <f t="shared" si="29"/>
        <v>1.7249999999999999</v>
      </c>
      <c r="T242" s="28">
        <f t="shared" si="30"/>
        <v>2.2999999999999998</v>
      </c>
      <c r="U242" s="28">
        <f t="shared" si="31"/>
        <v>2.875</v>
      </c>
      <c r="V242" s="28">
        <f t="shared" si="23"/>
        <v>5.7999044925377232</v>
      </c>
    </row>
    <row r="243" spans="2:22">
      <c r="B243">
        <f t="shared" si="10"/>
        <v>115.49999999999997</v>
      </c>
      <c r="D243" s="5">
        <v>51</v>
      </c>
      <c r="E243" s="28">
        <f t="shared" si="11"/>
        <v>1.6985294117647056</v>
      </c>
      <c r="F243" s="28">
        <f t="shared" si="24"/>
        <v>2.2647058823529407</v>
      </c>
      <c r="G243" s="28">
        <f t="shared" si="12"/>
        <v>2.8308823529411757</v>
      </c>
      <c r="I243" s="5">
        <v>51</v>
      </c>
      <c r="J243" s="28">
        <f t="shared" si="13"/>
        <v>1.6985294117647056</v>
      </c>
      <c r="K243" s="28">
        <f t="shared" si="14"/>
        <v>2.2647058823529407</v>
      </c>
      <c r="L243" s="28">
        <f t="shared" si="15"/>
        <v>2.8308823529411757</v>
      </c>
      <c r="R243" s="5">
        <v>51</v>
      </c>
      <c r="S243" s="28">
        <f t="shared" si="29"/>
        <v>1.6985294117647056</v>
      </c>
      <c r="T243" s="28">
        <f t="shared" si="30"/>
        <v>2.2647058823529407</v>
      </c>
      <c r="U243" s="28">
        <f t="shared" si="31"/>
        <v>2.8308823529411757</v>
      </c>
      <c r="V243" s="28">
        <f t="shared" si="23"/>
        <v>5.6861808750369836</v>
      </c>
    </row>
    <row r="244" spans="2:22">
      <c r="B244">
        <f t="shared" si="10"/>
        <v>115.99999999999999</v>
      </c>
      <c r="D244" s="5">
        <v>52</v>
      </c>
      <c r="E244" s="28">
        <f t="shared" si="11"/>
        <v>1.6730769230769229</v>
      </c>
      <c r="F244" s="28">
        <f t="shared" si="24"/>
        <v>2.2307692307692304</v>
      </c>
      <c r="G244" s="28">
        <f t="shared" si="12"/>
        <v>2.7884615384615379</v>
      </c>
      <c r="I244" s="5">
        <v>52</v>
      </c>
      <c r="J244" s="28">
        <f t="shared" si="13"/>
        <v>1.6730769230769229</v>
      </c>
      <c r="K244" s="28">
        <f t="shared" si="14"/>
        <v>2.2307692307692304</v>
      </c>
      <c r="L244" s="28">
        <f t="shared" si="15"/>
        <v>2.7884615384615379</v>
      </c>
      <c r="R244" s="5">
        <v>52</v>
      </c>
      <c r="S244" s="28">
        <f t="shared" si="29"/>
        <v>1.6730769230769229</v>
      </c>
      <c r="T244" s="28">
        <f t="shared" si="30"/>
        <v>2.2307692307692304</v>
      </c>
      <c r="U244" s="28">
        <f t="shared" si="31"/>
        <v>2.7884615384615379</v>
      </c>
      <c r="V244" s="28">
        <f t="shared" si="23"/>
        <v>5.576831242824734</v>
      </c>
    </row>
    <row r="245" spans="2:22">
      <c r="B245">
        <f t="shared" si="10"/>
        <v>116.49999999999999</v>
      </c>
      <c r="D245" s="5">
        <v>53</v>
      </c>
      <c r="E245" s="28">
        <f t="shared" si="11"/>
        <v>1.648584905660377</v>
      </c>
      <c r="F245" s="28">
        <f t="shared" si="24"/>
        <v>2.1981132075471694</v>
      </c>
      <c r="G245" s="28">
        <f t="shared" si="12"/>
        <v>2.7476415094339619</v>
      </c>
      <c r="I245" s="5">
        <v>53</v>
      </c>
      <c r="J245" s="28">
        <f t="shared" si="13"/>
        <v>1.648584905660377</v>
      </c>
      <c r="K245" s="28">
        <f t="shared" si="14"/>
        <v>2.1981132075471694</v>
      </c>
      <c r="L245" s="28">
        <f t="shared" si="15"/>
        <v>2.7476415094339619</v>
      </c>
      <c r="R245" s="5">
        <v>53</v>
      </c>
      <c r="S245" s="28">
        <f t="shared" si="29"/>
        <v>1.648584905660377</v>
      </c>
      <c r="T245" s="28">
        <f t="shared" si="30"/>
        <v>2.1981132075471694</v>
      </c>
      <c r="U245" s="28">
        <f t="shared" si="31"/>
        <v>2.7476415094339619</v>
      </c>
      <c r="V245" s="28">
        <f t="shared" si="23"/>
        <v>5.4716080118280406</v>
      </c>
    </row>
    <row r="246" spans="2:22">
      <c r="B246">
        <f t="shared" si="10"/>
        <v>116.99999999999999</v>
      </c>
      <c r="D246" s="5">
        <v>54</v>
      </c>
      <c r="E246" s="28">
        <f t="shared" si="11"/>
        <v>1.625</v>
      </c>
      <c r="F246" s="28">
        <f t="shared" si="24"/>
        <v>2.1666666666666665</v>
      </c>
      <c r="G246" s="28">
        <f t="shared" si="12"/>
        <v>2.708333333333333</v>
      </c>
      <c r="I246" s="5">
        <v>54</v>
      </c>
      <c r="J246" s="28">
        <f t="shared" si="13"/>
        <v>1.625</v>
      </c>
      <c r="K246" s="28">
        <f t="shared" si="14"/>
        <v>2.1666666666666665</v>
      </c>
      <c r="L246" s="28">
        <f t="shared" si="15"/>
        <v>2.708333333333333</v>
      </c>
      <c r="R246" s="5">
        <v>54</v>
      </c>
      <c r="S246" s="28">
        <f t="shared" si="29"/>
        <v>1.625</v>
      </c>
      <c r="T246" s="28">
        <f t="shared" si="30"/>
        <v>2.1666666666666665</v>
      </c>
      <c r="U246" s="28">
        <f t="shared" si="31"/>
        <v>2.708333333333333</v>
      </c>
      <c r="V246" s="28">
        <f t="shared" si="23"/>
        <v>5.3702819375349291</v>
      </c>
    </row>
    <row r="247" spans="2:22">
      <c r="B247">
        <f t="shared" si="10"/>
        <v>117.5</v>
      </c>
      <c r="D247" s="5">
        <v>55</v>
      </c>
      <c r="E247" s="28">
        <f t="shared" si="11"/>
        <v>1.6022727272727271</v>
      </c>
      <c r="F247" s="28">
        <f t="shared" si="24"/>
        <v>2.1363636363636362</v>
      </c>
      <c r="G247" s="28">
        <f t="shared" si="12"/>
        <v>2.6704545454545454</v>
      </c>
      <c r="I247" s="5">
        <v>55</v>
      </c>
      <c r="J247" s="28">
        <f t="shared" si="13"/>
        <v>1.6022727272727271</v>
      </c>
      <c r="K247" s="28">
        <f t="shared" si="14"/>
        <v>2.1363636363636362</v>
      </c>
      <c r="L247" s="28">
        <f t="shared" si="15"/>
        <v>2.6704545454545454</v>
      </c>
      <c r="R247" s="5">
        <v>55</v>
      </c>
      <c r="S247" s="28">
        <f t="shared" si="29"/>
        <v>1.6022727272727271</v>
      </c>
      <c r="T247" s="28">
        <f t="shared" si="30"/>
        <v>2.1363636363636362</v>
      </c>
      <c r="U247" s="28">
        <f t="shared" si="31"/>
        <v>2.6704545454545454</v>
      </c>
      <c r="V247" s="28">
        <f t="shared" si="23"/>
        <v>5.2726404477615665</v>
      </c>
    </row>
    <row r="248" spans="2:22">
      <c r="B248">
        <f t="shared" si="10"/>
        <v>117.99999999999997</v>
      </c>
      <c r="D248" s="5">
        <v>56</v>
      </c>
      <c r="E248" s="28">
        <f t="shared" si="11"/>
        <v>1.5803571428571426</v>
      </c>
      <c r="F248" s="28">
        <f t="shared" si="24"/>
        <v>2.1071428571428568</v>
      </c>
      <c r="G248" s="28">
        <f t="shared" si="12"/>
        <v>2.6339285714285712</v>
      </c>
      <c r="I248" s="5">
        <v>56</v>
      </c>
      <c r="J248" s="28">
        <f t="shared" si="13"/>
        <v>1.5803571428571426</v>
      </c>
      <c r="K248" s="28">
        <f t="shared" si="14"/>
        <v>2.1071428571428568</v>
      </c>
      <c r="L248" s="28">
        <f t="shared" si="15"/>
        <v>2.6339285714285712</v>
      </c>
      <c r="R248" s="5">
        <v>56</v>
      </c>
      <c r="S248" s="28">
        <f t="shared" si="29"/>
        <v>1.5803571428571426</v>
      </c>
      <c r="T248" s="28">
        <f t="shared" si="30"/>
        <v>2.1071428571428568</v>
      </c>
      <c r="U248" s="28">
        <f t="shared" si="31"/>
        <v>2.6339285714285712</v>
      </c>
      <c r="V248" s="28">
        <f t="shared" si="23"/>
        <v>5.178486154051539</v>
      </c>
    </row>
    <row r="249" spans="2:22">
      <c r="B249">
        <f t="shared" si="10"/>
        <v>118.49999999999997</v>
      </c>
      <c r="D249" s="5">
        <v>57</v>
      </c>
      <c r="E249" s="28">
        <f t="shared" si="11"/>
        <v>1.5592105263157892</v>
      </c>
      <c r="F249" s="28">
        <f t="shared" si="24"/>
        <v>2.0789473684210522</v>
      </c>
      <c r="G249" s="28">
        <f t="shared" si="12"/>
        <v>2.598684210526315</v>
      </c>
      <c r="I249" s="5">
        <v>57</v>
      </c>
      <c r="J249" s="28">
        <f t="shared" si="13"/>
        <v>1.5592105263157892</v>
      </c>
      <c r="K249" s="28">
        <f t="shared" si="14"/>
        <v>2.0789473684210522</v>
      </c>
      <c r="L249" s="28">
        <f t="shared" si="15"/>
        <v>2.598684210526315</v>
      </c>
      <c r="R249" s="5">
        <v>57</v>
      </c>
      <c r="S249" s="28">
        <f t="shared" si="29"/>
        <v>1.5592105263157892</v>
      </c>
      <c r="T249" s="28">
        <f t="shared" si="30"/>
        <v>2.0789473684210522</v>
      </c>
      <c r="U249" s="28">
        <f t="shared" si="31"/>
        <v>2.598684210526315</v>
      </c>
      <c r="V249" s="28">
        <f t="shared" si="23"/>
        <v>5.0876355197699326</v>
      </c>
    </row>
    <row r="250" spans="2:22">
      <c r="B250">
        <f t="shared" si="10"/>
        <v>118.99999999999999</v>
      </c>
      <c r="D250" s="5">
        <v>58</v>
      </c>
      <c r="E250" s="28">
        <f t="shared" si="11"/>
        <v>1.5387931034482758</v>
      </c>
      <c r="F250" s="28">
        <f t="shared" si="24"/>
        <v>2.0517241379310343</v>
      </c>
      <c r="G250" s="28">
        <f t="shared" si="12"/>
        <v>2.5646551724137927</v>
      </c>
      <c r="I250" s="5">
        <v>58</v>
      </c>
      <c r="J250" s="28">
        <f t="shared" si="13"/>
        <v>1.5387931034482758</v>
      </c>
      <c r="K250" s="28">
        <f t="shared" si="14"/>
        <v>2.0517241379310343</v>
      </c>
      <c r="L250" s="28">
        <f t="shared" si="15"/>
        <v>2.5646551724137927</v>
      </c>
      <c r="R250" s="26">
        <v>58</v>
      </c>
      <c r="S250" s="28">
        <f t="shared" ref="S250:S272" si="32">IF($R250&gt;$F$177,0.0000000005,J250)</f>
        <v>1.5387931034482758</v>
      </c>
      <c r="T250" s="28">
        <f t="shared" ref="T250:T272" si="33">IF($R250&gt;$F$177,0.0000000005,K250)</f>
        <v>2.0517241379310343</v>
      </c>
      <c r="U250" s="28">
        <f t="shared" ref="U250:U272" si="34">IF($R250&gt;$F$177,0.0000000005,L250)</f>
        <v>2.5646551724137927</v>
      </c>
      <c r="V250" s="28">
        <f t="shared" ref="V250:V272" si="35">$X$193/R250</f>
        <v>4.9999176659807958</v>
      </c>
    </row>
    <row r="251" spans="2:22">
      <c r="B251">
        <f t="shared" si="10"/>
        <v>119.5</v>
      </c>
      <c r="D251" s="5">
        <v>59</v>
      </c>
      <c r="E251" s="28">
        <f t="shared" si="11"/>
        <v>1.5190677966101696</v>
      </c>
      <c r="F251" s="28">
        <f t="shared" si="24"/>
        <v>2.0254237288135593</v>
      </c>
      <c r="G251" s="28">
        <f t="shared" si="12"/>
        <v>2.531779661016949</v>
      </c>
      <c r="I251" s="5">
        <v>59</v>
      </c>
      <c r="J251" s="28">
        <f t="shared" si="13"/>
        <v>1.5190677966101696</v>
      </c>
      <c r="K251" s="28">
        <f t="shared" si="14"/>
        <v>2.0254237288135593</v>
      </c>
      <c r="L251" s="28">
        <f t="shared" si="15"/>
        <v>2.531779661016949</v>
      </c>
      <c r="R251" s="26">
        <v>59</v>
      </c>
      <c r="S251" s="28">
        <f t="shared" si="32"/>
        <v>1.5190677966101696</v>
      </c>
      <c r="T251" s="28">
        <f t="shared" si="33"/>
        <v>2.0254237288135593</v>
      </c>
      <c r="U251" s="28">
        <f t="shared" si="34"/>
        <v>2.531779661016949</v>
      </c>
      <c r="V251" s="28">
        <f t="shared" si="35"/>
        <v>4.9151732987607826</v>
      </c>
    </row>
    <row r="252" spans="2:22">
      <c r="B252">
        <f t="shared" si="10"/>
        <v>119.99999999999999</v>
      </c>
      <c r="D252" s="5">
        <v>60</v>
      </c>
      <c r="E252" s="28">
        <f t="shared" si="11"/>
        <v>1.4999999999999998</v>
      </c>
      <c r="F252" s="28">
        <f t="shared" si="24"/>
        <v>1.9999999999999998</v>
      </c>
      <c r="G252" s="28">
        <f t="shared" si="12"/>
        <v>2.4999999999999996</v>
      </c>
      <c r="I252" s="5">
        <v>60</v>
      </c>
      <c r="J252" s="28">
        <f t="shared" si="13"/>
        <v>1.4999999999999998</v>
      </c>
      <c r="K252" s="28">
        <f t="shared" si="14"/>
        <v>1.9999999999999998</v>
      </c>
      <c r="L252" s="28">
        <f t="shared" si="15"/>
        <v>2.4999999999999996</v>
      </c>
      <c r="R252" s="26">
        <v>60</v>
      </c>
      <c r="S252" s="28">
        <f t="shared" si="32"/>
        <v>1.4999999999999998</v>
      </c>
      <c r="T252" s="28">
        <f t="shared" si="33"/>
        <v>1.9999999999999998</v>
      </c>
      <c r="U252" s="28">
        <f t="shared" si="34"/>
        <v>2.4999999999999996</v>
      </c>
      <c r="V252" s="28">
        <f t="shared" si="35"/>
        <v>4.8332537437814365</v>
      </c>
    </row>
    <row r="253" spans="2:22">
      <c r="B253">
        <f t="shared" si="10"/>
        <v>120.49999999999999</v>
      </c>
      <c r="D253" s="5">
        <v>61</v>
      </c>
      <c r="E253" s="28">
        <f t="shared" si="11"/>
        <v>1.4815573770491803</v>
      </c>
      <c r="F253" s="28">
        <f t="shared" si="24"/>
        <v>1.9754098360655736</v>
      </c>
      <c r="G253" s="28">
        <f t="shared" si="12"/>
        <v>2.4692622950819669</v>
      </c>
      <c r="I253" s="5">
        <v>61</v>
      </c>
      <c r="J253" s="28">
        <f t="shared" si="13"/>
        <v>1.4815573770491803</v>
      </c>
      <c r="K253" s="28">
        <f t="shared" si="14"/>
        <v>1.9754098360655736</v>
      </c>
      <c r="L253" s="28">
        <f t="shared" si="15"/>
        <v>2.4692622950819669</v>
      </c>
      <c r="R253" s="5">
        <v>61</v>
      </c>
      <c r="S253" s="28">
        <f t="shared" si="32"/>
        <v>5.0000000000000003E-10</v>
      </c>
      <c r="T253" s="28">
        <f t="shared" si="33"/>
        <v>5.0000000000000003E-10</v>
      </c>
      <c r="U253" s="28">
        <f t="shared" si="34"/>
        <v>5.0000000000000003E-10</v>
      </c>
      <c r="V253" s="28">
        <f t="shared" si="35"/>
        <v>4.7540200758505931</v>
      </c>
    </row>
    <row r="254" spans="2:22">
      <c r="B254">
        <f t="shared" si="10"/>
        <v>120.99999999999999</v>
      </c>
      <c r="D254" s="5">
        <v>62</v>
      </c>
      <c r="E254" s="28">
        <f t="shared" si="11"/>
        <v>1.4637096774193548</v>
      </c>
      <c r="F254" s="28">
        <f t="shared" si="24"/>
        <v>1.9516129032258063</v>
      </c>
      <c r="G254" s="28">
        <f t="shared" si="12"/>
        <v>2.439516129032258</v>
      </c>
      <c r="I254" s="5">
        <v>62</v>
      </c>
      <c r="J254" s="28">
        <f t="shared" si="13"/>
        <v>1.4637096774193548</v>
      </c>
      <c r="K254" s="28">
        <f t="shared" si="14"/>
        <v>1.9516129032258063</v>
      </c>
      <c r="L254" s="28">
        <f t="shared" si="15"/>
        <v>2.439516129032258</v>
      </c>
      <c r="R254" s="5">
        <v>62</v>
      </c>
      <c r="S254" s="28">
        <f t="shared" si="32"/>
        <v>5.0000000000000003E-10</v>
      </c>
      <c r="T254" s="28">
        <f t="shared" si="33"/>
        <v>5.0000000000000003E-10</v>
      </c>
      <c r="U254" s="28">
        <f t="shared" si="34"/>
        <v>5.0000000000000003E-10</v>
      </c>
      <c r="V254" s="28">
        <f t="shared" si="35"/>
        <v>4.6773423326917127</v>
      </c>
    </row>
    <row r="255" spans="2:22">
      <c r="B255">
        <f t="shared" si="10"/>
        <v>121.49999999999999</v>
      </c>
      <c r="D255" s="5">
        <v>63</v>
      </c>
      <c r="E255" s="28">
        <f t="shared" si="11"/>
        <v>1.4464285714285712</v>
      </c>
      <c r="F255" s="28">
        <f t="shared" si="24"/>
        <v>1.9285714285714284</v>
      </c>
      <c r="G255" s="28">
        <f t="shared" si="12"/>
        <v>2.4107142857142856</v>
      </c>
      <c r="I255" s="5">
        <v>63</v>
      </c>
      <c r="J255" s="28">
        <f t="shared" si="13"/>
        <v>1.4464285714285712</v>
      </c>
      <c r="K255" s="28">
        <f t="shared" si="14"/>
        <v>1.9285714285714284</v>
      </c>
      <c r="L255" s="28">
        <f t="shared" si="15"/>
        <v>2.4107142857142856</v>
      </c>
      <c r="R255" s="5">
        <v>63</v>
      </c>
      <c r="S255" s="28">
        <f t="shared" si="32"/>
        <v>5.0000000000000003E-10</v>
      </c>
      <c r="T255" s="28">
        <f t="shared" si="33"/>
        <v>5.0000000000000003E-10</v>
      </c>
      <c r="U255" s="28">
        <f t="shared" si="34"/>
        <v>5.0000000000000003E-10</v>
      </c>
      <c r="V255" s="28">
        <f t="shared" si="35"/>
        <v>4.6030988036013678</v>
      </c>
    </row>
    <row r="256" spans="2:22">
      <c r="B256">
        <f t="shared" si="10"/>
        <v>121.99999999999999</v>
      </c>
      <c r="D256" s="5">
        <v>64</v>
      </c>
      <c r="E256" s="28">
        <f t="shared" si="11"/>
        <v>1.4296874999999998</v>
      </c>
      <c r="F256" s="28">
        <f t="shared" si="24"/>
        <v>1.9062499999999998</v>
      </c>
      <c r="G256" s="28">
        <f t="shared" si="12"/>
        <v>2.3828124999999996</v>
      </c>
      <c r="I256" s="5">
        <v>64</v>
      </c>
      <c r="J256" s="28">
        <f t="shared" si="13"/>
        <v>1.4296874999999998</v>
      </c>
      <c r="K256" s="28">
        <f t="shared" si="14"/>
        <v>1.9062499999999998</v>
      </c>
      <c r="L256" s="28">
        <f t="shared" si="15"/>
        <v>2.3828124999999996</v>
      </c>
      <c r="R256" s="5">
        <v>64</v>
      </c>
      <c r="S256" s="28">
        <f t="shared" si="32"/>
        <v>5.0000000000000003E-10</v>
      </c>
      <c r="T256" s="28">
        <f t="shared" si="33"/>
        <v>5.0000000000000003E-10</v>
      </c>
      <c r="U256" s="28">
        <f t="shared" si="34"/>
        <v>5.0000000000000003E-10</v>
      </c>
      <c r="V256" s="28">
        <f t="shared" si="35"/>
        <v>4.5311753847950964</v>
      </c>
    </row>
    <row r="257" spans="2:22">
      <c r="B257">
        <f t="shared" si="10"/>
        <v>122.49999999999999</v>
      </c>
      <c r="D257" s="5">
        <v>65</v>
      </c>
      <c r="E257" s="28">
        <f t="shared" si="11"/>
        <v>1.4134615384615383</v>
      </c>
      <c r="F257" s="28">
        <f t="shared" ref="F257:F272" si="36">($F$184+(D257-VINMAX)*$E$277/$E$278)/D257</f>
        <v>1.8846153846153844</v>
      </c>
      <c r="G257" s="28">
        <f t="shared" si="12"/>
        <v>2.3557692307692304</v>
      </c>
      <c r="I257" s="5">
        <v>65</v>
      </c>
      <c r="J257" s="28">
        <f t="shared" si="13"/>
        <v>1.4134615384615383</v>
      </c>
      <c r="K257" s="28">
        <f t="shared" si="14"/>
        <v>1.8846153846153844</v>
      </c>
      <c r="L257" s="28">
        <f t="shared" si="15"/>
        <v>2.3557692307692304</v>
      </c>
      <c r="R257" s="5">
        <v>65</v>
      </c>
      <c r="S257" s="28">
        <f t="shared" si="32"/>
        <v>5.0000000000000003E-10</v>
      </c>
      <c r="T257" s="28">
        <f t="shared" si="33"/>
        <v>5.0000000000000003E-10</v>
      </c>
      <c r="U257" s="28">
        <f t="shared" si="34"/>
        <v>5.0000000000000003E-10</v>
      </c>
      <c r="V257" s="28">
        <f t="shared" si="35"/>
        <v>4.4614649942597868</v>
      </c>
    </row>
    <row r="258" spans="2:22">
      <c r="B258">
        <f t="shared" ref="B258:B272" si="37">D258*F258</f>
        <v>122.99999999999997</v>
      </c>
      <c r="D258" s="5">
        <v>66</v>
      </c>
      <c r="E258" s="28">
        <f t="shared" si="11"/>
        <v>1.3977272727272725</v>
      </c>
      <c r="F258" s="28">
        <f t="shared" si="36"/>
        <v>1.8636363636363633</v>
      </c>
      <c r="G258" s="28">
        <f t="shared" si="12"/>
        <v>2.3295454545454541</v>
      </c>
      <c r="I258" s="5">
        <v>66</v>
      </c>
      <c r="J258" s="28">
        <f t="shared" si="13"/>
        <v>1.3977272727272725</v>
      </c>
      <c r="K258" s="28">
        <f t="shared" si="14"/>
        <v>1.8636363636363633</v>
      </c>
      <c r="L258" s="28">
        <f t="shared" si="15"/>
        <v>2.3295454545454541</v>
      </c>
      <c r="R258" s="5">
        <v>66</v>
      </c>
      <c r="S258" s="28">
        <f t="shared" si="32"/>
        <v>5.0000000000000003E-10</v>
      </c>
      <c r="T258" s="28">
        <f t="shared" si="33"/>
        <v>5.0000000000000003E-10</v>
      </c>
      <c r="U258" s="28">
        <f t="shared" si="34"/>
        <v>5.0000000000000003E-10</v>
      </c>
      <c r="V258" s="28">
        <f t="shared" si="35"/>
        <v>4.3938670398013056</v>
      </c>
    </row>
    <row r="259" spans="2:22">
      <c r="B259">
        <f t="shared" si="37"/>
        <v>123.49999999999999</v>
      </c>
      <c r="D259" s="5">
        <v>67</v>
      </c>
      <c r="E259" s="28">
        <f t="shared" si="11"/>
        <v>1.3824626865671641</v>
      </c>
      <c r="F259" s="28">
        <f t="shared" si="36"/>
        <v>1.8432835820895521</v>
      </c>
      <c r="G259" s="28">
        <f t="shared" si="12"/>
        <v>2.3041044776119399</v>
      </c>
      <c r="I259" s="5">
        <v>67</v>
      </c>
      <c r="J259" s="28">
        <f t="shared" si="13"/>
        <v>1.3824626865671641</v>
      </c>
      <c r="K259" s="28">
        <f t="shared" si="14"/>
        <v>1.8432835820895521</v>
      </c>
      <c r="L259" s="28">
        <f t="shared" si="15"/>
        <v>2.3041044776119399</v>
      </c>
      <c r="R259" s="5">
        <v>67</v>
      </c>
      <c r="S259" s="28">
        <f t="shared" si="32"/>
        <v>5.0000000000000003E-10</v>
      </c>
      <c r="T259" s="28">
        <f t="shared" si="33"/>
        <v>5.0000000000000003E-10</v>
      </c>
      <c r="U259" s="28">
        <f t="shared" si="34"/>
        <v>5.0000000000000003E-10</v>
      </c>
      <c r="V259" s="28">
        <f t="shared" si="35"/>
        <v>4.3282869347296442</v>
      </c>
    </row>
    <row r="260" spans="2:22">
      <c r="B260">
        <f t="shared" si="37"/>
        <v>123.99999999999999</v>
      </c>
      <c r="D260" s="5">
        <v>68</v>
      </c>
      <c r="E260" s="28">
        <f t="shared" si="11"/>
        <v>1.3676470588235292</v>
      </c>
      <c r="F260" s="28">
        <f t="shared" si="36"/>
        <v>1.8235294117647056</v>
      </c>
      <c r="G260" s="28">
        <f t="shared" si="12"/>
        <v>2.2794117647058822</v>
      </c>
      <c r="I260" s="5">
        <v>68</v>
      </c>
      <c r="J260" s="28">
        <f t="shared" si="13"/>
        <v>1.3676470588235292</v>
      </c>
      <c r="K260" s="28">
        <f t="shared" si="14"/>
        <v>1.8235294117647056</v>
      </c>
      <c r="L260" s="28">
        <f t="shared" si="15"/>
        <v>2.2794117647058822</v>
      </c>
      <c r="R260" s="5">
        <v>68</v>
      </c>
      <c r="S260" s="28">
        <f t="shared" si="32"/>
        <v>5.0000000000000003E-10</v>
      </c>
      <c r="T260" s="28">
        <f t="shared" si="33"/>
        <v>5.0000000000000003E-10</v>
      </c>
      <c r="U260" s="28">
        <f t="shared" si="34"/>
        <v>5.0000000000000003E-10</v>
      </c>
      <c r="V260" s="28">
        <f t="shared" si="35"/>
        <v>4.2646356562777381</v>
      </c>
    </row>
    <row r="261" spans="2:22">
      <c r="B261">
        <f t="shared" si="37"/>
        <v>124.49999999999999</v>
      </c>
      <c r="D261" s="5">
        <v>69</v>
      </c>
      <c r="E261" s="28">
        <f t="shared" si="11"/>
        <v>1.3532608695652173</v>
      </c>
      <c r="F261" s="28">
        <f t="shared" si="36"/>
        <v>1.8043478260869563</v>
      </c>
      <c r="G261" s="28">
        <f t="shared" si="12"/>
        <v>2.2554347826086953</v>
      </c>
      <c r="I261" s="5">
        <v>69</v>
      </c>
      <c r="J261" s="28">
        <f t="shared" si="13"/>
        <v>1.3532608695652173</v>
      </c>
      <c r="K261" s="28">
        <f t="shared" si="14"/>
        <v>1.8043478260869563</v>
      </c>
      <c r="L261" s="28">
        <f t="shared" si="15"/>
        <v>2.2554347826086953</v>
      </c>
      <c r="R261" s="5">
        <v>69</v>
      </c>
      <c r="S261" s="28">
        <f t="shared" si="32"/>
        <v>5.0000000000000003E-10</v>
      </c>
      <c r="T261" s="28">
        <f t="shared" si="33"/>
        <v>5.0000000000000003E-10</v>
      </c>
      <c r="U261" s="28">
        <f t="shared" si="34"/>
        <v>5.0000000000000003E-10</v>
      </c>
      <c r="V261" s="28">
        <f t="shared" si="35"/>
        <v>4.2028293424186405</v>
      </c>
    </row>
    <row r="262" spans="2:22">
      <c r="B262">
        <f t="shared" si="37"/>
        <v>124.99999999999999</v>
      </c>
      <c r="D262" s="5">
        <v>70</v>
      </c>
      <c r="E262" s="28">
        <f t="shared" si="11"/>
        <v>1.3392857142857142</v>
      </c>
      <c r="F262" s="28">
        <f t="shared" si="36"/>
        <v>1.7857142857142856</v>
      </c>
      <c r="G262" s="28">
        <f t="shared" si="12"/>
        <v>2.2321428571428568</v>
      </c>
      <c r="I262" s="5">
        <v>70</v>
      </c>
      <c r="J262" s="28">
        <f t="shared" si="13"/>
        <v>1.3392857142857142</v>
      </c>
      <c r="K262" s="28">
        <f t="shared" si="14"/>
        <v>1.7857142857142856</v>
      </c>
      <c r="L262" s="28">
        <f t="shared" si="15"/>
        <v>2.2321428571428568</v>
      </c>
      <c r="R262" s="5">
        <v>70</v>
      </c>
      <c r="S262" s="28">
        <f t="shared" si="32"/>
        <v>5.0000000000000003E-10</v>
      </c>
      <c r="T262" s="28">
        <f t="shared" si="33"/>
        <v>5.0000000000000003E-10</v>
      </c>
      <c r="U262" s="28">
        <f t="shared" si="34"/>
        <v>5.0000000000000003E-10</v>
      </c>
      <c r="V262" s="28">
        <f t="shared" si="35"/>
        <v>4.1427889232412314</v>
      </c>
    </row>
    <row r="263" spans="2:22">
      <c r="B263">
        <f t="shared" si="37"/>
        <v>125.49999999999999</v>
      </c>
      <c r="D263" s="5">
        <v>71</v>
      </c>
      <c r="E263" s="28">
        <f t="shared" si="11"/>
        <v>1.3257042253521125</v>
      </c>
      <c r="F263" s="28">
        <f t="shared" si="36"/>
        <v>1.7676056338028168</v>
      </c>
      <c r="G263" s="28">
        <f t="shared" si="12"/>
        <v>2.209507042253521</v>
      </c>
      <c r="I263" s="5">
        <v>71</v>
      </c>
      <c r="J263" s="28">
        <f t="shared" si="13"/>
        <v>1.3257042253521125</v>
      </c>
      <c r="K263" s="28">
        <f t="shared" si="14"/>
        <v>1.7676056338028168</v>
      </c>
      <c r="L263" s="28">
        <f t="shared" si="15"/>
        <v>2.209507042253521</v>
      </c>
      <c r="R263" s="5">
        <v>71</v>
      </c>
      <c r="S263" s="28">
        <f t="shared" si="32"/>
        <v>5.0000000000000003E-10</v>
      </c>
      <c r="T263" s="28">
        <f t="shared" si="33"/>
        <v>5.0000000000000003E-10</v>
      </c>
      <c r="U263" s="28">
        <f t="shared" si="34"/>
        <v>5.0000000000000003E-10</v>
      </c>
      <c r="V263" s="28">
        <f t="shared" si="35"/>
        <v>4.0844397834772703</v>
      </c>
    </row>
    <row r="264" spans="2:22">
      <c r="B264">
        <f t="shared" si="37"/>
        <v>125.99999999999999</v>
      </c>
      <c r="D264" s="5">
        <v>72</v>
      </c>
      <c r="E264" s="28">
        <f t="shared" si="11"/>
        <v>1.3124999999999998</v>
      </c>
      <c r="F264" s="28">
        <f t="shared" si="36"/>
        <v>1.7499999999999998</v>
      </c>
      <c r="G264" s="28">
        <f t="shared" si="12"/>
        <v>2.1874999999999996</v>
      </c>
      <c r="I264" s="5">
        <v>72</v>
      </c>
      <c r="J264" s="28">
        <f t="shared" si="13"/>
        <v>1.3124999999999998</v>
      </c>
      <c r="K264" s="28">
        <f t="shared" si="14"/>
        <v>1.7499999999999998</v>
      </c>
      <c r="L264" s="28">
        <f t="shared" si="15"/>
        <v>2.1874999999999996</v>
      </c>
      <c r="R264" s="5">
        <v>72</v>
      </c>
      <c r="S264" s="28">
        <f t="shared" si="32"/>
        <v>5.0000000000000003E-10</v>
      </c>
      <c r="T264" s="28">
        <f t="shared" si="33"/>
        <v>5.0000000000000003E-10</v>
      </c>
      <c r="U264" s="28">
        <f t="shared" si="34"/>
        <v>5.0000000000000003E-10</v>
      </c>
      <c r="V264" s="28">
        <f t="shared" si="35"/>
        <v>4.0277114531511966</v>
      </c>
    </row>
    <row r="265" spans="2:22">
      <c r="B265">
        <f t="shared" si="37"/>
        <v>126.49999999999999</v>
      </c>
      <c r="D265" s="5">
        <v>73</v>
      </c>
      <c r="E265" s="28">
        <f t="shared" si="11"/>
        <v>1.2996575342465753</v>
      </c>
      <c r="F265" s="28">
        <f t="shared" si="36"/>
        <v>1.7328767123287669</v>
      </c>
      <c r="G265" s="28">
        <f t="shared" si="12"/>
        <v>2.1660958904109586</v>
      </c>
      <c r="I265" s="5">
        <v>73</v>
      </c>
      <c r="J265" s="28">
        <f t="shared" si="13"/>
        <v>1.2996575342465753</v>
      </c>
      <c r="K265" s="28">
        <f t="shared" si="14"/>
        <v>1.7328767123287669</v>
      </c>
      <c r="L265" s="28">
        <f t="shared" si="15"/>
        <v>2.1660958904109586</v>
      </c>
      <c r="R265" s="5">
        <v>73</v>
      </c>
      <c r="S265" s="28">
        <f t="shared" si="32"/>
        <v>5.0000000000000003E-10</v>
      </c>
      <c r="T265" s="28">
        <f t="shared" si="33"/>
        <v>5.0000000000000003E-10</v>
      </c>
      <c r="U265" s="28">
        <f t="shared" si="34"/>
        <v>5.0000000000000003E-10</v>
      </c>
      <c r="V265" s="28">
        <f t="shared" si="35"/>
        <v>3.9725373236559749</v>
      </c>
    </row>
    <row r="266" spans="2:22">
      <c r="B266">
        <f t="shared" si="37"/>
        <v>126.99999999999999</v>
      </c>
      <c r="D266" s="5">
        <v>74</v>
      </c>
      <c r="E266" s="28">
        <f t="shared" si="11"/>
        <v>1.2871621621621621</v>
      </c>
      <c r="F266" s="28">
        <f t="shared" si="36"/>
        <v>1.716216216216216</v>
      </c>
      <c r="G266" s="28">
        <f t="shared" si="12"/>
        <v>2.1452702702702702</v>
      </c>
      <c r="I266" s="5">
        <v>74</v>
      </c>
      <c r="J266" s="28">
        <f t="shared" si="13"/>
        <v>1.2871621621621621</v>
      </c>
      <c r="K266" s="28">
        <f t="shared" si="14"/>
        <v>1.716216216216216</v>
      </c>
      <c r="L266" s="28">
        <f t="shared" si="15"/>
        <v>2.1452702702702702</v>
      </c>
      <c r="R266" s="5">
        <v>74</v>
      </c>
      <c r="S266" s="28">
        <f t="shared" si="32"/>
        <v>5.0000000000000003E-10</v>
      </c>
      <c r="T266" s="28">
        <f t="shared" si="33"/>
        <v>5.0000000000000003E-10</v>
      </c>
      <c r="U266" s="28">
        <f t="shared" si="34"/>
        <v>5.0000000000000003E-10</v>
      </c>
      <c r="V266" s="28">
        <f t="shared" si="35"/>
        <v>3.9188543868498131</v>
      </c>
    </row>
    <row r="267" spans="2:22">
      <c r="B267">
        <f t="shared" si="37"/>
        <v>127.49999999999999</v>
      </c>
      <c r="D267" s="5">
        <v>75</v>
      </c>
      <c r="E267" s="28">
        <f t="shared" si="11"/>
        <v>1.2749999999999999</v>
      </c>
      <c r="F267" s="28">
        <f t="shared" si="36"/>
        <v>1.6999999999999997</v>
      </c>
      <c r="G267" s="28">
        <f t="shared" si="12"/>
        <v>2.1249999999999996</v>
      </c>
      <c r="I267" s="5">
        <v>75</v>
      </c>
      <c r="J267" s="28">
        <f t="shared" si="13"/>
        <v>1.2749999999999999</v>
      </c>
      <c r="K267" s="28">
        <f t="shared" si="14"/>
        <v>1.6999999999999997</v>
      </c>
      <c r="L267" s="28">
        <f t="shared" si="15"/>
        <v>2.1249999999999996</v>
      </c>
      <c r="R267" s="5">
        <v>75</v>
      </c>
      <c r="S267" s="28">
        <f t="shared" si="32"/>
        <v>5.0000000000000003E-10</v>
      </c>
      <c r="T267" s="28">
        <f t="shared" si="33"/>
        <v>5.0000000000000003E-10</v>
      </c>
      <c r="U267" s="28">
        <f t="shared" si="34"/>
        <v>5.0000000000000003E-10</v>
      </c>
      <c r="V267" s="28">
        <f t="shared" si="35"/>
        <v>3.8666029950251488</v>
      </c>
    </row>
    <row r="268" spans="2:22">
      <c r="B268">
        <f t="shared" si="37"/>
        <v>128</v>
      </c>
      <c r="D268" s="5">
        <v>76</v>
      </c>
      <c r="E268" s="28">
        <f t="shared" si="11"/>
        <v>1.263157894736842</v>
      </c>
      <c r="F268" s="28">
        <f t="shared" si="36"/>
        <v>1.6842105263157894</v>
      </c>
      <c r="G268" s="28">
        <f t="shared" si="12"/>
        <v>2.1052631578947367</v>
      </c>
      <c r="I268" s="5">
        <v>76</v>
      </c>
      <c r="J268" s="28">
        <f t="shared" si="13"/>
        <v>1.263157894736842</v>
      </c>
      <c r="K268" s="28">
        <f t="shared" si="14"/>
        <v>1.6842105263157894</v>
      </c>
      <c r="L268" s="28">
        <f t="shared" si="15"/>
        <v>2.1052631578947367</v>
      </c>
      <c r="R268" s="5">
        <v>76</v>
      </c>
      <c r="S268" s="28">
        <f t="shared" si="32"/>
        <v>5.0000000000000003E-10</v>
      </c>
      <c r="T268" s="28">
        <f t="shared" si="33"/>
        <v>5.0000000000000003E-10</v>
      </c>
      <c r="U268" s="28">
        <f t="shared" si="34"/>
        <v>5.0000000000000003E-10</v>
      </c>
      <c r="V268" s="28">
        <f t="shared" si="35"/>
        <v>3.8157266398274494</v>
      </c>
    </row>
    <row r="269" spans="2:22">
      <c r="B269">
        <f t="shared" si="37"/>
        <v>128.5</v>
      </c>
      <c r="D269" s="5">
        <v>77</v>
      </c>
      <c r="E269" s="28">
        <f t="shared" si="11"/>
        <v>1.2516233766233766</v>
      </c>
      <c r="F269" s="28">
        <f t="shared" si="36"/>
        <v>1.6688311688311688</v>
      </c>
      <c r="G269" s="28">
        <f t="shared" si="12"/>
        <v>2.0860389610389611</v>
      </c>
      <c r="I269" s="5">
        <v>77</v>
      </c>
      <c r="J269" s="28">
        <f t="shared" si="13"/>
        <v>1.2516233766233766</v>
      </c>
      <c r="K269" s="28">
        <f t="shared" si="14"/>
        <v>1.6688311688311688</v>
      </c>
      <c r="L269" s="28">
        <f t="shared" si="15"/>
        <v>2.0860389610389611</v>
      </c>
      <c r="R269" s="5">
        <v>77</v>
      </c>
      <c r="S269" s="28">
        <f t="shared" si="32"/>
        <v>5.0000000000000003E-10</v>
      </c>
      <c r="T269" s="28">
        <f t="shared" si="33"/>
        <v>5.0000000000000003E-10</v>
      </c>
      <c r="U269" s="28">
        <f t="shared" si="34"/>
        <v>5.0000000000000003E-10</v>
      </c>
      <c r="V269" s="28">
        <f t="shared" si="35"/>
        <v>3.7661717484011192</v>
      </c>
    </row>
    <row r="270" spans="2:22">
      <c r="B270">
        <f t="shared" si="37"/>
        <v>129</v>
      </c>
      <c r="D270" s="5">
        <v>78</v>
      </c>
      <c r="E270" s="28">
        <f t="shared" si="11"/>
        <v>1.2403846153846154</v>
      </c>
      <c r="F270" s="28">
        <f t="shared" si="36"/>
        <v>1.6538461538461537</v>
      </c>
      <c r="G270" s="28">
        <f t="shared" si="12"/>
        <v>2.0673076923076921</v>
      </c>
      <c r="I270" s="5">
        <v>78</v>
      </c>
      <c r="J270" s="28">
        <f t="shared" si="13"/>
        <v>1.2403846153846154</v>
      </c>
      <c r="K270" s="28">
        <f t="shared" si="14"/>
        <v>1.6538461538461537</v>
      </c>
      <c r="L270" s="28">
        <f t="shared" si="15"/>
        <v>2.0673076923076921</v>
      </c>
      <c r="R270" s="26">
        <v>78</v>
      </c>
      <c r="S270" s="28">
        <f t="shared" si="32"/>
        <v>5.0000000000000003E-10</v>
      </c>
      <c r="T270" s="28">
        <f t="shared" si="33"/>
        <v>5.0000000000000003E-10</v>
      </c>
      <c r="U270" s="28">
        <f t="shared" si="34"/>
        <v>5.0000000000000003E-10</v>
      </c>
      <c r="V270" s="28">
        <f t="shared" si="35"/>
        <v>3.7178874952164893</v>
      </c>
    </row>
    <row r="271" spans="2:22">
      <c r="B271">
        <f t="shared" si="37"/>
        <v>129.5</v>
      </c>
      <c r="D271" s="5">
        <v>79</v>
      </c>
      <c r="E271" s="28">
        <f t="shared" si="11"/>
        <v>1.2294303797468356</v>
      </c>
      <c r="F271" s="28">
        <f t="shared" si="36"/>
        <v>1.639240506329114</v>
      </c>
      <c r="G271" s="28">
        <f t="shared" si="12"/>
        <v>2.0490506329113924</v>
      </c>
      <c r="I271" s="5">
        <v>79</v>
      </c>
      <c r="J271" s="28">
        <f t="shared" si="13"/>
        <v>1.2294303797468356</v>
      </c>
      <c r="K271" s="28">
        <f t="shared" si="14"/>
        <v>1.639240506329114</v>
      </c>
      <c r="L271" s="28">
        <f t="shared" si="15"/>
        <v>2.0490506329113924</v>
      </c>
      <c r="R271" s="26">
        <v>79</v>
      </c>
      <c r="S271" s="28">
        <f t="shared" si="32"/>
        <v>5.0000000000000003E-10</v>
      </c>
      <c r="T271" s="28">
        <f t="shared" si="33"/>
        <v>5.0000000000000003E-10</v>
      </c>
      <c r="U271" s="28">
        <f t="shared" si="34"/>
        <v>5.0000000000000003E-10</v>
      </c>
      <c r="V271" s="28">
        <f t="shared" si="35"/>
        <v>3.6708256281884326</v>
      </c>
    </row>
    <row r="272" spans="2:22">
      <c r="B272">
        <f t="shared" si="37"/>
        <v>130</v>
      </c>
      <c r="D272" s="5">
        <v>80</v>
      </c>
      <c r="E272" s="28">
        <f t="shared" si="11"/>
        <v>1.21875</v>
      </c>
      <c r="F272" s="28">
        <f t="shared" si="36"/>
        <v>1.625</v>
      </c>
      <c r="G272" s="28">
        <f t="shared" si="12"/>
        <v>2.03125</v>
      </c>
      <c r="I272" s="5">
        <v>80</v>
      </c>
      <c r="J272" s="28">
        <f t="shared" si="13"/>
        <v>1.21875</v>
      </c>
      <c r="K272" s="28">
        <f t="shared" si="14"/>
        <v>1.625</v>
      </c>
      <c r="L272" s="28">
        <f t="shared" si="15"/>
        <v>2.03125</v>
      </c>
      <c r="R272" s="26">
        <v>80</v>
      </c>
      <c r="S272" s="28">
        <f t="shared" si="32"/>
        <v>5.0000000000000003E-10</v>
      </c>
      <c r="T272" s="28">
        <f t="shared" si="33"/>
        <v>5.0000000000000003E-10</v>
      </c>
      <c r="U272" s="28">
        <f t="shared" si="34"/>
        <v>5.0000000000000003E-10</v>
      </c>
      <c r="V272" s="28">
        <f t="shared" si="35"/>
        <v>3.6249403078360771</v>
      </c>
    </row>
    <row r="273" spans="4:12">
      <c r="D273" s="219"/>
      <c r="E273" s="244"/>
      <c r="F273" s="244"/>
      <c r="G273" s="244"/>
      <c r="I273" s="219"/>
      <c r="J273" s="244"/>
      <c r="K273" s="244"/>
      <c r="L273" s="244"/>
    </row>
    <row r="275" spans="4:12">
      <c r="D275" s="33" t="s">
        <v>324</v>
      </c>
    </row>
    <row r="277" spans="4:12">
      <c r="D277" s="33" t="s">
        <v>325</v>
      </c>
      <c r="E277">
        <f>'Device Parameters'!E12</f>
        <v>1.5E-3</v>
      </c>
    </row>
    <row r="278" spans="4:12">
      <c r="D278" s="33" t="s">
        <v>326</v>
      </c>
      <c r="E278">
        <f>RsEFF*0.001</f>
        <v>3.0000000000000001E-3</v>
      </c>
    </row>
    <row r="279" spans="4:12">
      <c r="D279" s="33" t="s">
        <v>327</v>
      </c>
      <c r="E279">
        <f>VINMAX</f>
        <v>60</v>
      </c>
    </row>
    <row r="280" spans="4:12">
      <c r="D280" s="33" t="s">
        <v>328</v>
      </c>
      <c r="E280" s="156"/>
      <c r="F280">
        <v>0.25</v>
      </c>
    </row>
    <row r="282" spans="4:12">
      <c r="D282" s="159" t="s">
        <v>289</v>
      </c>
    </row>
  </sheetData>
  <mergeCells count="3">
    <mergeCell ref="D52:G52"/>
    <mergeCell ref="D60:G60"/>
    <mergeCell ref="D74:H74"/>
  </mergeCells>
  <phoneticPr fontId="51"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E7" sqref="E7"/>
    </sheetView>
  </sheetViews>
  <sheetFormatPr defaultColWidth="9.21875" defaultRowHeight="13.2"/>
  <cols>
    <col min="1" max="1" width="11" style="70" customWidth="1"/>
    <col min="2" max="3" width="9.21875" style="70"/>
    <col min="4" max="5" width="15" style="70" customWidth="1"/>
    <col min="6" max="6" width="15.44140625" style="70" customWidth="1"/>
    <col min="7" max="7" width="14.77734375" style="70" customWidth="1"/>
    <col min="8" max="8" width="10.77734375" style="70" customWidth="1"/>
    <col min="9" max="9" width="12.44140625" style="70" bestFit="1" customWidth="1"/>
    <col min="10" max="10" width="14.77734375" style="70" customWidth="1"/>
    <col min="11" max="11" width="12.77734375" style="70" customWidth="1"/>
    <col min="12" max="12" width="14.21875" style="70" customWidth="1"/>
    <col min="13" max="13" width="20.77734375" style="70" customWidth="1"/>
    <col min="14" max="14" width="12.77734375" style="70" customWidth="1"/>
    <col min="15" max="15" width="10.21875" style="70" bestFit="1" customWidth="1"/>
    <col min="16" max="16" width="18.77734375" style="70" customWidth="1"/>
    <col min="17" max="17" width="10.77734375" style="70" customWidth="1"/>
    <col min="18" max="16384" width="9.21875" style="70"/>
  </cols>
  <sheetData>
    <row r="1" spans="1:25">
      <c r="B1" s="70" t="s">
        <v>146</v>
      </c>
      <c r="C1" s="70" t="s">
        <v>299</v>
      </c>
      <c r="D1" s="70" t="s">
        <v>300</v>
      </c>
      <c r="F1" s="172" t="s">
        <v>334</v>
      </c>
      <c r="G1" s="172" t="s">
        <v>301</v>
      </c>
      <c r="H1" s="172" t="s">
        <v>302</v>
      </c>
      <c r="I1" s="172" t="s">
        <v>303</v>
      </c>
      <c r="J1" s="172" t="s">
        <v>304</v>
      </c>
      <c r="K1" s="172"/>
      <c r="L1" s="172"/>
      <c r="M1" s="172" t="s">
        <v>308</v>
      </c>
      <c r="N1" s="172"/>
      <c r="O1" s="172" t="s">
        <v>309</v>
      </c>
      <c r="Q1" s="70" t="s">
        <v>349</v>
      </c>
      <c r="R1" s="70" t="s">
        <v>350</v>
      </c>
    </row>
    <row r="2" spans="1:25">
      <c r="B2" s="163">
        <f>'Design Calculator'!F68</f>
        <v>119.99999999999999</v>
      </c>
      <c r="C2" s="70">
        <f>'Design Calculator'!F47</f>
        <v>16.666666666666668</v>
      </c>
      <c r="D2" s="70" t="str">
        <f>IF( 'Design Calculator'!F70 = "Constant Current", "CC", "R")</f>
        <v>CC</v>
      </c>
      <c r="F2" s="70" t="str">
        <f>'Design Calculator'!F72</f>
        <v>No</v>
      </c>
      <c r="G2" s="70">
        <f>'Design Calculator'!F71</f>
        <v>0</v>
      </c>
      <c r="H2" s="70">
        <f>'Design Calculator'!F69</f>
        <v>0</v>
      </c>
      <c r="I2" s="70">
        <f>RsEFF</f>
        <v>3</v>
      </c>
      <c r="J2" s="70">
        <f>'Device Parameters'!E12</f>
        <v>1.5E-3</v>
      </c>
      <c r="M2" s="163">
        <f>J114*1000</f>
        <v>3.4593562751824662</v>
      </c>
      <c r="N2" s="70" t="s">
        <v>8</v>
      </c>
      <c r="O2" s="167">
        <f>MIN(L10:L111)</f>
        <v>1</v>
      </c>
      <c r="Q2" s="70">
        <f>'Device Parameters'!E30/'Device Parameters'!D30</f>
        <v>1.3</v>
      </c>
      <c r="R2" s="70">
        <f>'Device Parameters'!C30/'Device Parameters'!D30</f>
        <v>0.5</v>
      </c>
    </row>
    <row r="3" spans="1:25">
      <c r="B3" s="163"/>
      <c r="M3" s="163"/>
      <c r="O3" s="167"/>
    </row>
    <row r="4" spans="1:25">
      <c r="B4" s="163"/>
      <c r="D4" s="70" t="s">
        <v>341</v>
      </c>
      <c r="M4" s="163" t="s">
        <v>342</v>
      </c>
      <c r="N4" s="70">
        <f>MIN(M10:M114)</f>
        <v>4.7619047619047619</v>
      </c>
      <c r="O4" s="167" t="s">
        <v>338</v>
      </c>
      <c r="P4" s="70" t="s">
        <v>351</v>
      </c>
      <c r="Q4" s="70">
        <f>MAX(O10:O114)</f>
        <v>119.99999999999999</v>
      </c>
      <c r="R4" s="70" t="s">
        <v>87</v>
      </c>
    </row>
    <row r="5" spans="1:25">
      <c r="B5" s="163"/>
      <c r="M5" s="70" t="s">
        <v>343</v>
      </c>
      <c r="N5" s="70">
        <f>SUM(N10:N114)</f>
        <v>0.37436538461538454</v>
      </c>
      <c r="O5" s="167" t="s">
        <v>344</v>
      </c>
      <c r="P5" s="70" t="s">
        <v>353</v>
      </c>
      <c r="Q5" s="70">
        <f>MAX(P10:P114)</f>
        <v>8.3999999999999986</v>
      </c>
      <c r="R5" s="70" t="s">
        <v>87</v>
      </c>
    </row>
    <row r="6" spans="1:25">
      <c r="P6" s="70" t="s">
        <v>352</v>
      </c>
      <c r="Q6" s="70">
        <f>MAX(Q10:Q114)</f>
        <v>3.2307692307692304</v>
      </c>
      <c r="R6" s="70" t="s">
        <v>87</v>
      </c>
    </row>
    <row r="7" spans="1:25">
      <c r="A7" s="164" t="s">
        <v>171</v>
      </c>
      <c r="B7" s="165" t="s">
        <v>140</v>
      </c>
      <c r="C7" s="165" t="s">
        <v>141</v>
      </c>
      <c r="D7" s="165" t="s">
        <v>146</v>
      </c>
      <c r="E7" s="165" t="s">
        <v>332</v>
      </c>
      <c r="F7" s="165" t="s">
        <v>333</v>
      </c>
      <c r="G7" s="165" t="s">
        <v>306</v>
      </c>
      <c r="H7" s="165" t="s">
        <v>169</v>
      </c>
      <c r="I7" s="165" t="s">
        <v>305</v>
      </c>
      <c r="J7" s="166" t="s">
        <v>152</v>
      </c>
      <c r="K7" s="166" t="s">
        <v>383</v>
      </c>
      <c r="L7" s="164" t="s">
        <v>307</v>
      </c>
      <c r="M7" s="164" t="s">
        <v>345</v>
      </c>
      <c r="N7" s="164" t="s">
        <v>382</v>
      </c>
      <c r="O7" s="164" t="s">
        <v>346</v>
      </c>
      <c r="P7" s="70" t="s">
        <v>347</v>
      </c>
      <c r="Q7" s="70" t="s">
        <v>348</v>
      </c>
    </row>
    <row r="8" spans="1:25">
      <c r="A8" s="164"/>
      <c r="B8" s="165"/>
      <c r="C8" s="165"/>
      <c r="D8" s="165"/>
      <c r="E8" s="165"/>
      <c r="F8" s="165"/>
      <c r="G8" s="165"/>
      <c r="H8" s="165"/>
      <c r="I8" s="165"/>
      <c r="J8" s="166"/>
      <c r="K8" s="221">
        <v>-1</v>
      </c>
      <c r="L8" s="164"/>
      <c r="M8" s="164"/>
      <c r="N8" s="164"/>
      <c r="O8" s="70">
        <v>0</v>
      </c>
    </row>
    <row r="9" spans="1:25">
      <c r="A9" s="164"/>
      <c r="B9" s="165"/>
      <c r="C9" s="165"/>
      <c r="D9" s="165"/>
      <c r="E9" s="165"/>
      <c r="F9" s="165"/>
      <c r="G9" s="165"/>
      <c r="H9" s="165"/>
      <c r="I9" s="165"/>
      <c r="J9" s="166"/>
      <c r="K9" s="80">
        <v>-0.01</v>
      </c>
      <c r="L9" s="164"/>
      <c r="M9" s="164"/>
      <c r="N9" s="164"/>
      <c r="O9" s="70">
        <v>0</v>
      </c>
    </row>
    <row r="10" spans="1:25">
      <c r="A10" s="70">
        <f t="shared" ref="A10:A41" si="0">VINMAX</f>
        <v>60</v>
      </c>
      <c r="B10" s="73">
        <f t="shared" ref="B10:B41" si="1">VINMAX*((ROW()-10)/104)</f>
        <v>0</v>
      </c>
      <c r="C10" s="71">
        <f t="shared" ref="C10:C41" si="2">IF(B10&gt;=$H$2,IF($D$2="CC", $G$2, B10/$G$2), 0)</f>
        <v>0</v>
      </c>
      <c r="D10" s="228">
        <f>B2</f>
        <v>119.99999999999999</v>
      </c>
      <c r="E10" s="69">
        <f>MIN(D10/(A10-B10),$C$2)</f>
        <v>1.9999999999999998</v>
      </c>
      <c r="F10" s="71">
        <f>I_Cout_ss+C10</f>
        <v>0.10769230769230768</v>
      </c>
      <c r="G10" s="69">
        <f>IF($F$2="YES", F10, E10)</f>
        <v>1.9999999999999998</v>
      </c>
      <c r="H10" s="71">
        <f t="shared" ref="H10:H41" si="3">G10-C10</f>
        <v>1.9999999999999998</v>
      </c>
      <c r="I10" s="72">
        <f>(COUTMAX/1000000)*(B10)/H10</f>
        <v>0</v>
      </c>
      <c r="J10" s="79">
        <f>I10</f>
        <v>0</v>
      </c>
      <c r="K10" s="221">
        <f>J10*1000</f>
        <v>0</v>
      </c>
      <c r="L10" s="167">
        <f>H10/G10</f>
        <v>1</v>
      </c>
      <c r="M10" s="70">
        <f t="shared" ref="M10:M41" si="4">1/COUTMAX*(E10/2-C10)*1000</f>
        <v>4.7619047619047619</v>
      </c>
      <c r="N10" s="70">
        <f>I10*G10*(A10-B10)</f>
        <v>0</v>
      </c>
      <c r="O10" s="70">
        <f>G10*(A10-B10)</f>
        <v>119.99999999999999</v>
      </c>
      <c r="P10" s="70">
        <f t="shared" ref="P10:P41" si="5">(A10-B10)*(I_Cout_ss*$Q$2+C10)</f>
        <v>8.3999999999999986</v>
      </c>
      <c r="Q10" s="70">
        <f t="shared" ref="Q10:Q41" si="6">(A10-B10)*(I_Cout_ss*$R$2+C10)</f>
        <v>3.2307692307692304</v>
      </c>
    </row>
    <row r="11" spans="1:25">
      <c r="A11" s="70">
        <f t="shared" si="0"/>
        <v>60</v>
      </c>
      <c r="B11" s="73">
        <f t="shared" si="1"/>
        <v>0.57692307692307698</v>
      </c>
      <c r="C11" s="71">
        <f t="shared" si="2"/>
        <v>0</v>
      </c>
      <c r="D11" s="228">
        <f>$B$2-(B11*1.5/$I$2)</f>
        <v>119.71153846153845</v>
      </c>
      <c r="E11" s="69">
        <f t="shared" ref="E11:E74" si="7">MIN(D11/(A11-B11),$C$2)</f>
        <v>2.0145631067961163</v>
      </c>
      <c r="F11" s="71">
        <f t="shared" ref="F11:F41" si="8">I_Cout_ss+C11</f>
        <v>0.10769230769230768</v>
      </c>
      <c r="G11" s="69">
        <f t="shared" ref="G11:G74" si="9">IF($F$2="YES", F11, E11)</f>
        <v>2.0145631067961163</v>
      </c>
      <c r="H11" s="71">
        <f t="shared" si="3"/>
        <v>2.0145631067961163</v>
      </c>
      <c r="I11" s="72">
        <f t="shared" ref="I11:I42" si="10">(COUTMAX/1000000)*(B11-B10)/H11</f>
        <v>6.0139017608897137E-5</v>
      </c>
      <c r="J11" s="79">
        <f>J10+I11</f>
        <v>6.0139017608897137E-5</v>
      </c>
      <c r="K11" s="221">
        <f t="shared" ref="K11:K74" si="11">J11*1000</f>
        <v>6.0139017608897137E-2</v>
      </c>
      <c r="L11" s="167">
        <f t="shared" ref="L11:L74" si="12">H11/G11</f>
        <v>1</v>
      </c>
      <c r="M11" s="70">
        <f t="shared" si="4"/>
        <v>4.7965788257050388</v>
      </c>
      <c r="N11" s="70">
        <f t="shared" ref="N11:N13" si="13">I11*G11*(A11-B11)</f>
        <v>7.1993343195266273E-3</v>
      </c>
      <c r="O11" s="70">
        <f t="shared" ref="O11:O74" si="14">G11*(A11-B11)</f>
        <v>119.71153846153844</v>
      </c>
      <c r="P11" s="70">
        <f t="shared" si="5"/>
        <v>8.3192307692307672</v>
      </c>
      <c r="Q11" s="70">
        <f t="shared" si="6"/>
        <v>3.199704142011834</v>
      </c>
    </row>
    <row r="12" spans="1:25">
      <c r="A12" s="70">
        <f t="shared" si="0"/>
        <v>60</v>
      </c>
      <c r="B12" s="73">
        <f t="shared" si="1"/>
        <v>1.153846153846154</v>
      </c>
      <c r="C12" s="71">
        <f t="shared" si="2"/>
        <v>0</v>
      </c>
      <c r="D12" s="228">
        <f t="shared" ref="D12:D75" si="15">$B$2-(B12*1.5/$I$2)</f>
        <v>119.42307692307691</v>
      </c>
      <c r="E12" s="69">
        <f t="shared" si="7"/>
        <v>2.0294117647058822</v>
      </c>
      <c r="F12" s="71">
        <f t="shared" si="8"/>
        <v>0.10769230769230768</v>
      </c>
      <c r="G12" s="69">
        <f t="shared" si="9"/>
        <v>2.0294117647058822</v>
      </c>
      <c r="H12" s="71">
        <f t="shared" si="3"/>
        <v>2.0294117647058822</v>
      </c>
      <c r="I12" s="72">
        <f t="shared" si="10"/>
        <v>5.9698996655518406E-5</v>
      </c>
      <c r="J12" s="79">
        <f t="shared" ref="J12:J75" si="16">J11+I12</f>
        <v>1.1983801426441554E-4</v>
      </c>
      <c r="K12" s="221">
        <f t="shared" si="11"/>
        <v>0.11983801426441554</v>
      </c>
      <c r="L12" s="167">
        <f t="shared" si="12"/>
        <v>1</v>
      </c>
      <c r="M12" s="70">
        <f t="shared" si="4"/>
        <v>4.8319327731092443</v>
      </c>
      <c r="N12" s="70">
        <f>I12*G12*(A12-B12)</f>
        <v>7.1294378698224864E-3</v>
      </c>
      <c r="O12" s="70">
        <f t="shared" si="14"/>
        <v>119.42307692307692</v>
      </c>
      <c r="P12" s="70">
        <f t="shared" si="5"/>
        <v>8.2384615384615376</v>
      </c>
      <c r="Q12" s="70">
        <f t="shared" si="6"/>
        <v>3.1686390532544375</v>
      </c>
      <c r="X12" s="365" t="s">
        <v>142</v>
      </c>
      <c r="Y12" s="365"/>
    </row>
    <row r="13" spans="1:25">
      <c r="A13" s="70">
        <f t="shared" si="0"/>
        <v>60</v>
      </c>
      <c r="B13" s="73">
        <f t="shared" si="1"/>
        <v>1.7307692307692308</v>
      </c>
      <c r="C13" s="71">
        <f t="shared" si="2"/>
        <v>0</v>
      </c>
      <c r="D13" s="228">
        <f t="shared" si="15"/>
        <v>119.13461538461537</v>
      </c>
      <c r="E13" s="69">
        <f t="shared" si="7"/>
        <v>2.0445544554455446</v>
      </c>
      <c r="F13" s="71">
        <f t="shared" si="8"/>
        <v>0.10769230769230768</v>
      </c>
      <c r="G13" s="69">
        <f t="shared" si="9"/>
        <v>2.0445544554455446</v>
      </c>
      <c r="H13" s="71">
        <f t="shared" si="3"/>
        <v>2.0445544554455446</v>
      </c>
      <c r="I13" s="72">
        <f t="shared" si="10"/>
        <v>5.9256844850065188E-5</v>
      </c>
      <c r="J13" s="79">
        <f t="shared" si="16"/>
        <v>1.7909485911448073E-4</v>
      </c>
      <c r="K13" s="221">
        <f t="shared" si="11"/>
        <v>0.17909485911448073</v>
      </c>
      <c r="L13" s="167">
        <f t="shared" si="12"/>
        <v>1</v>
      </c>
      <c r="M13" s="70">
        <f t="shared" si="4"/>
        <v>4.8679867986798682</v>
      </c>
      <c r="N13" s="70">
        <f t="shared" si="13"/>
        <v>7.0595414201183428E-3</v>
      </c>
      <c r="O13" s="70">
        <f t="shared" si="14"/>
        <v>119.13461538461539</v>
      </c>
      <c r="P13" s="70">
        <f t="shared" si="5"/>
        <v>8.1576923076923062</v>
      </c>
      <c r="Q13" s="70">
        <f t="shared" si="6"/>
        <v>3.1375739644970411</v>
      </c>
      <c r="X13" s="74" t="s">
        <v>143</v>
      </c>
      <c r="Y13" s="75">
        <v>0.3</v>
      </c>
    </row>
    <row r="14" spans="1:25">
      <c r="A14" s="70">
        <f t="shared" si="0"/>
        <v>60</v>
      </c>
      <c r="B14" s="73">
        <f t="shared" si="1"/>
        <v>2.3076923076923079</v>
      </c>
      <c r="C14" s="71">
        <f t="shared" si="2"/>
        <v>0</v>
      </c>
      <c r="D14" s="228">
        <f t="shared" si="15"/>
        <v>118.84615384615383</v>
      </c>
      <c r="E14" s="69">
        <f t="shared" si="7"/>
        <v>2.0599999999999996</v>
      </c>
      <c r="F14" s="71">
        <f t="shared" si="8"/>
        <v>0.10769230769230768</v>
      </c>
      <c r="G14" s="69">
        <f t="shared" si="9"/>
        <v>2.0599999999999996</v>
      </c>
      <c r="H14" s="71">
        <f t="shared" si="3"/>
        <v>2.0599999999999996</v>
      </c>
      <c r="I14" s="72">
        <f t="shared" si="10"/>
        <v>5.8812546676624378E-5</v>
      </c>
      <c r="J14" s="79">
        <f t="shared" si="16"/>
        <v>2.379074057911051E-4</v>
      </c>
      <c r="K14" s="221">
        <f t="shared" si="11"/>
        <v>0.23790740579110511</v>
      </c>
      <c r="L14" s="167">
        <f t="shared" si="12"/>
        <v>1</v>
      </c>
      <c r="M14" s="70">
        <f t="shared" si="4"/>
        <v>4.9047619047619042</v>
      </c>
      <c r="N14" s="70">
        <f t="shared" ref="N14:N74" si="17">I14*G14*(A14-B14)</f>
        <v>6.9896449704142036E-3</v>
      </c>
      <c r="O14" s="70">
        <f t="shared" si="14"/>
        <v>118.84615384615383</v>
      </c>
      <c r="P14" s="70">
        <f t="shared" si="5"/>
        <v>8.0769230769230766</v>
      </c>
      <c r="Q14" s="70">
        <f t="shared" si="6"/>
        <v>3.1065088757396446</v>
      </c>
      <c r="X14" s="74" t="s">
        <v>144</v>
      </c>
      <c r="Y14" s="75">
        <v>0.3</v>
      </c>
    </row>
    <row r="15" spans="1:25">
      <c r="A15" s="70">
        <f t="shared" si="0"/>
        <v>60</v>
      </c>
      <c r="B15" s="73">
        <f t="shared" si="1"/>
        <v>2.8846153846153846</v>
      </c>
      <c r="C15" s="71">
        <f t="shared" si="2"/>
        <v>0</v>
      </c>
      <c r="D15" s="228">
        <f t="shared" si="15"/>
        <v>118.55769230769229</v>
      </c>
      <c r="E15" s="69">
        <f t="shared" si="7"/>
        <v>2.0757575757575757</v>
      </c>
      <c r="F15" s="71">
        <f t="shared" si="8"/>
        <v>0.10769230769230768</v>
      </c>
      <c r="G15" s="69">
        <f t="shared" si="9"/>
        <v>2.0757575757575757</v>
      </c>
      <c r="H15" s="71">
        <f t="shared" si="3"/>
        <v>2.0757575757575757</v>
      </c>
      <c r="I15" s="72">
        <f t="shared" si="10"/>
        <v>5.8366086468276227E-5</v>
      </c>
      <c r="J15" s="79">
        <f t="shared" si="16"/>
        <v>2.9627349225938132E-4</v>
      </c>
      <c r="K15" s="221">
        <f t="shared" si="11"/>
        <v>0.29627349225938132</v>
      </c>
      <c r="L15" s="167">
        <f t="shared" si="12"/>
        <v>1</v>
      </c>
      <c r="M15" s="70">
        <f t="shared" si="4"/>
        <v>4.9422799422799422</v>
      </c>
      <c r="N15" s="70">
        <f t="shared" si="17"/>
        <v>6.9197485207100565E-3</v>
      </c>
      <c r="O15" s="70">
        <f t="shared" si="14"/>
        <v>118.55769230769229</v>
      </c>
      <c r="P15" s="70">
        <f t="shared" si="5"/>
        <v>7.9961538461538453</v>
      </c>
      <c r="Q15" s="70">
        <f t="shared" si="6"/>
        <v>3.0754437869822482</v>
      </c>
      <c r="X15" s="74" t="s">
        <v>145</v>
      </c>
      <c r="Y15" s="75">
        <f>SQRT(Y14^2+Y13^2)</f>
        <v>0.42426406871192851</v>
      </c>
    </row>
    <row r="16" spans="1:25">
      <c r="A16" s="70">
        <f t="shared" si="0"/>
        <v>60</v>
      </c>
      <c r="B16" s="73">
        <f t="shared" si="1"/>
        <v>3.4615384615384617</v>
      </c>
      <c r="C16" s="71">
        <f t="shared" si="2"/>
        <v>0</v>
      </c>
      <c r="D16" s="228">
        <f t="shared" si="15"/>
        <v>118.26923076923076</v>
      </c>
      <c r="E16" s="69">
        <f t="shared" si="7"/>
        <v>2.0918367346938771</v>
      </c>
      <c r="F16" s="71">
        <f t="shared" si="8"/>
        <v>0.10769230769230768</v>
      </c>
      <c r="G16" s="69">
        <f t="shared" si="9"/>
        <v>2.0918367346938771</v>
      </c>
      <c r="H16" s="71">
        <f t="shared" si="3"/>
        <v>2.0918367346938771</v>
      </c>
      <c r="I16" s="72">
        <f t="shared" si="10"/>
        <v>5.7917448405253312E-5</v>
      </c>
      <c r="J16" s="79">
        <f t="shared" si="16"/>
        <v>3.5419094066463461E-4</v>
      </c>
      <c r="K16" s="221">
        <f t="shared" si="11"/>
        <v>0.35419094066463463</v>
      </c>
      <c r="L16" s="167">
        <f t="shared" si="12"/>
        <v>1</v>
      </c>
      <c r="M16" s="70">
        <f t="shared" si="4"/>
        <v>4.9805636540330411</v>
      </c>
      <c r="N16" s="70">
        <f t="shared" si="17"/>
        <v>6.8498520710059199E-3</v>
      </c>
      <c r="O16" s="70">
        <f t="shared" si="14"/>
        <v>118.26923076923075</v>
      </c>
      <c r="P16" s="70">
        <f t="shared" si="5"/>
        <v>7.9153846153846148</v>
      </c>
      <c r="Q16" s="70">
        <f t="shared" si="6"/>
        <v>3.0443786982248517</v>
      </c>
      <c r="X16" s="75"/>
      <c r="Y16" s="75"/>
    </row>
    <row r="17" spans="1:25">
      <c r="A17" s="70">
        <f t="shared" si="0"/>
        <v>60</v>
      </c>
      <c r="B17" s="73">
        <f t="shared" si="1"/>
        <v>4.0384615384615383</v>
      </c>
      <c r="C17" s="71">
        <f t="shared" si="2"/>
        <v>0</v>
      </c>
      <c r="D17" s="228">
        <f t="shared" si="15"/>
        <v>117.98076923076921</v>
      </c>
      <c r="E17" s="69">
        <f t="shared" si="7"/>
        <v>2.108247422680412</v>
      </c>
      <c r="F17" s="71">
        <f t="shared" si="8"/>
        <v>0.10769230769230768</v>
      </c>
      <c r="G17" s="69">
        <f t="shared" si="9"/>
        <v>2.108247422680412</v>
      </c>
      <c r="H17" s="71">
        <f t="shared" si="3"/>
        <v>2.108247422680412</v>
      </c>
      <c r="I17" s="72">
        <f t="shared" si="10"/>
        <v>5.7466616513071261E-5</v>
      </c>
      <c r="J17" s="79">
        <f t="shared" si="16"/>
        <v>4.1165755717770589E-4</v>
      </c>
      <c r="K17" s="221">
        <f t="shared" si="11"/>
        <v>0.41165755717770591</v>
      </c>
      <c r="L17" s="167">
        <f t="shared" si="12"/>
        <v>1</v>
      </c>
      <c r="M17" s="70">
        <f t="shared" si="4"/>
        <v>5.0196367206676484</v>
      </c>
      <c r="N17" s="70">
        <f t="shared" si="17"/>
        <v>6.779955621301772E-3</v>
      </c>
      <c r="O17" s="70">
        <f t="shared" si="14"/>
        <v>117.98076923076921</v>
      </c>
      <c r="P17" s="70">
        <f t="shared" si="5"/>
        <v>7.8346153846153834</v>
      </c>
      <c r="Q17" s="70">
        <f t="shared" si="6"/>
        <v>3.0133136094674553</v>
      </c>
      <c r="X17" s="74" t="s">
        <v>146</v>
      </c>
      <c r="Y17" s="75">
        <v>0.3</v>
      </c>
    </row>
    <row r="18" spans="1:25">
      <c r="A18" s="70">
        <f t="shared" si="0"/>
        <v>60</v>
      </c>
      <c r="B18" s="73">
        <f t="shared" si="1"/>
        <v>4.6153846153846159</v>
      </c>
      <c r="C18" s="71">
        <f t="shared" si="2"/>
        <v>0</v>
      </c>
      <c r="D18" s="228">
        <f t="shared" si="15"/>
        <v>117.69230769230768</v>
      </c>
      <c r="E18" s="69">
        <f t="shared" si="7"/>
        <v>2.1249999999999996</v>
      </c>
      <c r="F18" s="71">
        <f t="shared" si="8"/>
        <v>0.10769230769230768</v>
      </c>
      <c r="G18" s="69">
        <f t="shared" si="9"/>
        <v>2.1249999999999996</v>
      </c>
      <c r="H18" s="71">
        <f t="shared" si="3"/>
        <v>2.1249999999999996</v>
      </c>
      <c r="I18" s="72">
        <f t="shared" si="10"/>
        <v>5.7013574660633557E-5</v>
      </c>
      <c r="J18" s="79">
        <f t="shared" si="16"/>
        <v>4.6867113183833944E-4</v>
      </c>
      <c r="K18" s="221">
        <f t="shared" si="11"/>
        <v>0.46867113183833942</v>
      </c>
      <c r="L18" s="167">
        <f t="shared" si="12"/>
        <v>1</v>
      </c>
      <c r="M18" s="70">
        <f t="shared" si="4"/>
        <v>5.0595238095238093</v>
      </c>
      <c r="N18" s="70">
        <f t="shared" si="17"/>
        <v>6.7100591715976406E-3</v>
      </c>
      <c r="O18" s="70">
        <f t="shared" si="14"/>
        <v>117.69230769230768</v>
      </c>
      <c r="P18" s="70">
        <f t="shared" si="5"/>
        <v>7.7538461538461529</v>
      </c>
      <c r="Q18" s="70">
        <f t="shared" si="6"/>
        <v>2.9822485207100589</v>
      </c>
      <c r="X18" s="74" t="s">
        <v>147</v>
      </c>
      <c r="Y18" s="75">
        <f>MAX(Y15:Y17)</f>
        <v>0.42426406871192851</v>
      </c>
    </row>
    <row r="19" spans="1:25">
      <c r="A19" s="70">
        <f t="shared" si="0"/>
        <v>60</v>
      </c>
      <c r="B19" s="73">
        <f t="shared" si="1"/>
        <v>5.1923076923076925</v>
      </c>
      <c r="C19" s="71">
        <f t="shared" si="2"/>
        <v>0</v>
      </c>
      <c r="D19" s="228">
        <f t="shared" si="15"/>
        <v>117.40384615384615</v>
      </c>
      <c r="E19" s="69">
        <f t="shared" si="7"/>
        <v>2.1421052631578945</v>
      </c>
      <c r="F19" s="71">
        <f t="shared" si="8"/>
        <v>0.10769230769230768</v>
      </c>
      <c r="G19" s="69">
        <f t="shared" si="9"/>
        <v>2.1421052631578945</v>
      </c>
      <c r="H19" s="71">
        <f t="shared" si="3"/>
        <v>2.1421052631578945</v>
      </c>
      <c r="I19" s="72">
        <f t="shared" si="10"/>
        <v>5.6558306558306541E-5</v>
      </c>
      <c r="J19" s="79">
        <f t="shared" si="16"/>
        <v>5.2522943839664602E-4</v>
      </c>
      <c r="K19" s="221">
        <f t="shared" si="11"/>
        <v>0.52522943839664604</v>
      </c>
      <c r="L19" s="167">
        <f t="shared" si="12"/>
        <v>1</v>
      </c>
      <c r="M19" s="70">
        <f t="shared" si="4"/>
        <v>5.1002506265664156</v>
      </c>
      <c r="N19" s="70">
        <f t="shared" si="17"/>
        <v>6.6401627218934875E-3</v>
      </c>
      <c r="O19" s="70">
        <f t="shared" si="14"/>
        <v>117.40384615384615</v>
      </c>
      <c r="P19" s="70">
        <f t="shared" si="5"/>
        <v>7.6730769230769225</v>
      </c>
      <c r="Q19" s="70">
        <f t="shared" si="6"/>
        <v>2.9511834319526624</v>
      </c>
      <c r="X19" s="75"/>
      <c r="Y19" s="75"/>
    </row>
    <row r="20" spans="1:25">
      <c r="A20" s="70">
        <f t="shared" si="0"/>
        <v>60</v>
      </c>
      <c r="B20" s="73">
        <f t="shared" si="1"/>
        <v>5.7692307692307692</v>
      </c>
      <c r="C20" s="71">
        <f t="shared" si="2"/>
        <v>0</v>
      </c>
      <c r="D20" s="228">
        <f t="shared" si="15"/>
        <v>117.1153846153846</v>
      </c>
      <c r="E20" s="69">
        <f t="shared" si="7"/>
        <v>2.1595744680851059</v>
      </c>
      <c r="F20" s="71">
        <f t="shared" si="8"/>
        <v>0.10769230769230768</v>
      </c>
      <c r="G20" s="69">
        <f t="shared" si="9"/>
        <v>2.1595744680851059</v>
      </c>
      <c r="H20" s="71">
        <f t="shared" si="3"/>
        <v>2.1595744680851059</v>
      </c>
      <c r="I20" s="72">
        <f t="shared" si="10"/>
        <v>5.6100795755968153E-5</v>
      </c>
      <c r="J20" s="79">
        <f t="shared" si="16"/>
        <v>5.813302341526142E-4</v>
      </c>
      <c r="K20" s="221">
        <f t="shared" si="11"/>
        <v>0.5813302341526142</v>
      </c>
      <c r="L20" s="167">
        <f t="shared" si="12"/>
        <v>1</v>
      </c>
      <c r="M20" s="70">
        <f t="shared" si="4"/>
        <v>5.1418439716312054</v>
      </c>
      <c r="N20" s="70">
        <f t="shared" si="17"/>
        <v>6.5702662721893465E-3</v>
      </c>
      <c r="O20" s="70">
        <f t="shared" si="14"/>
        <v>117.1153846153846</v>
      </c>
      <c r="P20" s="70">
        <f t="shared" si="5"/>
        <v>7.592307692307692</v>
      </c>
      <c r="Q20" s="70">
        <f t="shared" si="6"/>
        <v>2.9201183431952664</v>
      </c>
      <c r="X20" s="74" t="s">
        <v>148</v>
      </c>
      <c r="Y20" s="75">
        <v>0.2</v>
      </c>
    </row>
    <row r="21" spans="1:25">
      <c r="A21" s="70">
        <f t="shared" si="0"/>
        <v>60</v>
      </c>
      <c r="B21" s="73">
        <f t="shared" si="1"/>
        <v>6.3461538461538458</v>
      </c>
      <c r="C21" s="71">
        <f t="shared" si="2"/>
        <v>0</v>
      </c>
      <c r="D21" s="228">
        <f t="shared" si="15"/>
        <v>116.82692307692307</v>
      </c>
      <c r="E21" s="69">
        <f t="shared" si="7"/>
        <v>2.1774193548387095</v>
      </c>
      <c r="F21" s="71">
        <f t="shared" si="8"/>
        <v>0.10769230769230768</v>
      </c>
      <c r="G21" s="69">
        <f t="shared" si="9"/>
        <v>2.1774193548387095</v>
      </c>
      <c r="H21" s="71">
        <f t="shared" si="3"/>
        <v>2.1774193548387095</v>
      </c>
      <c r="I21" s="72">
        <f t="shared" si="10"/>
        <v>5.5641025641025617E-5</v>
      </c>
      <c r="J21" s="79">
        <f t="shared" si="16"/>
        <v>6.3697125979363979E-4</v>
      </c>
      <c r="K21" s="221">
        <f t="shared" si="11"/>
        <v>0.63697125979363978</v>
      </c>
      <c r="L21" s="167">
        <f t="shared" si="12"/>
        <v>1</v>
      </c>
      <c r="M21" s="70">
        <f t="shared" si="4"/>
        <v>5.1843317972350231</v>
      </c>
      <c r="N21" s="70">
        <f t="shared" si="17"/>
        <v>6.5003698224852038E-3</v>
      </c>
      <c r="O21" s="70">
        <f t="shared" si="14"/>
        <v>116.82692307692307</v>
      </c>
      <c r="P21" s="70">
        <f t="shared" si="5"/>
        <v>7.5115384615384606</v>
      </c>
      <c r="Q21" s="70">
        <f t="shared" si="6"/>
        <v>2.8890532544378695</v>
      </c>
      <c r="X21" s="74" t="s">
        <v>149</v>
      </c>
      <c r="Y21" s="75">
        <v>0.2</v>
      </c>
    </row>
    <row r="22" spans="1:25">
      <c r="A22" s="70">
        <f t="shared" si="0"/>
        <v>60</v>
      </c>
      <c r="B22" s="73">
        <f t="shared" si="1"/>
        <v>6.9230769230769234</v>
      </c>
      <c r="C22" s="71">
        <f t="shared" si="2"/>
        <v>0</v>
      </c>
      <c r="D22" s="228">
        <f t="shared" si="15"/>
        <v>116.53846153846152</v>
      </c>
      <c r="E22" s="69">
        <f t="shared" si="7"/>
        <v>2.195652173913043</v>
      </c>
      <c r="F22" s="71">
        <f t="shared" si="8"/>
        <v>0.10769230769230768</v>
      </c>
      <c r="G22" s="69">
        <f t="shared" si="9"/>
        <v>2.195652173913043</v>
      </c>
      <c r="H22" s="71">
        <f t="shared" si="3"/>
        <v>2.195652173913043</v>
      </c>
      <c r="I22" s="72">
        <f t="shared" si="10"/>
        <v>5.5178979436405249E-5</v>
      </c>
      <c r="J22" s="79">
        <f t="shared" si="16"/>
        <v>6.9215023923004505E-4</v>
      </c>
      <c r="K22" s="221">
        <f t="shared" si="11"/>
        <v>0.69215023923004504</v>
      </c>
      <c r="L22" s="167">
        <f t="shared" si="12"/>
        <v>1</v>
      </c>
      <c r="M22" s="70">
        <f t="shared" si="4"/>
        <v>5.2277432712215317</v>
      </c>
      <c r="N22" s="70">
        <f t="shared" si="17"/>
        <v>6.4304733727810724E-3</v>
      </c>
      <c r="O22" s="70">
        <f t="shared" si="14"/>
        <v>116.53846153846152</v>
      </c>
      <c r="P22" s="70">
        <f t="shared" si="5"/>
        <v>7.4307692307692301</v>
      </c>
      <c r="Q22" s="70">
        <f t="shared" si="6"/>
        <v>2.8579881656804735</v>
      </c>
      <c r="X22" s="74" t="s">
        <v>145</v>
      </c>
      <c r="Y22" s="75">
        <f>SQRT(Y21^2+Y20^2)</f>
        <v>0.28284271247461906</v>
      </c>
    </row>
    <row r="23" spans="1:25">
      <c r="A23" s="70">
        <f t="shared" si="0"/>
        <v>60</v>
      </c>
      <c r="B23" s="73">
        <f t="shared" si="1"/>
        <v>7.5</v>
      </c>
      <c r="C23" s="71">
        <f t="shared" si="2"/>
        <v>0</v>
      </c>
      <c r="D23" s="228">
        <f t="shared" si="15"/>
        <v>116.24999999999999</v>
      </c>
      <c r="E23" s="69">
        <f t="shared" si="7"/>
        <v>2.214285714285714</v>
      </c>
      <c r="F23" s="71">
        <f t="shared" si="8"/>
        <v>0.10769230769230768</v>
      </c>
      <c r="G23" s="69">
        <f t="shared" si="9"/>
        <v>2.214285714285714</v>
      </c>
      <c r="H23" s="71">
        <f t="shared" si="3"/>
        <v>2.214285714285714</v>
      </c>
      <c r="I23" s="72">
        <f t="shared" si="10"/>
        <v>5.4714640198511145E-5</v>
      </c>
      <c r="J23" s="79">
        <f t="shared" si="16"/>
        <v>7.4686487942855621E-4</v>
      </c>
      <c r="K23" s="221">
        <f t="shared" si="11"/>
        <v>0.74686487942855617</v>
      </c>
      <c r="L23" s="167">
        <f t="shared" si="12"/>
        <v>1</v>
      </c>
      <c r="M23" s="70">
        <f t="shared" si="4"/>
        <v>5.2721088435374144</v>
      </c>
      <c r="N23" s="70">
        <f t="shared" si="17"/>
        <v>6.3605769230769193E-3</v>
      </c>
      <c r="O23" s="70">
        <f t="shared" si="14"/>
        <v>116.24999999999999</v>
      </c>
      <c r="P23" s="70">
        <f t="shared" si="5"/>
        <v>7.35</v>
      </c>
      <c r="Q23" s="70">
        <f t="shared" si="6"/>
        <v>2.8269230769230766</v>
      </c>
      <c r="X23" s="75"/>
      <c r="Y23" s="75"/>
    </row>
    <row r="24" spans="1:25">
      <c r="A24" s="70">
        <f t="shared" si="0"/>
        <v>60</v>
      </c>
      <c r="B24" s="73">
        <f t="shared" si="1"/>
        <v>8.0769230769230766</v>
      </c>
      <c r="C24" s="71">
        <f t="shared" si="2"/>
        <v>0</v>
      </c>
      <c r="D24" s="228">
        <f t="shared" si="15"/>
        <v>115.96153846153845</v>
      </c>
      <c r="E24" s="69">
        <f t="shared" si="7"/>
        <v>2.2333333333333334</v>
      </c>
      <c r="F24" s="71">
        <f t="shared" si="8"/>
        <v>0.10769230769230768</v>
      </c>
      <c r="G24" s="69">
        <f t="shared" si="9"/>
        <v>2.2333333333333334</v>
      </c>
      <c r="H24" s="71">
        <f t="shared" si="3"/>
        <v>2.2333333333333334</v>
      </c>
      <c r="I24" s="72">
        <f t="shared" si="10"/>
        <v>5.424799081515497E-5</v>
      </c>
      <c r="J24" s="79">
        <f t="shared" si="16"/>
        <v>8.0111287024371117E-4</v>
      </c>
      <c r="K24" s="221">
        <f t="shared" si="11"/>
        <v>0.80111287024371114</v>
      </c>
      <c r="L24" s="167">
        <f t="shared" si="12"/>
        <v>1</v>
      </c>
      <c r="M24" s="70">
        <f t="shared" si="4"/>
        <v>5.3174603174603181</v>
      </c>
      <c r="N24" s="70">
        <f t="shared" si="17"/>
        <v>6.2906804733727775E-3</v>
      </c>
      <c r="O24" s="70">
        <f t="shared" si="14"/>
        <v>115.96153846153845</v>
      </c>
      <c r="P24" s="70">
        <f t="shared" si="5"/>
        <v>7.2692307692307683</v>
      </c>
      <c r="Q24" s="70">
        <f t="shared" si="6"/>
        <v>2.7958579881656802</v>
      </c>
      <c r="X24" s="74" t="s">
        <v>150</v>
      </c>
      <c r="Y24" s="75">
        <f>SQRT(Y18^2+Y22^2)</f>
        <v>0.50990195135927852</v>
      </c>
    </row>
    <row r="25" spans="1:25">
      <c r="A25" s="70">
        <f t="shared" si="0"/>
        <v>60</v>
      </c>
      <c r="B25" s="73">
        <f t="shared" si="1"/>
        <v>8.6538461538461533</v>
      </c>
      <c r="C25" s="71">
        <f t="shared" si="2"/>
        <v>0</v>
      </c>
      <c r="D25" s="228">
        <f t="shared" si="15"/>
        <v>115.67307692307691</v>
      </c>
      <c r="E25" s="69">
        <f t="shared" si="7"/>
        <v>2.2528089887640448</v>
      </c>
      <c r="F25" s="71">
        <f t="shared" si="8"/>
        <v>0.10769230769230768</v>
      </c>
      <c r="G25" s="69">
        <f t="shared" si="9"/>
        <v>2.2528089887640448</v>
      </c>
      <c r="H25" s="71">
        <f t="shared" si="3"/>
        <v>2.2528089887640448</v>
      </c>
      <c r="I25" s="72">
        <f t="shared" si="10"/>
        <v>5.3779014003452885E-5</v>
      </c>
      <c r="J25" s="79">
        <f t="shared" si="16"/>
        <v>8.5489188424716408E-4</v>
      </c>
      <c r="K25" s="221">
        <f t="shared" si="11"/>
        <v>0.85489188424716411</v>
      </c>
      <c r="L25" s="167">
        <f t="shared" si="12"/>
        <v>1</v>
      </c>
      <c r="M25" s="70">
        <f t="shared" si="4"/>
        <v>5.3638309256286787</v>
      </c>
      <c r="N25" s="70">
        <f t="shared" si="17"/>
        <v>6.2207840236686365E-3</v>
      </c>
      <c r="O25" s="70">
        <f t="shared" si="14"/>
        <v>115.67307692307692</v>
      </c>
      <c r="P25" s="70">
        <f t="shared" si="5"/>
        <v>7.1884615384615378</v>
      </c>
      <c r="Q25" s="70">
        <f t="shared" si="6"/>
        <v>2.7647928994082838</v>
      </c>
    </row>
    <row r="26" spans="1:25">
      <c r="A26" s="70">
        <f t="shared" si="0"/>
        <v>60</v>
      </c>
      <c r="B26" s="73">
        <f t="shared" si="1"/>
        <v>9.2307692307692317</v>
      </c>
      <c r="C26" s="71">
        <f t="shared" si="2"/>
        <v>0</v>
      </c>
      <c r="D26" s="228">
        <f t="shared" si="15"/>
        <v>115.38461538461537</v>
      </c>
      <c r="E26" s="69">
        <f t="shared" si="7"/>
        <v>2.2727272727272725</v>
      </c>
      <c r="F26" s="71">
        <f t="shared" si="8"/>
        <v>0.10769230769230768</v>
      </c>
      <c r="G26" s="69">
        <f t="shared" si="9"/>
        <v>2.2727272727272725</v>
      </c>
      <c r="H26" s="71">
        <f t="shared" si="3"/>
        <v>2.2727272727272725</v>
      </c>
      <c r="I26" s="72">
        <f t="shared" si="10"/>
        <v>5.3307692307692453E-5</v>
      </c>
      <c r="J26" s="79">
        <f t="shared" si="16"/>
        <v>9.0819957655485653E-4</v>
      </c>
      <c r="K26" s="221">
        <f t="shared" si="11"/>
        <v>0.9081995765548565</v>
      </c>
      <c r="L26" s="167">
        <f t="shared" si="12"/>
        <v>1</v>
      </c>
      <c r="M26" s="70">
        <f t="shared" si="4"/>
        <v>5.4112554112554108</v>
      </c>
      <c r="N26" s="70">
        <f t="shared" si="17"/>
        <v>6.1508875739645129E-3</v>
      </c>
      <c r="O26" s="70">
        <f t="shared" si="14"/>
        <v>115.38461538461537</v>
      </c>
      <c r="P26" s="70">
        <f t="shared" si="5"/>
        <v>7.1076923076923064</v>
      </c>
      <c r="Q26" s="70">
        <f t="shared" si="6"/>
        <v>2.7337278106508873</v>
      </c>
    </row>
    <row r="27" spans="1:25">
      <c r="A27" s="70">
        <f t="shared" si="0"/>
        <v>60</v>
      </c>
      <c r="B27" s="73">
        <f t="shared" si="1"/>
        <v>9.8076923076923084</v>
      </c>
      <c r="C27" s="71">
        <f t="shared" si="2"/>
        <v>0</v>
      </c>
      <c r="D27" s="228">
        <f t="shared" si="15"/>
        <v>115.09615384615383</v>
      </c>
      <c r="E27" s="69">
        <f t="shared" si="7"/>
        <v>2.2931034482758617</v>
      </c>
      <c r="F27" s="71">
        <f t="shared" si="8"/>
        <v>0.10769230769230768</v>
      </c>
      <c r="G27" s="69">
        <f t="shared" si="9"/>
        <v>2.2931034482758617</v>
      </c>
      <c r="H27" s="71">
        <f t="shared" si="3"/>
        <v>2.2931034482758617</v>
      </c>
      <c r="I27" s="72">
        <f t="shared" si="10"/>
        <v>5.283400809716598E-5</v>
      </c>
      <c r="J27" s="79">
        <f t="shared" si="16"/>
        <v>9.6103358465202257E-4</v>
      </c>
      <c r="K27" s="221">
        <f t="shared" si="11"/>
        <v>0.9610335846520226</v>
      </c>
      <c r="L27" s="167">
        <f t="shared" si="12"/>
        <v>1</v>
      </c>
      <c r="M27" s="70">
        <f t="shared" si="4"/>
        <v>5.4597701149425291</v>
      </c>
      <c r="N27" s="70">
        <f t="shared" si="17"/>
        <v>6.080991124260352E-3</v>
      </c>
      <c r="O27" s="70">
        <f t="shared" si="14"/>
        <v>115.09615384615383</v>
      </c>
      <c r="P27" s="70">
        <f t="shared" si="5"/>
        <v>7.0269230769230759</v>
      </c>
      <c r="Q27" s="70">
        <f t="shared" si="6"/>
        <v>2.7026627218934909</v>
      </c>
    </row>
    <row r="28" spans="1:25">
      <c r="A28" s="70">
        <f t="shared" si="0"/>
        <v>60</v>
      </c>
      <c r="B28" s="73">
        <f t="shared" si="1"/>
        <v>10.384615384615385</v>
      </c>
      <c r="C28" s="71">
        <f t="shared" si="2"/>
        <v>0</v>
      </c>
      <c r="D28" s="228">
        <f t="shared" si="15"/>
        <v>114.80769230769229</v>
      </c>
      <c r="E28" s="69">
        <f t="shared" si="7"/>
        <v>2.3139534883720927</v>
      </c>
      <c r="F28" s="71">
        <f t="shared" si="8"/>
        <v>0.10769230769230768</v>
      </c>
      <c r="G28" s="69">
        <f t="shared" si="9"/>
        <v>2.3139534883720927</v>
      </c>
      <c r="H28" s="71">
        <f t="shared" si="3"/>
        <v>2.3139534883720927</v>
      </c>
      <c r="I28" s="72">
        <f t="shared" si="10"/>
        <v>5.2357943563973699E-5</v>
      </c>
      <c r="J28" s="79">
        <f t="shared" si="16"/>
        <v>1.0133915282159963E-3</v>
      </c>
      <c r="K28" s="221">
        <f t="shared" si="11"/>
        <v>1.0133915282159964</v>
      </c>
      <c r="L28" s="167">
        <f t="shared" si="12"/>
        <v>1</v>
      </c>
      <c r="M28" s="70">
        <f t="shared" si="4"/>
        <v>5.5094130675526021</v>
      </c>
      <c r="N28" s="70">
        <f t="shared" si="17"/>
        <v>6.0110946745562102E-3</v>
      </c>
      <c r="O28" s="70">
        <f t="shared" si="14"/>
        <v>114.80769230769229</v>
      </c>
      <c r="P28" s="70">
        <f t="shared" si="5"/>
        <v>6.9461538461538455</v>
      </c>
      <c r="Q28" s="70">
        <f t="shared" si="6"/>
        <v>2.6715976331360944</v>
      </c>
    </row>
    <row r="29" spans="1:25">
      <c r="A29" s="70">
        <f t="shared" si="0"/>
        <v>60</v>
      </c>
      <c r="B29" s="73">
        <f t="shared" si="1"/>
        <v>10.961538461538462</v>
      </c>
      <c r="C29" s="71">
        <f t="shared" si="2"/>
        <v>0</v>
      </c>
      <c r="D29" s="228">
        <f t="shared" si="15"/>
        <v>114.51923076923076</v>
      </c>
      <c r="E29" s="69">
        <f t="shared" si="7"/>
        <v>2.3352941176470585</v>
      </c>
      <c r="F29" s="71">
        <f t="shared" si="8"/>
        <v>0.10769230769230768</v>
      </c>
      <c r="G29" s="69">
        <f t="shared" si="9"/>
        <v>2.3352941176470585</v>
      </c>
      <c r="H29" s="71">
        <f t="shared" si="3"/>
        <v>2.3352941176470585</v>
      </c>
      <c r="I29" s="72">
        <f t="shared" si="10"/>
        <v>5.1879480720790529E-5</v>
      </c>
      <c r="J29" s="79">
        <f t="shared" si="16"/>
        <v>1.0652710089367869E-3</v>
      </c>
      <c r="K29" s="221">
        <f t="shared" si="11"/>
        <v>1.0652710089367869</v>
      </c>
      <c r="L29" s="167">
        <f t="shared" si="12"/>
        <v>1</v>
      </c>
      <c r="M29" s="70">
        <f t="shared" si="4"/>
        <v>5.5602240896358541</v>
      </c>
      <c r="N29" s="70">
        <f t="shared" si="17"/>
        <v>5.9411982248520684E-3</v>
      </c>
      <c r="O29" s="70">
        <f t="shared" si="14"/>
        <v>114.51923076923076</v>
      </c>
      <c r="P29" s="70">
        <f t="shared" si="5"/>
        <v>6.865384615384615</v>
      </c>
      <c r="Q29" s="70">
        <f t="shared" si="6"/>
        <v>2.640532544378698</v>
      </c>
    </row>
    <row r="30" spans="1:25">
      <c r="A30" s="70">
        <f t="shared" si="0"/>
        <v>60</v>
      </c>
      <c r="B30" s="73">
        <f t="shared" si="1"/>
        <v>11.538461538461538</v>
      </c>
      <c r="C30" s="71">
        <f t="shared" si="2"/>
        <v>0</v>
      </c>
      <c r="D30" s="228">
        <f t="shared" si="15"/>
        <v>114.23076923076921</v>
      </c>
      <c r="E30" s="69">
        <f t="shared" si="7"/>
        <v>2.3571428571428568</v>
      </c>
      <c r="F30" s="71">
        <f t="shared" si="8"/>
        <v>0.10769230769230768</v>
      </c>
      <c r="G30" s="69">
        <f t="shared" si="9"/>
        <v>2.3571428571428568</v>
      </c>
      <c r="H30" s="71">
        <f t="shared" si="3"/>
        <v>2.3571428571428568</v>
      </c>
      <c r="I30" s="72">
        <f t="shared" si="10"/>
        <v>5.1398601398601381E-5</v>
      </c>
      <c r="J30" s="79">
        <f t="shared" si="16"/>
        <v>1.1166696103353882E-3</v>
      </c>
      <c r="K30" s="221">
        <f t="shared" si="11"/>
        <v>1.1166696103353881</v>
      </c>
      <c r="L30" s="167">
        <f t="shared" si="12"/>
        <v>1</v>
      </c>
      <c r="M30" s="70">
        <f t="shared" si="4"/>
        <v>5.612244897959183</v>
      </c>
      <c r="N30" s="70">
        <f t="shared" si="17"/>
        <v>5.8713017751479257E-3</v>
      </c>
      <c r="O30" s="70">
        <f t="shared" si="14"/>
        <v>114.23076923076921</v>
      </c>
      <c r="P30" s="70">
        <f t="shared" si="5"/>
        <v>6.7846153846153836</v>
      </c>
      <c r="Q30" s="70">
        <f t="shared" si="6"/>
        <v>2.6094674556213016</v>
      </c>
    </row>
    <row r="31" spans="1:25">
      <c r="A31" s="70">
        <f t="shared" si="0"/>
        <v>60</v>
      </c>
      <c r="B31" s="73">
        <f t="shared" si="1"/>
        <v>12.115384615384615</v>
      </c>
      <c r="C31" s="71">
        <f t="shared" si="2"/>
        <v>0</v>
      </c>
      <c r="D31" s="228">
        <f t="shared" si="15"/>
        <v>113.94230769230768</v>
      </c>
      <c r="E31" s="69">
        <f t="shared" si="7"/>
        <v>2.3795180722891565</v>
      </c>
      <c r="F31" s="71">
        <f t="shared" si="8"/>
        <v>0.10769230769230768</v>
      </c>
      <c r="G31" s="69">
        <f t="shared" si="9"/>
        <v>2.3795180722891565</v>
      </c>
      <c r="H31" s="71">
        <f t="shared" si="3"/>
        <v>2.3795180722891565</v>
      </c>
      <c r="I31" s="72">
        <f t="shared" si="10"/>
        <v>5.0915287244401146E-5</v>
      </c>
      <c r="J31" s="79">
        <f t="shared" si="16"/>
        <v>1.1675848975797893E-3</v>
      </c>
      <c r="K31" s="221">
        <f t="shared" si="11"/>
        <v>1.1675848975797893</v>
      </c>
      <c r="L31" s="167">
        <f t="shared" si="12"/>
        <v>1</v>
      </c>
      <c r="M31" s="70">
        <f t="shared" si="4"/>
        <v>5.6655192197360869</v>
      </c>
      <c r="N31" s="70">
        <f t="shared" si="17"/>
        <v>5.8014053254437847E-3</v>
      </c>
      <c r="O31" s="70">
        <f t="shared" si="14"/>
        <v>113.94230769230769</v>
      </c>
      <c r="P31" s="70">
        <f t="shared" si="5"/>
        <v>6.7038461538461531</v>
      </c>
      <c r="Q31" s="70">
        <f t="shared" si="6"/>
        <v>2.5784023668639051</v>
      </c>
    </row>
    <row r="32" spans="1:25">
      <c r="A32" s="70">
        <f t="shared" si="0"/>
        <v>60</v>
      </c>
      <c r="B32" s="73">
        <f t="shared" si="1"/>
        <v>12.692307692307692</v>
      </c>
      <c r="C32" s="71">
        <f t="shared" si="2"/>
        <v>0</v>
      </c>
      <c r="D32" s="228">
        <f t="shared" si="15"/>
        <v>113.65384615384615</v>
      </c>
      <c r="E32" s="69">
        <f t="shared" si="7"/>
        <v>2.4024390243902438</v>
      </c>
      <c r="F32" s="71">
        <f t="shared" si="8"/>
        <v>0.10769230769230768</v>
      </c>
      <c r="G32" s="69">
        <f t="shared" si="9"/>
        <v>2.4024390243902438</v>
      </c>
      <c r="H32" s="71">
        <f t="shared" si="3"/>
        <v>2.4024390243902438</v>
      </c>
      <c r="I32" s="72">
        <f t="shared" si="10"/>
        <v>5.0429519718859801E-5</v>
      </c>
      <c r="J32" s="79">
        <f t="shared" si="16"/>
        <v>1.2180144172986491E-3</v>
      </c>
      <c r="K32" s="221">
        <f t="shared" si="11"/>
        <v>1.2180144172986491</v>
      </c>
      <c r="L32" s="167">
        <f t="shared" si="12"/>
        <v>1</v>
      </c>
      <c r="M32" s="70">
        <f t="shared" si="4"/>
        <v>5.7200929152148667</v>
      </c>
      <c r="N32" s="70">
        <f t="shared" si="17"/>
        <v>5.731508875739642E-3</v>
      </c>
      <c r="O32" s="70">
        <f t="shared" si="14"/>
        <v>113.65384615384615</v>
      </c>
      <c r="P32" s="70">
        <f t="shared" si="5"/>
        <v>6.6230769230769226</v>
      </c>
      <c r="Q32" s="70">
        <f t="shared" si="6"/>
        <v>2.5473372781065087</v>
      </c>
    </row>
    <row r="33" spans="1:17">
      <c r="A33" s="70">
        <f t="shared" si="0"/>
        <v>60</v>
      </c>
      <c r="B33" s="73">
        <f t="shared" si="1"/>
        <v>13.269230769230768</v>
      </c>
      <c r="C33" s="71">
        <f t="shared" si="2"/>
        <v>0</v>
      </c>
      <c r="D33" s="228">
        <f t="shared" si="15"/>
        <v>113.3653846153846</v>
      </c>
      <c r="E33" s="69">
        <f t="shared" si="7"/>
        <v>2.4259259259259256</v>
      </c>
      <c r="F33" s="71">
        <f t="shared" si="8"/>
        <v>0.10769230769230768</v>
      </c>
      <c r="G33" s="69">
        <f t="shared" si="9"/>
        <v>2.4259259259259256</v>
      </c>
      <c r="H33" s="71">
        <f t="shared" si="3"/>
        <v>2.4259259259259256</v>
      </c>
      <c r="I33" s="72">
        <f t="shared" si="10"/>
        <v>4.9941280093951832E-5</v>
      </c>
      <c r="J33" s="79">
        <f t="shared" si="16"/>
        <v>1.267955697392601E-3</v>
      </c>
      <c r="K33" s="221">
        <f t="shared" si="11"/>
        <v>1.2679556973926009</v>
      </c>
      <c r="L33" s="167">
        <f t="shared" si="12"/>
        <v>1</v>
      </c>
      <c r="M33" s="70">
        <f t="shared" si="4"/>
        <v>5.7760141093474422</v>
      </c>
      <c r="N33" s="70">
        <f t="shared" si="17"/>
        <v>5.661612426035501E-3</v>
      </c>
      <c r="O33" s="70">
        <f t="shared" si="14"/>
        <v>113.36538461538461</v>
      </c>
      <c r="P33" s="70">
        <f t="shared" si="5"/>
        <v>6.5423076923076922</v>
      </c>
      <c r="Q33" s="70">
        <f t="shared" si="6"/>
        <v>2.5162721893491122</v>
      </c>
    </row>
    <row r="34" spans="1:17">
      <c r="A34" s="70">
        <f t="shared" si="0"/>
        <v>60</v>
      </c>
      <c r="B34" s="73">
        <f t="shared" si="1"/>
        <v>13.846153846153847</v>
      </c>
      <c r="C34" s="71">
        <f t="shared" si="2"/>
        <v>0</v>
      </c>
      <c r="D34" s="228">
        <f t="shared" si="15"/>
        <v>113.07692307692307</v>
      </c>
      <c r="E34" s="69">
        <f t="shared" si="7"/>
        <v>2.4499999999999997</v>
      </c>
      <c r="F34" s="71">
        <f t="shared" si="8"/>
        <v>0.10769230769230768</v>
      </c>
      <c r="G34" s="69">
        <f t="shared" si="9"/>
        <v>2.4499999999999997</v>
      </c>
      <c r="H34" s="71">
        <f t="shared" si="3"/>
        <v>2.4499999999999997</v>
      </c>
      <c r="I34" s="72">
        <f t="shared" si="10"/>
        <v>4.9450549450549589E-5</v>
      </c>
      <c r="J34" s="79">
        <f t="shared" si="16"/>
        <v>1.3174062468431507E-3</v>
      </c>
      <c r="K34" s="221">
        <f t="shared" si="11"/>
        <v>1.3174062468431507</v>
      </c>
      <c r="L34" s="167">
        <f t="shared" si="12"/>
        <v>1</v>
      </c>
      <c r="M34" s="70">
        <f t="shared" si="4"/>
        <v>5.8333333333333339</v>
      </c>
      <c r="N34" s="70">
        <f t="shared" si="17"/>
        <v>5.5917159763313757E-3</v>
      </c>
      <c r="O34" s="70">
        <f t="shared" si="14"/>
        <v>113.07692307692307</v>
      </c>
      <c r="P34" s="70">
        <f t="shared" si="5"/>
        <v>6.4615384615384608</v>
      </c>
      <c r="Q34" s="70">
        <f t="shared" si="6"/>
        <v>2.4852071005917158</v>
      </c>
    </row>
    <row r="35" spans="1:17">
      <c r="A35" s="70">
        <f t="shared" si="0"/>
        <v>60</v>
      </c>
      <c r="B35" s="73">
        <f t="shared" si="1"/>
        <v>14.423076923076923</v>
      </c>
      <c r="C35" s="71">
        <f t="shared" si="2"/>
        <v>0</v>
      </c>
      <c r="D35" s="228">
        <f t="shared" si="15"/>
        <v>112.78846153846152</v>
      </c>
      <c r="E35" s="69">
        <f t="shared" si="7"/>
        <v>2.4746835443037969</v>
      </c>
      <c r="F35" s="71">
        <f t="shared" si="8"/>
        <v>0.10769230769230768</v>
      </c>
      <c r="G35" s="69">
        <f t="shared" si="9"/>
        <v>2.4746835443037969</v>
      </c>
      <c r="H35" s="71">
        <f t="shared" si="3"/>
        <v>2.4746835443037969</v>
      </c>
      <c r="I35" s="72">
        <f t="shared" si="10"/>
        <v>4.8957308675978738E-5</v>
      </c>
      <c r="J35" s="79">
        <f t="shared" si="16"/>
        <v>1.3663635555191294E-3</v>
      </c>
      <c r="K35" s="221">
        <f t="shared" si="11"/>
        <v>1.3663635555191294</v>
      </c>
      <c r="L35" s="167">
        <f t="shared" si="12"/>
        <v>1</v>
      </c>
      <c r="M35" s="70">
        <f t="shared" si="4"/>
        <v>5.8921036769138029</v>
      </c>
      <c r="N35" s="70">
        <f t="shared" si="17"/>
        <v>5.5218195266272165E-3</v>
      </c>
      <c r="O35" s="70">
        <f t="shared" si="14"/>
        <v>112.78846153846152</v>
      </c>
      <c r="P35" s="70">
        <f t="shared" si="5"/>
        <v>6.3807692307692303</v>
      </c>
      <c r="Q35" s="70">
        <f t="shared" si="6"/>
        <v>2.4541420118343193</v>
      </c>
    </row>
    <row r="36" spans="1:17">
      <c r="A36" s="70">
        <f t="shared" si="0"/>
        <v>60</v>
      </c>
      <c r="B36" s="73">
        <f t="shared" si="1"/>
        <v>15</v>
      </c>
      <c r="C36" s="71">
        <f t="shared" si="2"/>
        <v>0</v>
      </c>
      <c r="D36" s="228">
        <f t="shared" si="15"/>
        <v>112.49999999999999</v>
      </c>
      <c r="E36" s="69">
        <f t="shared" si="7"/>
        <v>2.4999999999999996</v>
      </c>
      <c r="F36" s="71">
        <f t="shared" si="8"/>
        <v>0.10769230769230768</v>
      </c>
      <c r="G36" s="69">
        <f t="shared" si="9"/>
        <v>2.4999999999999996</v>
      </c>
      <c r="H36" s="71">
        <f t="shared" si="3"/>
        <v>2.4999999999999996</v>
      </c>
      <c r="I36" s="72">
        <f t="shared" si="10"/>
        <v>4.8461538461538448E-5</v>
      </c>
      <c r="J36" s="79">
        <f t="shared" si="16"/>
        <v>1.4148250939806678E-3</v>
      </c>
      <c r="K36" s="221">
        <f t="shared" si="11"/>
        <v>1.4148250939806679</v>
      </c>
      <c r="L36" s="167">
        <f t="shared" si="12"/>
        <v>1</v>
      </c>
      <c r="M36" s="70">
        <f t="shared" si="4"/>
        <v>5.9523809523809517</v>
      </c>
      <c r="N36" s="70">
        <f t="shared" si="17"/>
        <v>5.4519230769230747E-3</v>
      </c>
      <c r="O36" s="70">
        <f t="shared" si="14"/>
        <v>112.49999999999999</v>
      </c>
      <c r="P36" s="70">
        <f t="shared" si="5"/>
        <v>6.2999999999999989</v>
      </c>
      <c r="Q36" s="70">
        <f t="shared" si="6"/>
        <v>2.4230769230769229</v>
      </c>
    </row>
    <row r="37" spans="1:17">
      <c r="A37" s="70">
        <f t="shared" si="0"/>
        <v>60</v>
      </c>
      <c r="B37" s="73">
        <f t="shared" si="1"/>
        <v>15.576923076923078</v>
      </c>
      <c r="C37" s="71">
        <f t="shared" si="2"/>
        <v>0</v>
      </c>
      <c r="D37" s="228">
        <f t="shared" si="15"/>
        <v>112.21153846153845</v>
      </c>
      <c r="E37" s="69">
        <f t="shared" si="7"/>
        <v>2.5259740259740258</v>
      </c>
      <c r="F37" s="71">
        <f t="shared" si="8"/>
        <v>0.10769230769230768</v>
      </c>
      <c r="G37" s="69">
        <f t="shared" si="9"/>
        <v>2.5259740259740258</v>
      </c>
      <c r="H37" s="71">
        <f t="shared" si="3"/>
        <v>2.5259740259740258</v>
      </c>
      <c r="I37" s="72">
        <f t="shared" si="10"/>
        <v>4.7963219299980358E-5</v>
      </c>
      <c r="J37" s="79">
        <f t="shared" si="16"/>
        <v>1.4627883132806482E-3</v>
      </c>
      <c r="K37" s="221">
        <f t="shared" si="11"/>
        <v>1.4627883132806483</v>
      </c>
      <c r="L37" s="167">
        <f t="shared" si="12"/>
        <v>1</v>
      </c>
      <c r="M37" s="70">
        <f t="shared" si="4"/>
        <v>6.0142238713667284</v>
      </c>
      <c r="N37" s="70">
        <f t="shared" si="17"/>
        <v>5.3820266272189485E-3</v>
      </c>
      <c r="O37" s="70">
        <f t="shared" si="14"/>
        <v>112.21153846153844</v>
      </c>
      <c r="P37" s="70">
        <f t="shared" si="5"/>
        <v>6.2192307692307685</v>
      </c>
      <c r="Q37" s="70">
        <f t="shared" si="6"/>
        <v>2.3920118343195265</v>
      </c>
    </row>
    <row r="38" spans="1:17">
      <c r="A38" s="70">
        <f t="shared" si="0"/>
        <v>60</v>
      </c>
      <c r="B38" s="73">
        <f t="shared" si="1"/>
        <v>16.153846153846153</v>
      </c>
      <c r="C38" s="71">
        <f t="shared" si="2"/>
        <v>0</v>
      </c>
      <c r="D38" s="228">
        <f t="shared" si="15"/>
        <v>111.92307692307691</v>
      </c>
      <c r="E38" s="69">
        <f t="shared" si="7"/>
        <v>2.5526315789473681</v>
      </c>
      <c r="F38" s="71">
        <f t="shared" si="8"/>
        <v>0.10769230769230768</v>
      </c>
      <c r="G38" s="69">
        <f t="shared" si="9"/>
        <v>2.5526315789473681</v>
      </c>
      <c r="H38" s="71">
        <f t="shared" si="3"/>
        <v>2.5526315789473681</v>
      </c>
      <c r="I38" s="72">
        <f t="shared" si="10"/>
        <v>4.7462331482949881E-5</v>
      </c>
      <c r="J38" s="79">
        <f t="shared" si="16"/>
        <v>1.5102506447635981E-3</v>
      </c>
      <c r="K38" s="221">
        <f t="shared" si="11"/>
        <v>1.5102506447635982</v>
      </c>
      <c r="L38" s="167">
        <f t="shared" si="12"/>
        <v>1</v>
      </c>
      <c r="M38" s="70">
        <f t="shared" si="4"/>
        <v>6.0776942355889725</v>
      </c>
      <c r="N38" s="70">
        <f t="shared" si="17"/>
        <v>5.3121301775147746E-3</v>
      </c>
      <c r="O38" s="70">
        <f t="shared" si="14"/>
        <v>111.92307692307691</v>
      </c>
      <c r="P38" s="70">
        <f t="shared" si="5"/>
        <v>6.138461538461538</v>
      </c>
      <c r="Q38" s="70">
        <f t="shared" si="6"/>
        <v>2.36094674556213</v>
      </c>
    </row>
    <row r="39" spans="1:17">
      <c r="A39" s="70">
        <f t="shared" si="0"/>
        <v>60</v>
      </c>
      <c r="B39" s="73">
        <f t="shared" si="1"/>
        <v>16.73076923076923</v>
      </c>
      <c r="C39" s="71">
        <f t="shared" si="2"/>
        <v>0</v>
      </c>
      <c r="D39" s="228">
        <f t="shared" si="15"/>
        <v>111.63461538461537</v>
      </c>
      <c r="E39" s="69">
        <f t="shared" si="7"/>
        <v>2.5799999999999996</v>
      </c>
      <c r="F39" s="71">
        <f t="shared" si="8"/>
        <v>0.10769230769230768</v>
      </c>
      <c r="G39" s="69">
        <f t="shared" si="9"/>
        <v>2.5799999999999996</v>
      </c>
      <c r="H39" s="71">
        <f t="shared" si="3"/>
        <v>2.5799999999999996</v>
      </c>
      <c r="I39" s="72">
        <f t="shared" si="10"/>
        <v>4.6958855098389964E-5</v>
      </c>
      <c r="J39" s="79">
        <f t="shared" si="16"/>
        <v>1.5572094998619881E-3</v>
      </c>
      <c r="K39" s="221">
        <f t="shared" si="11"/>
        <v>1.5572094998619881</v>
      </c>
      <c r="L39" s="167">
        <f t="shared" si="12"/>
        <v>1</v>
      </c>
      <c r="M39" s="70">
        <f t="shared" si="4"/>
        <v>6.1428571428571423</v>
      </c>
      <c r="N39" s="70">
        <f t="shared" si="17"/>
        <v>5.2422337278106483E-3</v>
      </c>
      <c r="O39" s="70">
        <f t="shared" si="14"/>
        <v>111.63461538461539</v>
      </c>
      <c r="P39" s="70">
        <f t="shared" si="5"/>
        <v>6.0576923076923075</v>
      </c>
      <c r="Q39" s="70">
        <f t="shared" si="6"/>
        <v>2.3298816568047336</v>
      </c>
    </row>
    <row r="40" spans="1:17">
      <c r="A40" s="70">
        <f t="shared" si="0"/>
        <v>60</v>
      </c>
      <c r="B40" s="73">
        <f t="shared" si="1"/>
        <v>17.307692307692307</v>
      </c>
      <c r="C40" s="71">
        <f t="shared" si="2"/>
        <v>0</v>
      </c>
      <c r="D40" s="228">
        <f t="shared" si="15"/>
        <v>111.34615384615384</v>
      </c>
      <c r="E40" s="69">
        <f t="shared" si="7"/>
        <v>2.6081081081081079</v>
      </c>
      <c r="F40" s="71">
        <f t="shared" si="8"/>
        <v>0.10769230769230768</v>
      </c>
      <c r="G40" s="69">
        <f t="shared" si="9"/>
        <v>2.6081081081081079</v>
      </c>
      <c r="H40" s="71">
        <f t="shared" si="3"/>
        <v>2.6081081081081079</v>
      </c>
      <c r="I40" s="72">
        <f t="shared" si="10"/>
        <v>4.6452770027899546E-5</v>
      </c>
      <c r="J40" s="79">
        <f t="shared" si="16"/>
        <v>1.6036622698898876E-3</v>
      </c>
      <c r="K40" s="221">
        <f t="shared" si="11"/>
        <v>1.6036622698898877</v>
      </c>
      <c r="L40" s="167">
        <f t="shared" si="12"/>
        <v>1</v>
      </c>
      <c r="M40" s="70">
        <f t="shared" si="4"/>
        <v>6.2097812097812097</v>
      </c>
      <c r="N40" s="70">
        <f t="shared" si="17"/>
        <v>5.1723372781065065E-3</v>
      </c>
      <c r="O40" s="70">
        <f t="shared" si="14"/>
        <v>111.34615384615384</v>
      </c>
      <c r="P40" s="70">
        <f t="shared" si="5"/>
        <v>5.9769230769230761</v>
      </c>
      <c r="Q40" s="70">
        <f t="shared" si="6"/>
        <v>2.2988165680473371</v>
      </c>
    </row>
    <row r="41" spans="1:17">
      <c r="A41" s="70">
        <f t="shared" si="0"/>
        <v>60</v>
      </c>
      <c r="B41" s="73">
        <f t="shared" si="1"/>
        <v>17.884615384615383</v>
      </c>
      <c r="C41" s="71">
        <f t="shared" si="2"/>
        <v>0</v>
      </c>
      <c r="D41" s="228">
        <f t="shared" si="15"/>
        <v>111.05769230769229</v>
      </c>
      <c r="E41" s="69">
        <f t="shared" si="7"/>
        <v>2.6369863013698627</v>
      </c>
      <c r="F41" s="71">
        <f t="shared" si="8"/>
        <v>0.10769230769230768</v>
      </c>
      <c r="G41" s="69">
        <f t="shared" si="9"/>
        <v>2.6369863013698627</v>
      </c>
      <c r="H41" s="71">
        <f t="shared" si="3"/>
        <v>2.6369863013698627</v>
      </c>
      <c r="I41" s="72">
        <f t="shared" si="10"/>
        <v>4.5944055944055926E-5</v>
      </c>
      <c r="J41" s="79">
        <f t="shared" si="16"/>
        <v>1.6496063258339435E-3</v>
      </c>
      <c r="K41" s="221">
        <f t="shared" si="11"/>
        <v>1.6496063258339435</v>
      </c>
      <c r="L41" s="167">
        <f t="shared" si="12"/>
        <v>1</v>
      </c>
      <c r="M41" s="70">
        <f t="shared" si="4"/>
        <v>6.2785388127853876</v>
      </c>
      <c r="N41" s="70">
        <f t="shared" si="17"/>
        <v>5.1024408284023638E-3</v>
      </c>
      <c r="O41" s="70">
        <f t="shared" si="14"/>
        <v>111.05769230769229</v>
      </c>
      <c r="P41" s="70">
        <f t="shared" si="5"/>
        <v>5.8961538461538456</v>
      </c>
      <c r="Q41" s="70">
        <f t="shared" si="6"/>
        <v>2.2677514792899407</v>
      </c>
    </row>
    <row r="42" spans="1:17">
      <c r="A42" s="70">
        <f t="shared" ref="A42:A73" si="18">VINMAX</f>
        <v>60</v>
      </c>
      <c r="B42" s="73">
        <f t="shared" ref="B42:B73" si="19">VINMAX*((ROW()-10)/104)</f>
        <v>18.461538461538463</v>
      </c>
      <c r="C42" s="71">
        <f t="shared" ref="C42:C73" si="20">IF(B42&gt;=$H$2,IF($D$2="CC", $G$2, B42/$G$2), 0)</f>
        <v>0</v>
      </c>
      <c r="D42" s="228">
        <f t="shared" si="15"/>
        <v>110.76923076923076</v>
      </c>
      <c r="E42" s="69">
        <f t="shared" si="7"/>
        <v>2.666666666666667</v>
      </c>
      <c r="F42" s="71">
        <f t="shared" ref="F42:F73" si="21">I_Cout_ss+C42</f>
        <v>0.10769230769230768</v>
      </c>
      <c r="G42" s="69">
        <f t="shared" si="9"/>
        <v>2.666666666666667</v>
      </c>
      <c r="H42" s="71">
        <f t="shared" ref="H42:H73" si="22">G42-C42</f>
        <v>2.666666666666667</v>
      </c>
      <c r="I42" s="72">
        <f t="shared" si="10"/>
        <v>4.5432692307692559E-5</v>
      </c>
      <c r="J42" s="79">
        <f t="shared" si="16"/>
        <v>1.6950390181416359E-3</v>
      </c>
      <c r="K42" s="221">
        <f t="shared" si="11"/>
        <v>1.6950390181416359</v>
      </c>
      <c r="L42" s="167">
        <f t="shared" si="12"/>
        <v>1</v>
      </c>
      <c r="M42" s="70">
        <f t="shared" ref="M42:M73" si="23">1/COUTMAX*(E42/2-C42)*1000</f>
        <v>6.3492063492063497</v>
      </c>
      <c r="N42" s="70">
        <f t="shared" si="17"/>
        <v>5.0325443786982532E-3</v>
      </c>
      <c r="O42" s="70">
        <f t="shared" si="14"/>
        <v>110.76923076923077</v>
      </c>
      <c r="P42" s="70">
        <f t="shared" ref="P42:P73" si="24">(A42-B42)*(I_Cout_ss*$Q$2+C42)</f>
        <v>5.8153846153846143</v>
      </c>
      <c r="Q42" s="70">
        <f t="shared" ref="Q42:Q73" si="25">(A42-B42)*(I_Cout_ss*$R$2+C42)</f>
        <v>2.2366863905325438</v>
      </c>
    </row>
    <row r="43" spans="1:17">
      <c r="A43" s="70">
        <f t="shared" si="18"/>
        <v>60</v>
      </c>
      <c r="B43" s="73">
        <f t="shared" si="19"/>
        <v>19.038461538461537</v>
      </c>
      <c r="C43" s="71">
        <f t="shared" si="20"/>
        <v>0</v>
      </c>
      <c r="D43" s="228">
        <f t="shared" si="15"/>
        <v>110.48076923076921</v>
      </c>
      <c r="E43" s="69">
        <f t="shared" si="7"/>
        <v>2.6971830985915486</v>
      </c>
      <c r="F43" s="71">
        <f t="shared" si="21"/>
        <v>0.10769230769230768</v>
      </c>
      <c r="G43" s="69">
        <f t="shared" si="9"/>
        <v>2.6971830985915486</v>
      </c>
      <c r="H43" s="71">
        <f t="shared" si="22"/>
        <v>2.6971830985915486</v>
      </c>
      <c r="I43" s="72">
        <f t="shared" ref="I43:I74" si="26">(COUTMAX/1000000)*(B43-B42)/H43</f>
        <v>4.4918658365133277E-5</v>
      </c>
      <c r="J43" s="79">
        <f t="shared" si="16"/>
        <v>1.7399576765067693E-3</v>
      </c>
      <c r="K43" s="221">
        <f t="shared" si="11"/>
        <v>1.7399576765067692</v>
      </c>
      <c r="L43" s="167">
        <f t="shared" si="12"/>
        <v>1</v>
      </c>
      <c r="M43" s="70">
        <f t="shared" si="23"/>
        <v>6.4218645204560678</v>
      </c>
      <c r="N43" s="70">
        <f t="shared" si="17"/>
        <v>4.9626479289940507E-3</v>
      </c>
      <c r="O43" s="70">
        <f t="shared" si="14"/>
        <v>110.48076923076921</v>
      </c>
      <c r="P43" s="70">
        <f t="shared" si="24"/>
        <v>5.7346153846153847</v>
      </c>
      <c r="Q43" s="70">
        <f t="shared" si="25"/>
        <v>2.2056213017751483</v>
      </c>
    </row>
    <row r="44" spans="1:17">
      <c r="A44" s="70">
        <f t="shared" si="18"/>
        <v>60</v>
      </c>
      <c r="B44" s="73">
        <f t="shared" si="19"/>
        <v>19.615384615384617</v>
      </c>
      <c r="C44" s="71">
        <f t="shared" si="20"/>
        <v>0</v>
      </c>
      <c r="D44" s="228">
        <f t="shared" si="15"/>
        <v>110.19230769230768</v>
      </c>
      <c r="E44" s="69">
        <f t="shared" si="7"/>
        <v>2.7285714285714282</v>
      </c>
      <c r="F44" s="71">
        <f t="shared" si="21"/>
        <v>0.10769230769230768</v>
      </c>
      <c r="G44" s="69">
        <f t="shared" si="9"/>
        <v>2.7285714285714282</v>
      </c>
      <c r="H44" s="71">
        <f t="shared" si="22"/>
        <v>2.7285714285714282</v>
      </c>
      <c r="I44" s="72">
        <f t="shared" si="26"/>
        <v>4.4401933145388899E-5</v>
      </c>
      <c r="J44" s="79">
        <f t="shared" si="16"/>
        <v>1.7843596096521583E-3</v>
      </c>
      <c r="K44" s="221">
        <f t="shared" si="11"/>
        <v>1.7843596096521583</v>
      </c>
      <c r="L44" s="167">
        <f t="shared" si="12"/>
        <v>1</v>
      </c>
      <c r="M44" s="70">
        <f t="shared" si="23"/>
        <v>6.4965986394557822</v>
      </c>
      <c r="N44" s="70">
        <f t="shared" si="17"/>
        <v>4.8927514792899687E-3</v>
      </c>
      <c r="O44" s="70">
        <f t="shared" si="14"/>
        <v>110.19230769230768</v>
      </c>
      <c r="P44" s="70">
        <f t="shared" si="24"/>
        <v>5.6538461538461533</v>
      </c>
      <c r="Q44" s="70">
        <f t="shared" si="25"/>
        <v>2.1745562130177514</v>
      </c>
    </row>
    <row r="45" spans="1:17">
      <c r="A45" s="70">
        <f t="shared" si="18"/>
        <v>60</v>
      </c>
      <c r="B45" s="73">
        <f t="shared" si="19"/>
        <v>20.192307692307693</v>
      </c>
      <c r="C45" s="71">
        <f t="shared" si="20"/>
        <v>0</v>
      </c>
      <c r="D45" s="228">
        <f t="shared" si="15"/>
        <v>109.90384615384613</v>
      </c>
      <c r="E45" s="69">
        <f t="shared" si="7"/>
        <v>2.7608695652173907</v>
      </c>
      <c r="F45" s="71">
        <f t="shared" si="21"/>
        <v>0.10769230769230768</v>
      </c>
      <c r="G45" s="69">
        <f t="shared" si="9"/>
        <v>2.7608695652173907</v>
      </c>
      <c r="H45" s="71">
        <f t="shared" si="22"/>
        <v>2.7608695652173907</v>
      </c>
      <c r="I45" s="72">
        <f t="shared" si="26"/>
        <v>4.3882495457298599E-5</v>
      </c>
      <c r="J45" s="79">
        <f t="shared" si="16"/>
        <v>1.8282421051094568E-3</v>
      </c>
      <c r="K45" s="221">
        <f t="shared" si="11"/>
        <v>1.8282421051094568</v>
      </c>
      <c r="L45" s="167">
        <f t="shared" si="12"/>
        <v>1</v>
      </c>
      <c r="M45" s="70">
        <f t="shared" si="23"/>
        <v>6.5734989648033118</v>
      </c>
      <c r="N45" s="70">
        <f t="shared" si="17"/>
        <v>4.8228550295857974E-3</v>
      </c>
      <c r="O45" s="70">
        <f t="shared" si="14"/>
        <v>109.90384615384613</v>
      </c>
      <c r="P45" s="70">
        <f t="shared" si="24"/>
        <v>5.5730769230769219</v>
      </c>
      <c r="Q45" s="70">
        <f t="shared" si="25"/>
        <v>2.1434911242603549</v>
      </c>
    </row>
    <row r="46" spans="1:17">
      <c r="A46" s="70">
        <f t="shared" si="18"/>
        <v>60</v>
      </c>
      <c r="B46" s="73">
        <f t="shared" si="19"/>
        <v>20.76923076923077</v>
      </c>
      <c r="C46" s="71">
        <f t="shared" si="20"/>
        <v>0</v>
      </c>
      <c r="D46" s="228">
        <f t="shared" si="15"/>
        <v>109.6153846153846</v>
      </c>
      <c r="E46" s="69">
        <f t="shared" si="7"/>
        <v>2.7941176470588234</v>
      </c>
      <c r="F46" s="71">
        <f t="shared" si="21"/>
        <v>0.10769230769230768</v>
      </c>
      <c r="G46" s="69">
        <f t="shared" si="9"/>
        <v>2.7941176470588234</v>
      </c>
      <c r="H46" s="71">
        <f t="shared" si="22"/>
        <v>2.7941176470588234</v>
      </c>
      <c r="I46" s="72">
        <f t="shared" si="26"/>
        <v>4.3360323886639661E-5</v>
      </c>
      <c r="J46" s="79">
        <f t="shared" si="16"/>
        <v>1.8716024289960964E-3</v>
      </c>
      <c r="K46" s="221">
        <f t="shared" si="11"/>
        <v>1.8716024289960964</v>
      </c>
      <c r="L46" s="167">
        <f t="shared" si="12"/>
        <v>1</v>
      </c>
      <c r="M46" s="70">
        <f t="shared" si="23"/>
        <v>6.6526610644257707</v>
      </c>
      <c r="N46" s="70">
        <f t="shared" si="17"/>
        <v>4.7529585798816547E-3</v>
      </c>
      <c r="O46" s="70">
        <f t="shared" si="14"/>
        <v>109.6153846153846</v>
      </c>
      <c r="P46" s="70">
        <f t="shared" si="24"/>
        <v>5.4923076923076914</v>
      </c>
      <c r="Q46" s="70">
        <f t="shared" si="25"/>
        <v>2.112426035502958</v>
      </c>
    </row>
    <row r="47" spans="1:17">
      <c r="A47" s="70">
        <f t="shared" si="18"/>
        <v>60</v>
      </c>
      <c r="B47" s="73">
        <f t="shared" si="19"/>
        <v>21.346153846153847</v>
      </c>
      <c r="C47" s="71">
        <f t="shared" si="20"/>
        <v>0</v>
      </c>
      <c r="D47" s="228">
        <f t="shared" si="15"/>
        <v>109.32692307692307</v>
      </c>
      <c r="E47" s="69">
        <f t="shared" si="7"/>
        <v>2.8283582089552235</v>
      </c>
      <c r="F47" s="71">
        <f t="shared" si="21"/>
        <v>0.10769230769230768</v>
      </c>
      <c r="G47" s="69">
        <f t="shared" si="9"/>
        <v>2.8283582089552235</v>
      </c>
      <c r="H47" s="71">
        <f t="shared" si="22"/>
        <v>2.8283582089552235</v>
      </c>
      <c r="I47" s="72">
        <f t="shared" si="26"/>
        <v>4.2835396793180418E-5</v>
      </c>
      <c r="J47" s="79">
        <f t="shared" si="16"/>
        <v>1.914437825789277E-3</v>
      </c>
      <c r="K47" s="221">
        <f t="shared" si="11"/>
        <v>1.9144378257892769</v>
      </c>
      <c r="L47" s="167">
        <f t="shared" si="12"/>
        <v>1</v>
      </c>
      <c r="M47" s="70">
        <f t="shared" si="23"/>
        <v>6.7341862117981517</v>
      </c>
      <c r="N47" s="70">
        <f t="shared" si="17"/>
        <v>4.683062130177512E-3</v>
      </c>
      <c r="O47" s="70">
        <f t="shared" si="14"/>
        <v>109.32692307692307</v>
      </c>
      <c r="P47" s="70">
        <f t="shared" si="24"/>
        <v>5.411538461538461</v>
      </c>
      <c r="Q47" s="70">
        <f t="shared" si="25"/>
        <v>2.081360946745562</v>
      </c>
    </row>
    <row r="48" spans="1:17">
      <c r="A48" s="70">
        <f t="shared" si="18"/>
        <v>60</v>
      </c>
      <c r="B48" s="73">
        <f t="shared" si="19"/>
        <v>21.923076923076923</v>
      </c>
      <c r="C48" s="71">
        <f t="shared" si="20"/>
        <v>0</v>
      </c>
      <c r="D48" s="228">
        <f t="shared" si="15"/>
        <v>109.03846153846152</v>
      </c>
      <c r="E48" s="69">
        <f t="shared" si="7"/>
        <v>2.8636363636363629</v>
      </c>
      <c r="F48" s="71">
        <f t="shared" si="21"/>
        <v>0.10769230769230768</v>
      </c>
      <c r="G48" s="69">
        <f t="shared" si="9"/>
        <v>2.8636363636363629</v>
      </c>
      <c r="H48" s="71">
        <f t="shared" si="22"/>
        <v>2.8636363636363629</v>
      </c>
      <c r="I48" s="72">
        <f t="shared" si="26"/>
        <v>4.23076923076923E-5</v>
      </c>
      <c r="J48" s="79">
        <f t="shared" si="16"/>
        <v>1.9567455180969692E-3</v>
      </c>
      <c r="K48" s="221">
        <f t="shared" si="11"/>
        <v>1.9567455180969691</v>
      </c>
      <c r="L48" s="167">
        <f t="shared" si="12"/>
        <v>1</v>
      </c>
      <c r="M48" s="70">
        <f t="shared" si="23"/>
        <v>6.8181818181818166</v>
      </c>
      <c r="N48" s="70">
        <f t="shared" si="17"/>
        <v>4.613165680473371E-3</v>
      </c>
      <c r="O48" s="70">
        <f t="shared" si="14"/>
        <v>109.03846153846152</v>
      </c>
      <c r="P48" s="70">
        <f t="shared" si="24"/>
        <v>5.3307692307692305</v>
      </c>
      <c r="Q48" s="70">
        <f t="shared" si="25"/>
        <v>2.0502958579881656</v>
      </c>
    </row>
    <row r="49" spans="1:17">
      <c r="A49" s="70">
        <f t="shared" si="18"/>
        <v>60</v>
      </c>
      <c r="B49" s="73">
        <f t="shared" si="19"/>
        <v>22.5</v>
      </c>
      <c r="C49" s="71">
        <f t="shared" si="20"/>
        <v>0</v>
      </c>
      <c r="D49" s="228">
        <f t="shared" si="15"/>
        <v>108.74999999999999</v>
      </c>
      <c r="E49" s="69">
        <f t="shared" si="7"/>
        <v>2.8999999999999995</v>
      </c>
      <c r="F49" s="71">
        <f t="shared" si="21"/>
        <v>0.10769230769230768</v>
      </c>
      <c r="G49" s="69">
        <f t="shared" si="9"/>
        <v>2.8999999999999995</v>
      </c>
      <c r="H49" s="71">
        <f t="shared" si="22"/>
        <v>2.8999999999999995</v>
      </c>
      <c r="I49" s="72">
        <f t="shared" si="26"/>
        <v>4.1777188328912452E-5</v>
      </c>
      <c r="J49" s="79">
        <f t="shared" si="16"/>
        <v>1.9985227064258817E-3</v>
      </c>
      <c r="K49" s="221">
        <f t="shared" si="11"/>
        <v>1.9985227064258817</v>
      </c>
      <c r="L49" s="167">
        <f t="shared" si="12"/>
        <v>1</v>
      </c>
      <c r="M49" s="70">
        <f t="shared" si="23"/>
        <v>6.9047619047619042</v>
      </c>
      <c r="N49" s="70">
        <f t="shared" si="17"/>
        <v>4.5432692307692283E-3</v>
      </c>
      <c r="O49" s="70">
        <f t="shared" si="14"/>
        <v>108.74999999999999</v>
      </c>
      <c r="P49" s="70">
        <f t="shared" si="24"/>
        <v>5.2499999999999991</v>
      </c>
      <c r="Q49" s="70">
        <f t="shared" si="25"/>
        <v>2.0192307692307692</v>
      </c>
    </row>
    <row r="50" spans="1:17">
      <c r="A50" s="70">
        <f t="shared" si="18"/>
        <v>60</v>
      </c>
      <c r="B50" s="73">
        <f t="shared" si="19"/>
        <v>23.076923076923077</v>
      </c>
      <c r="C50" s="71">
        <f t="shared" si="20"/>
        <v>0</v>
      </c>
      <c r="D50" s="228">
        <f t="shared" si="15"/>
        <v>108.46153846153845</v>
      </c>
      <c r="E50" s="69">
        <f t="shared" si="7"/>
        <v>2.9375</v>
      </c>
      <c r="F50" s="71">
        <f t="shared" si="21"/>
        <v>0.10769230769230768</v>
      </c>
      <c r="G50" s="69">
        <f t="shared" si="9"/>
        <v>2.9375</v>
      </c>
      <c r="H50" s="71">
        <f t="shared" si="22"/>
        <v>2.9375</v>
      </c>
      <c r="I50" s="72">
        <f t="shared" si="26"/>
        <v>4.1243862520458245E-5</v>
      </c>
      <c r="J50" s="79">
        <f t="shared" si="16"/>
        <v>2.0397665689463398E-3</v>
      </c>
      <c r="K50" s="221">
        <f t="shared" si="11"/>
        <v>2.03976656894634</v>
      </c>
      <c r="L50" s="167">
        <f t="shared" si="12"/>
        <v>1</v>
      </c>
      <c r="M50" s="70">
        <f t="shared" si="23"/>
        <v>6.9940476190476195</v>
      </c>
      <c r="N50" s="70">
        <f t="shared" si="17"/>
        <v>4.4733727810650865E-3</v>
      </c>
      <c r="O50" s="70">
        <f t="shared" si="14"/>
        <v>108.46153846153845</v>
      </c>
      <c r="P50" s="70">
        <f t="shared" si="24"/>
        <v>5.1692307692307686</v>
      </c>
      <c r="Q50" s="70">
        <f t="shared" si="25"/>
        <v>1.9881656804733725</v>
      </c>
    </row>
    <row r="51" spans="1:17">
      <c r="A51" s="70">
        <f t="shared" si="18"/>
        <v>60</v>
      </c>
      <c r="B51" s="73">
        <f t="shared" si="19"/>
        <v>23.653846153846153</v>
      </c>
      <c r="C51" s="71">
        <f t="shared" si="20"/>
        <v>0</v>
      </c>
      <c r="D51" s="228">
        <f t="shared" si="15"/>
        <v>108.17307692307691</v>
      </c>
      <c r="E51" s="69">
        <f t="shared" si="7"/>
        <v>2.9761904761904758</v>
      </c>
      <c r="F51" s="71">
        <f t="shared" si="21"/>
        <v>0.10769230769230768</v>
      </c>
      <c r="G51" s="69">
        <f t="shared" si="9"/>
        <v>2.9761904761904758</v>
      </c>
      <c r="H51" s="71">
        <f t="shared" si="22"/>
        <v>2.9761904761904758</v>
      </c>
      <c r="I51" s="72">
        <f t="shared" si="26"/>
        <v>4.0707692307692295E-5</v>
      </c>
      <c r="J51" s="79">
        <f t="shared" si="16"/>
        <v>2.080474261254032E-3</v>
      </c>
      <c r="K51" s="221">
        <f t="shared" si="11"/>
        <v>2.0804742612540319</v>
      </c>
      <c r="L51" s="167">
        <f t="shared" si="12"/>
        <v>1</v>
      </c>
      <c r="M51" s="70">
        <f t="shared" si="23"/>
        <v>7.0861678004535138</v>
      </c>
      <c r="N51" s="70">
        <f t="shared" si="17"/>
        <v>4.4034763313609447E-3</v>
      </c>
      <c r="O51" s="70">
        <f t="shared" si="14"/>
        <v>108.17307692307691</v>
      </c>
      <c r="P51" s="70">
        <f t="shared" si="24"/>
        <v>5.0884615384615381</v>
      </c>
      <c r="Q51" s="70">
        <f t="shared" si="25"/>
        <v>1.9571005917159763</v>
      </c>
    </row>
    <row r="52" spans="1:17">
      <c r="A52" s="70">
        <f t="shared" si="18"/>
        <v>60</v>
      </c>
      <c r="B52" s="73">
        <f t="shared" si="19"/>
        <v>24.23076923076923</v>
      </c>
      <c r="C52" s="71">
        <f t="shared" si="20"/>
        <v>0</v>
      </c>
      <c r="D52" s="228">
        <f t="shared" si="15"/>
        <v>107.88461538461537</v>
      </c>
      <c r="E52" s="69">
        <f t="shared" si="7"/>
        <v>3.0161290322580636</v>
      </c>
      <c r="F52" s="71">
        <f t="shared" si="21"/>
        <v>0.10769230769230768</v>
      </c>
      <c r="G52" s="69">
        <f t="shared" si="9"/>
        <v>3.0161290322580636</v>
      </c>
      <c r="H52" s="71">
        <f t="shared" si="22"/>
        <v>3.0161290322580636</v>
      </c>
      <c r="I52" s="72">
        <f t="shared" si="26"/>
        <v>4.016865487453722E-5</v>
      </c>
      <c r="J52" s="79">
        <f t="shared" si="16"/>
        <v>2.1206429161285691E-3</v>
      </c>
      <c r="K52" s="221">
        <f t="shared" si="11"/>
        <v>2.1206429161285691</v>
      </c>
      <c r="L52" s="167">
        <f t="shared" si="12"/>
        <v>1</v>
      </c>
      <c r="M52" s="70">
        <f t="shared" si="23"/>
        <v>7.181259600614438</v>
      </c>
      <c r="N52" s="70">
        <f t="shared" si="17"/>
        <v>4.3335798816568028E-3</v>
      </c>
      <c r="O52" s="70">
        <f t="shared" si="14"/>
        <v>107.88461538461537</v>
      </c>
      <c r="P52" s="70">
        <f t="shared" si="24"/>
        <v>5.0076923076923077</v>
      </c>
      <c r="Q52" s="70">
        <f t="shared" si="25"/>
        <v>1.9260355029585801</v>
      </c>
    </row>
    <row r="53" spans="1:17">
      <c r="A53" s="70">
        <f t="shared" si="18"/>
        <v>60</v>
      </c>
      <c r="B53" s="73">
        <f t="shared" si="19"/>
        <v>24.807692307692307</v>
      </c>
      <c r="C53" s="71">
        <f t="shared" si="20"/>
        <v>0</v>
      </c>
      <c r="D53" s="228">
        <f t="shared" si="15"/>
        <v>107.59615384615384</v>
      </c>
      <c r="E53" s="69">
        <f t="shared" si="7"/>
        <v>3.0573770491803276</v>
      </c>
      <c r="F53" s="71">
        <f t="shared" si="21"/>
        <v>0.10769230769230768</v>
      </c>
      <c r="G53" s="69">
        <f t="shared" si="9"/>
        <v>3.0573770491803276</v>
      </c>
      <c r="H53" s="71">
        <f t="shared" si="22"/>
        <v>3.0573770491803276</v>
      </c>
      <c r="I53" s="72">
        <f t="shared" si="26"/>
        <v>3.9626727160239211E-5</v>
      </c>
      <c r="J53" s="79">
        <f t="shared" si="16"/>
        <v>2.1602696432888083E-3</v>
      </c>
      <c r="K53" s="221">
        <f t="shared" si="11"/>
        <v>2.1602696432888084</v>
      </c>
      <c r="L53" s="167">
        <f t="shared" si="12"/>
        <v>1</v>
      </c>
      <c r="M53" s="70">
        <f t="shared" si="23"/>
        <v>7.2794691647150662</v>
      </c>
      <c r="N53" s="70">
        <f t="shared" si="17"/>
        <v>4.263683431952661E-3</v>
      </c>
      <c r="O53" s="70">
        <f t="shared" si="14"/>
        <v>107.59615384615384</v>
      </c>
      <c r="P53" s="70">
        <f t="shared" si="24"/>
        <v>4.9269230769230763</v>
      </c>
      <c r="Q53" s="70">
        <f t="shared" si="25"/>
        <v>1.8949704142011834</v>
      </c>
    </row>
    <row r="54" spans="1:17">
      <c r="A54" s="70">
        <f t="shared" si="18"/>
        <v>60</v>
      </c>
      <c r="B54" s="73">
        <f t="shared" si="19"/>
        <v>25.384615384615383</v>
      </c>
      <c r="C54" s="71">
        <f t="shared" si="20"/>
        <v>0</v>
      </c>
      <c r="D54" s="228">
        <f t="shared" si="15"/>
        <v>107.30769230769229</v>
      </c>
      <c r="E54" s="69">
        <f t="shared" si="7"/>
        <v>3.0999999999999996</v>
      </c>
      <c r="F54" s="71">
        <f t="shared" si="21"/>
        <v>0.10769230769230768</v>
      </c>
      <c r="G54" s="69">
        <f t="shared" si="9"/>
        <v>3.0999999999999996</v>
      </c>
      <c r="H54" s="71">
        <f t="shared" si="22"/>
        <v>3.0999999999999996</v>
      </c>
      <c r="I54" s="72">
        <f t="shared" si="26"/>
        <v>3.908188585607939E-5</v>
      </c>
      <c r="J54" s="79">
        <f t="shared" si="16"/>
        <v>2.1993515291448876E-3</v>
      </c>
      <c r="K54" s="221">
        <f t="shared" si="11"/>
        <v>2.1993515291448875</v>
      </c>
      <c r="L54" s="167">
        <f t="shared" si="12"/>
        <v>1</v>
      </c>
      <c r="M54" s="70">
        <f t="shared" si="23"/>
        <v>7.3809523809523805</v>
      </c>
      <c r="N54" s="70">
        <f t="shared" si="17"/>
        <v>4.1937869822485183E-3</v>
      </c>
      <c r="O54" s="70">
        <f t="shared" si="14"/>
        <v>107.30769230769229</v>
      </c>
      <c r="P54" s="70">
        <f t="shared" si="24"/>
        <v>4.8461538461538449</v>
      </c>
      <c r="Q54" s="70">
        <f t="shared" si="25"/>
        <v>1.8639053254437867</v>
      </c>
    </row>
    <row r="55" spans="1:17">
      <c r="A55" s="70">
        <f t="shared" si="18"/>
        <v>60</v>
      </c>
      <c r="B55" s="73">
        <f t="shared" si="19"/>
        <v>25.961538461538463</v>
      </c>
      <c r="C55" s="71">
        <f t="shared" si="20"/>
        <v>0</v>
      </c>
      <c r="D55" s="228">
        <f t="shared" si="15"/>
        <v>107.01923076923076</v>
      </c>
      <c r="E55" s="69">
        <f t="shared" si="7"/>
        <v>3.1440677966101696</v>
      </c>
      <c r="F55" s="71">
        <f t="shared" si="21"/>
        <v>0.10769230769230768</v>
      </c>
      <c r="G55" s="69">
        <f t="shared" si="9"/>
        <v>3.1440677966101696</v>
      </c>
      <c r="H55" s="71">
        <f t="shared" si="22"/>
        <v>3.1440677966101696</v>
      </c>
      <c r="I55" s="72">
        <f t="shared" si="26"/>
        <v>3.8534107402032147E-5</v>
      </c>
      <c r="J55" s="79">
        <f t="shared" si="16"/>
        <v>2.2378856365469196E-3</v>
      </c>
      <c r="K55" s="221">
        <f t="shared" si="11"/>
        <v>2.2378856365469195</v>
      </c>
      <c r="L55" s="167">
        <f t="shared" si="12"/>
        <v>1</v>
      </c>
      <c r="M55" s="70">
        <f t="shared" si="23"/>
        <v>7.4858757062146903</v>
      </c>
      <c r="N55" s="70">
        <f t="shared" si="17"/>
        <v>4.1238905325444017E-3</v>
      </c>
      <c r="O55" s="70">
        <f t="shared" si="14"/>
        <v>107.01923076923076</v>
      </c>
      <c r="P55" s="70">
        <f t="shared" si="24"/>
        <v>4.7653846153846144</v>
      </c>
      <c r="Q55" s="70">
        <f t="shared" si="25"/>
        <v>1.8328402366863901</v>
      </c>
    </row>
    <row r="56" spans="1:17">
      <c r="A56" s="70">
        <f t="shared" si="18"/>
        <v>60</v>
      </c>
      <c r="B56" s="73">
        <f t="shared" si="19"/>
        <v>26.538461538461537</v>
      </c>
      <c r="C56" s="71">
        <f t="shared" si="20"/>
        <v>0</v>
      </c>
      <c r="D56" s="228">
        <f t="shared" si="15"/>
        <v>106.73076923076921</v>
      </c>
      <c r="E56" s="69">
        <f t="shared" si="7"/>
        <v>3.1896551724137918</v>
      </c>
      <c r="F56" s="71">
        <f t="shared" si="21"/>
        <v>0.10769230769230768</v>
      </c>
      <c r="G56" s="69">
        <f t="shared" si="9"/>
        <v>3.1896551724137918</v>
      </c>
      <c r="H56" s="71">
        <f t="shared" si="22"/>
        <v>3.1896551724137918</v>
      </c>
      <c r="I56" s="72">
        <f t="shared" si="26"/>
        <v>3.7983367983367748E-5</v>
      </c>
      <c r="J56" s="79">
        <f t="shared" si="16"/>
        <v>2.2758690045302874E-3</v>
      </c>
      <c r="K56" s="221">
        <f t="shared" si="11"/>
        <v>2.2758690045302874</v>
      </c>
      <c r="L56" s="167">
        <f t="shared" si="12"/>
        <v>1</v>
      </c>
      <c r="M56" s="70">
        <f t="shared" si="23"/>
        <v>7.5944170771756951</v>
      </c>
      <c r="N56" s="70">
        <f t="shared" si="17"/>
        <v>4.0539940828402104E-3</v>
      </c>
      <c r="O56" s="70">
        <f t="shared" si="14"/>
        <v>106.73076923076921</v>
      </c>
      <c r="P56" s="70">
        <f t="shared" si="24"/>
        <v>4.6846153846153848</v>
      </c>
      <c r="Q56" s="70">
        <f t="shared" si="25"/>
        <v>1.8017751479289943</v>
      </c>
    </row>
    <row r="57" spans="1:17">
      <c r="A57" s="70">
        <f t="shared" si="18"/>
        <v>60</v>
      </c>
      <c r="B57" s="73">
        <f t="shared" si="19"/>
        <v>27.115384615384617</v>
      </c>
      <c r="C57" s="71">
        <f t="shared" si="20"/>
        <v>0</v>
      </c>
      <c r="D57" s="228">
        <f t="shared" si="15"/>
        <v>106.44230769230768</v>
      </c>
      <c r="E57" s="69">
        <f t="shared" si="7"/>
        <v>3.2368421052631571</v>
      </c>
      <c r="F57" s="71">
        <f t="shared" si="21"/>
        <v>0.10769230769230768</v>
      </c>
      <c r="G57" s="69">
        <f t="shared" si="9"/>
        <v>3.2368421052631571</v>
      </c>
      <c r="H57" s="71">
        <f t="shared" si="22"/>
        <v>3.2368421052631571</v>
      </c>
      <c r="I57" s="72">
        <f t="shared" si="26"/>
        <v>3.7429643527204727E-5</v>
      </c>
      <c r="J57" s="79">
        <f t="shared" si="16"/>
        <v>2.3132986480574923E-3</v>
      </c>
      <c r="K57" s="221">
        <f t="shared" si="11"/>
        <v>2.3132986480574922</v>
      </c>
      <c r="L57" s="167">
        <f t="shared" si="12"/>
        <v>1</v>
      </c>
      <c r="M57" s="70">
        <f t="shared" si="23"/>
        <v>7.7067669172932325</v>
      </c>
      <c r="N57" s="70">
        <f t="shared" si="17"/>
        <v>3.984097633136118E-3</v>
      </c>
      <c r="O57" s="70">
        <f t="shared" si="14"/>
        <v>106.44230769230768</v>
      </c>
      <c r="P57" s="70">
        <f t="shared" si="24"/>
        <v>4.6038461538461535</v>
      </c>
      <c r="Q57" s="70">
        <f t="shared" si="25"/>
        <v>1.7707100591715976</v>
      </c>
    </row>
    <row r="58" spans="1:17">
      <c r="A58" s="70">
        <f t="shared" si="18"/>
        <v>60</v>
      </c>
      <c r="B58" s="73">
        <f t="shared" si="19"/>
        <v>27.692307692307693</v>
      </c>
      <c r="C58" s="71">
        <f t="shared" si="20"/>
        <v>0</v>
      </c>
      <c r="D58" s="228">
        <f t="shared" si="15"/>
        <v>106.15384615384613</v>
      </c>
      <c r="E58" s="69">
        <f t="shared" si="7"/>
        <v>3.2857142857142851</v>
      </c>
      <c r="F58" s="71">
        <f t="shared" si="21"/>
        <v>0.10769230769230768</v>
      </c>
      <c r="G58" s="69">
        <f t="shared" si="9"/>
        <v>3.2857142857142851</v>
      </c>
      <c r="H58" s="71">
        <f t="shared" si="22"/>
        <v>3.2857142857142851</v>
      </c>
      <c r="I58" s="72">
        <f t="shared" si="26"/>
        <v>3.6872909698996642E-5</v>
      </c>
      <c r="J58" s="79">
        <f t="shared" si="16"/>
        <v>2.3501715577564889E-3</v>
      </c>
      <c r="K58" s="221">
        <f t="shared" si="11"/>
        <v>2.350171557756489</v>
      </c>
      <c r="L58" s="167">
        <f t="shared" si="12"/>
        <v>1</v>
      </c>
      <c r="M58" s="70">
        <f t="shared" si="23"/>
        <v>7.8231292517006796</v>
      </c>
      <c r="N58" s="70">
        <f t="shared" si="17"/>
        <v>3.9142011834319501E-3</v>
      </c>
      <c r="O58" s="70">
        <f t="shared" si="14"/>
        <v>106.15384615384613</v>
      </c>
      <c r="P58" s="70">
        <f t="shared" si="24"/>
        <v>4.5230769230769221</v>
      </c>
      <c r="Q58" s="70">
        <f t="shared" si="25"/>
        <v>1.739644970414201</v>
      </c>
    </row>
    <row r="59" spans="1:17">
      <c r="A59" s="70">
        <f t="shared" si="18"/>
        <v>60</v>
      </c>
      <c r="B59" s="73">
        <f t="shared" si="19"/>
        <v>28.26923076923077</v>
      </c>
      <c r="C59" s="71">
        <f t="shared" si="20"/>
        <v>0</v>
      </c>
      <c r="D59" s="228">
        <f t="shared" si="15"/>
        <v>105.8653846153846</v>
      </c>
      <c r="E59" s="69">
        <f t="shared" si="7"/>
        <v>3.336363636363636</v>
      </c>
      <c r="F59" s="71">
        <f t="shared" si="21"/>
        <v>0.10769230769230768</v>
      </c>
      <c r="G59" s="69">
        <f t="shared" si="9"/>
        <v>3.336363636363636</v>
      </c>
      <c r="H59" s="71">
        <f t="shared" si="22"/>
        <v>3.336363636363636</v>
      </c>
      <c r="I59" s="72">
        <f t="shared" si="26"/>
        <v>3.6313141898972948E-5</v>
      </c>
      <c r="J59" s="79">
        <f t="shared" si="16"/>
        <v>2.386484699655462E-3</v>
      </c>
      <c r="K59" s="221">
        <f t="shared" si="11"/>
        <v>2.3864846996554618</v>
      </c>
      <c r="L59" s="167">
        <f t="shared" si="12"/>
        <v>1</v>
      </c>
      <c r="M59" s="70">
        <f t="shared" si="23"/>
        <v>7.9437229437229435</v>
      </c>
      <c r="N59" s="70">
        <f t="shared" si="17"/>
        <v>3.8443047337278088E-3</v>
      </c>
      <c r="O59" s="70">
        <f t="shared" si="14"/>
        <v>105.8653846153846</v>
      </c>
      <c r="P59" s="70">
        <f t="shared" si="24"/>
        <v>4.4423076923076916</v>
      </c>
      <c r="Q59" s="70">
        <f t="shared" si="25"/>
        <v>1.7085798816568045</v>
      </c>
    </row>
    <row r="60" spans="1:17">
      <c r="A60" s="70">
        <f t="shared" si="18"/>
        <v>60</v>
      </c>
      <c r="B60" s="73">
        <f t="shared" si="19"/>
        <v>28.846153846153847</v>
      </c>
      <c r="C60" s="71">
        <f t="shared" si="20"/>
        <v>0</v>
      </c>
      <c r="D60" s="228">
        <f t="shared" si="15"/>
        <v>105.57692307692307</v>
      </c>
      <c r="E60" s="69">
        <f t="shared" si="7"/>
        <v>3.3888888888888884</v>
      </c>
      <c r="F60" s="71">
        <f t="shared" si="21"/>
        <v>0.10769230769230768</v>
      </c>
      <c r="G60" s="69">
        <f t="shared" si="9"/>
        <v>3.3888888888888884</v>
      </c>
      <c r="H60" s="71">
        <f t="shared" si="22"/>
        <v>3.3888888888888884</v>
      </c>
      <c r="I60" s="72">
        <f t="shared" si="26"/>
        <v>3.5750315258511965E-5</v>
      </c>
      <c r="J60" s="79">
        <f t="shared" si="16"/>
        <v>2.4222350149139737E-3</v>
      </c>
      <c r="K60" s="221">
        <f t="shared" si="11"/>
        <v>2.4222350149139737</v>
      </c>
      <c r="L60" s="167">
        <f t="shared" si="12"/>
        <v>1</v>
      </c>
      <c r="M60" s="70">
        <f t="shared" si="23"/>
        <v>8.0687830687830697</v>
      </c>
      <c r="N60" s="70">
        <f t="shared" si="17"/>
        <v>3.7744082840236665E-3</v>
      </c>
      <c r="O60" s="70">
        <f t="shared" si="14"/>
        <v>105.57692307692307</v>
      </c>
      <c r="P60" s="70">
        <f t="shared" si="24"/>
        <v>4.3615384615384611</v>
      </c>
      <c r="Q60" s="70">
        <f t="shared" si="25"/>
        <v>1.6775147928994081</v>
      </c>
    </row>
    <row r="61" spans="1:17">
      <c r="A61" s="70">
        <f t="shared" si="18"/>
        <v>60</v>
      </c>
      <c r="B61" s="73">
        <f t="shared" si="19"/>
        <v>29.423076923076923</v>
      </c>
      <c r="C61" s="71">
        <f t="shared" si="20"/>
        <v>0</v>
      </c>
      <c r="D61" s="228">
        <f t="shared" si="15"/>
        <v>105.28846153846152</v>
      </c>
      <c r="E61" s="69">
        <f t="shared" si="7"/>
        <v>3.4433962264150937</v>
      </c>
      <c r="F61" s="71">
        <f t="shared" si="21"/>
        <v>0.10769230769230768</v>
      </c>
      <c r="G61" s="69">
        <f t="shared" si="9"/>
        <v>3.4433962264150937</v>
      </c>
      <c r="H61" s="71">
        <f t="shared" si="22"/>
        <v>3.4433962264150937</v>
      </c>
      <c r="I61" s="72">
        <f t="shared" si="26"/>
        <v>3.5184404636459424E-5</v>
      </c>
      <c r="J61" s="79">
        <f t="shared" si="16"/>
        <v>2.4574194195504332E-3</v>
      </c>
      <c r="K61" s="221">
        <f t="shared" si="11"/>
        <v>2.4574194195504333</v>
      </c>
      <c r="L61" s="167">
        <f t="shared" si="12"/>
        <v>1</v>
      </c>
      <c r="M61" s="70">
        <f t="shared" si="23"/>
        <v>8.1985624438454625</v>
      </c>
      <c r="N61" s="70">
        <f>I61*G61*(A61-B61)</f>
        <v>3.7045118343195251E-3</v>
      </c>
      <c r="O61" s="70">
        <f t="shared" si="14"/>
        <v>105.28846153846152</v>
      </c>
      <c r="P61" s="70">
        <f t="shared" si="24"/>
        <v>4.2807692307692307</v>
      </c>
      <c r="Q61" s="70">
        <f t="shared" si="25"/>
        <v>1.6464497041420116</v>
      </c>
    </row>
    <row r="62" spans="1:17">
      <c r="A62" s="70">
        <f t="shared" si="18"/>
        <v>60</v>
      </c>
      <c r="B62" s="73">
        <f t="shared" si="19"/>
        <v>30</v>
      </c>
      <c r="C62" s="71">
        <f t="shared" si="20"/>
        <v>0</v>
      </c>
      <c r="D62" s="228">
        <f t="shared" si="15"/>
        <v>104.99999999999999</v>
      </c>
      <c r="E62" s="69">
        <f t="shared" si="7"/>
        <v>3.4999999999999996</v>
      </c>
      <c r="F62" s="71">
        <f t="shared" si="21"/>
        <v>0.10769230769230768</v>
      </c>
      <c r="G62" s="69">
        <f t="shared" si="9"/>
        <v>3.4999999999999996</v>
      </c>
      <c r="H62" s="71">
        <f t="shared" si="22"/>
        <v>3.4999999999999996</v>
      </c>
      <c r="I62" s="72">
        <f t="shared" si="26"/>
        <v>3.4615384615384605E-5</v>
      </c>
      <c r="J62" s="79">
        <f t="shared" si="16"/>
        <v>2.4920348041658179E-3</v>
      </c>
      <c r="K62" s="221">
        <f t="shared" si="11"/>
        <v>2.4920348041658178</v>
      </c>
      <c r="L62" s="167">
        <f t="shared" si="12"/>
        <v>1</v>
      </c>
      <c r="M62" s="70">
        <f t="shared" si="23"/>
        <v>8.3333333333333339</v>
      </c>
      <c r="N62" s="70">
        <f t="shared" si="17"/>
        <v>3.6346153846153828E-3</v>
      </c>
      <c r="O62" s="70">
        <f t="shared" si="14"/>
        <v>104.99999999999999</v>
      </c>
      <c r="P62" s="70">
        <f t="shared" si="24"/>
        <v>4.1999999999999993</v>
      </c>
      <c r="Q62" s="70">
        <f t="shared" si="25"/>
        <v>1.6153846153846152</v>
      </c>
    </row>
    <row r="63" spans="1:17">
      <c r="A63" s="70">
        <f t="shared" si="18"/>
        <v>60</v>
      </c>
      <c r="B63" s="73">
        <f t="shared" si="19"/>
        <v>30.576923076923073</v>
      </c>
      <c r="C63" s="71">
        <f t="shared" si="20"/>
        <v>0</v>
      </c>
      <c r="D63" s="228">
        <f t="shared" si="15"/>
        <v>104.71153846153845</v>
      </c>
      <c r="E63" s="69">
        <f t="shared" si="7"/>
        <v>3.5588235294117641</v>
      </c>
      <c r="F63" s="71">
        <f t="shared" si="21"/>
        <v>0.10769230769230768</v>
      </c>
      <c r="G63" s="69">
        <f t="shared" si="9"/>
        <v>3.5588235294117641</v>
      </c>
      <c r="H63" s="71">
        <f t="shared" si="22"/>
        <v>3.5588235294117641</v>
      </c>
      <c r="I63" s="72">
        <f t="shared" si="26"/>
        <v>3.4043229497774733E-5</v>
      </c>
      <c r="J63" s="79">
        <f t="shared" si="16"/>
        <v>2.5260780336635925E-3</v>
      </c>
      <c r="K63" s="221">
        <f t="shared" si="11"/>
        <v>2.5260780336635924</v>
      </c>
      <c r="L63" s="167">
        <f t="shared" si="12"/>
        <v>1</v>
      </c>
      <c r="M63" s="70">
        <f t="shared" si="23"/>
        <v>8.473389355742297</v>
      </c>
      <c r="N63" s="70">
        <f t="shared" si="17"/>
        <v>3.5647189349112193E-3</v>
      </c>
      <c r="O63" s="70">
        <f t="shared" si="14"/>
        <v>104.71153846153845</v>
      </c>
      <c r="P63" s="70">
        <f t="shared" si="24"/>
        <v>4.1192307692307697</v>
      </c>
      <c r="Q63" s="70">
        <f t="shared" si="25"/>
        <v>1.584319526627219</v>
      </c>
    </row>
    <row r="64" spans="1:17">
      <c r="A64" s="70">
        <f t="shared" si="18"/>
        <v>60</v>
      </c>
      <c r="B64" s="73">
        <f t="shared" si="19"/>
        <v>31.153846153846157</v>
      </c>
      <c r="C64" s="71">
        <f t="shared" si="20"/>
        <v>0</v>
      </c>
      <c r="D64" s="228">
        <f t="shared" si="15"/>
        <v>104.42307692307691</v>
      </c>
      <c r="E64" s="69">
        <f t="shared" si="7"/>
        <v>3.6199999999999997</v>
      </c>
      <c r="F64" s="71">
        <f t="shared" si="21"/>
        <v>0.10769230769230768</v>
      </c>
      <c r="G64" s="69">
        <f t="shared" si="9"/>
        <v>3.6199999999999997</v>
      </c>
      <c r="H64" s="71">
        <f t="shared" si="22"/>
        <v>3.6199999999999997</v>
      </c>
      <c r="I64" s="72">
        <f t="shared" si="26"/>
        <v>3.3467913302167844E-5</v>
      </c>
      <c r="J64" s="79">
        <f t="shared" si="16"/>
        <v>2.5595459469657605E-3</v>
      </c>
      <c r="K64" s="221">
        <f t="shared" si="11"/>
        <v>2.5595459469657604</v>
      </c>
      <c r="L64" s="167">
        <f t="shared" si="12"/>
        <v>1</v>
      </c>
      <c r="M64" s="70">
        <f t="shared" si="23"/>
        <v>8.6190476190476186</v>
      </c>
      <c r="N64" s="70">
        <f t="shared" si="17"/>
        <v>3.4948224852071417E-3</v>
      </c>
      <c r="O64" s="70">
        <f t="shared" si="14"/>
        <v>104.42307692307691</v>
      </c>
      <c r="P64" s="70">
        <f t="shared" si="24"/>
        <v>4.0384615384615374</v>
      </c>
      <c r="Q64" s="70">
        <f t="shared" si="25"/>
        <v>1.5532544378698223</v>
      </c>
    </row>
    <row r="65" spans="1:17">
      <c r="A65" s="70">
        <f t="shared" si="18"/>
        <v>60</v>
      </c>
      <c r="B65" s="73">
        <f t="shared" si="19"/>
        <v>31.73076923076923</v>
      </c>
      <c r="C65" s="71">
        <f t="shared" si="20"/>
        <v>0</v>
      </c>
      <c r="D65" s="228">
        <f t="shared" si="15"/>
        <v>104.13461538461537</v>
      </c>
      <c r="E65" s="69">
        <f t="shared" si="7"/>
        <v>3.6836734693877546</v>
      </c>
      <c r="F65" s="71">
        <f t="shared" si="21"/>
        <v>0.10769230769230768</v>
      </c>
      <c r="G65" s="69">
        <f t="shared" si="9"/>
        <v>3.6836734693877546</v>
      </c>
      <c r="H65" s="71">
        <f t="shared" si="22"/>
        <v>3.6836734693877546</v>
      </c>
      <c r="I65" s="72">
        <f t="shared" si="26"/>
        <v>3.2889409759215643E-5</v>
      </c>
      <c r="J65" s="79">
        <f t="shared" si="16"/>
        <v>2.5924353567249761E-3</v>
      </c>
      <c r="K65" s="221">
        <f t="shared" si="11"/>
        <v>2.5924353567249763</v>
      </c>
      <c r="L65" s="167">
        <f t="shared" si="12"/>
        <v>1</v>
      </c>
      <c r="M65" s="70">
        <f t="shared" si="23"/>
        <v>8.7706511175898942</v>
      </c>
      <c r="N65" s="70">
        <f t="shared" si="17"/>
        <v>3.4249260355029365E-3</v>
      </c>
      <c r="O65" s="70">
        <f t="shared" si="14"/>
        <v>104.13461538461537</v>
      </c>
      <c r="P65" s="70">
        <f t="shared" si="24"/>
        <v>3.9576923076923074</v>
      </c>
      <c r="Q65" s="70">
        <f t="shared" si="25"/>
        <v>1.5221893491124259</v>
      </c>
    </row>
    <row r="66" spans="1:17">
      <c r="A66" s="70">
        <f t="shared" si="18"/>
        <v>60</v>
      </c>
      <c r="B66" s="73">
        <f t="shared" si="19"/>
        <v>32.307692307692307</v>
      </c>
      <c r="C66" s="71">
        <f t="shared" si="20"/>
        <v>0</v>
      </c>
      <c r="D66" s="228">
        <f t="shared" si="15"/>
        <v>103.84615384615384</v>
      </c>
      <c r="E66" s="69">
        <f t="shared" si="7"/>
        <v>3.7499999999999996</v>
      </c>
      <c r="F66" s="71">
        <f t="shared" si="21"/>
        <v>0.10769230769230768</v>
      </c>
      <c r="G66" s="69">
        <f t="shared" si="9"/>
        <v>3.7499999999999996</v>
      </c>
      <c r="H66" s="71">
        <f t="shared" si="22"/>
        <v>3.7499999999999996</v>
      </c>
      <c r="I66" s="72">
        <f t="shared" si="26"/>
        <v>3.2307692307692294E-5</v>
      </c>
      <c r="J66" s="79">
        <f t="shared" si="16"/>
        <v>2.6247430490326682E-3</v>
      </c>
      <c r="K66" s="221">
        <f t="shared" si="11"/>
        <v>2.6247430490326682</v>
      </c>
      <c r="L66" s="167">
        <f t="shared" si="12"/>
        <v>1</v>
      </c>
      <c r="M66" s="70">
        <f t="shared" si="23"/>
        <v>8.9285714285714288</v>
      </c>
      <c r="N66" s="70">
        <f t="shared" si="17"/>
        <v>3.3550295857988147E-3</v>
      </c>
      <c r="O66" s="70">
        <f t="shared" si="14"/>
        <v>103.84615384615384</v>
      </c>
      <c r="P66" s="70">
        <f t="shared" si="24"/>
        <v>3.8769230769230765</v>
      </c>
      <c r="Q66" s="70">
        <f t="shared" si="25"/>
        <v>1.4911242603550294</v>
      </c>
    </row>
    <row r="67" spans="1:17">
      <c r="A67" s="70">
        <f t="shared" si="18"/>
        <v>60</v>
      </c>
      <c r="B67" s="73">
        <f t="shared" si="19"/>
        <v>32.884615384615387</v>
      </c>
      <c r="C67" s="71">
        <f t="shared" si="20"/>
        <v>0</v>
      </c>
      <c r="D67" s="228">
        <f t="shared" si="15"/>
        <v>103.55769230769229</v>
      </c>
      <c r="E67" s="69">
        <f t="shared" si="7"/>
        <v>3.8191489361702127</v>
      </c>
      <c r="F67" s="71">
        <f t="shared" si="21"/>
        <v>0.10769230769230768</v>
      </c>
      <c r="G67" s="69">
        <f t="shared" si="9"/>
        <v>3.8191489361702127</v>
      </c>
      <c r="H67" s="71">
        <f t="shared" si="22"/>
        <v>3.8191489361702127</v>
      </c>
      <c r="I67" s="72">
        <f t="shared" si="26"/>
        <v>3.1722734090422292E-5</v>
      </c>
      <c r="J67" s="79">
        <f t="shared" si="16"/>
        <v>2.6564657831230905E-3</v>
      </c>
      <c r="K67" s="221">
        <f t="shared" si="11"/>
        <v>2.6564657831230907</v>
      </c>
      <c r="L67" s="167">
        <f t="shared" si="12"/>
        <v>1</v>
      </c>
      <c r="M67" s="70">
        <f t="shared" si="23"/>
        <v>9.0932117527862211</v>
      </c>
      <c r="N67" s="70">
        <f t="shared" si="17"/>
        <v>3.2851331360946928E-3</v>
      </c>
      <c r="O67" s="70">
        <f t="shared" si="14"/>
        <v>103.55769230769229</v>
      </c>
      <c r="P67" s="70">
        <f t="shared" si="24"/>
        <v>3.7961538461538455</v>
      </c>
      <c r="Q67" s="70">
        <f t="shared" si="25"/>
        <v>1.460059171597633</v>
      </c>
    </row>
    <row r="68" spans="1:17">
      <c r="A68" s="70">
        <f t="shared" si="18"/>
        <v>60</v>
      </c>
      <c r="B68" s="73">
        <f t="shared" si="19"/>
        <v>33.46153846153846</v>
      </c>
      <c r="C68" s="71">
        <f t="shared" si="20"/>
        <v>0</v>
      </c>
      <c r="D68" s="228">
        <f t="shared" si="15"/>
        <v>103.26923076923076</v>
      </c>
      <c r="E68" s="69">
        <f t="shared" si="7"/>
        <v>3.8913043478260865</v>
      </c>
      <c r="F68" s="71">
        <f t="shared" si="21"/>
        <v>0.10769230769230768</v>
      </c>
      <c r="G68" s="69">
        <f t="shared" si="9"/>
        <v>3.8913043478260865</v>
      </c>
      <c r="H68" s="71">
        <f t="shared" si="22"/>
        <v>3.8913043478260865</v>
      </c>
      <c r="I68" s="72">
        <f t="shared" si="26"/>
        <v>3.1134507950150207E-5</v>
      </c>
      <c r="J68" s="79">
        <f t="shared" si="16"/>
        <v>2.6876002910732407E-3</v>
      </c>
      <c r="K68" s="221">
        <f t="shared" si="11"/>
        <v>2.6876002910732408</v>
      </c>
      <c r="L68" s="167">
        <f t="shared" si="12"/>
        <v>1</v>
      </c>
      <c r="M68" s="70">
        <f t="shared" si="23"/>
        <v>9.2650103519668736</v>
      </c>
      <c r="N68" s="70">
        <f t="shared" si="17"/>
        <v>3.2152366863905115E-3</v>
      </c>
      <c r="O68" s="70">
        <f t="shared" si="14"/>
        <v>103.26923076923076</v>
      </c>
      <c r="P68" s="70">
        <f t="shared" si="24"/>
        <v>3.7153846153846151</v>
      </c>
      <c r="Q68" s="70">
        <f t="shared" si="25"/>
        <v>1.4289940828402368</v>
      </c>
    </row>
    <row r="69" spans="1:17">
      <c r="A69" s="70">
        <f t="shared" si="18"/>
        <v>60</v>
      </c>
      <c r="B69" s="73">
        <f t="shared" si="19"/>
        <v>34.03846153846154</v>
      </c>
      <c r="C69" s="71">
        <f t="shared" si="20"/>
        <v>0</v>
      </c>
      <c r="D69" s="228">
        <f t="shared" si="15"/>
        <v>102.98076923076921</v>
      </c>
      <c r="E69" s="69">
        <f t="shared" si="7"/>
        <v>3.9666666666666663</v>
      </c>
      <c r="F69" s="71">
        <f t="shared" si="21"/>
        <v>0.10769230769230768</v>
      </c>
      <c r="G69" s="69">
        <f t="shared" si="9"/>
        <v>3.9666666666666663</v>
      </c>
      <c r="H69" s="71">
        <f t="shared" si="22"/>
        <v>3.9666666666666663</v>
      </c>
      <c r="I69" s="72">
        <f t="shared" si="26"/>
        <v>3.0542986425339543E-5</v>
      </c>
      <c r="J69" s="79">
        <f t="shared" si="16"/>
        <v>2.7181432774985802E-3</v>
      </c>
      <c r="K69" s="221">
        <f t="shared" si="11"/>
        <v>2.7181432774985801</v>
      </c>
      <c r="L69" s="167">
        <f t="shared" si="12"/>
        <v>1</v>
      </c>
      <c r="M69" s="70">
        <f t="shared" si="23"/>
        <v>9.4444444444444446</v>
      </c>
      <c r="N69" s="70">
        <f t="shared" si="17"/>
        <v>3.1453402366864083E-3</v>
      </c>
      <c r="O69" s="70">
        <f t="shared" si="14"/>
        <v>102.98076923076921</v>
      </c>
      <c r="P69" s="70">
        <f t="shared" si="24"/>
        <v>3.6346153846153841</v>
      </c>
      <c r="Q69" s="70">
        <f t="shared" si="25"/>
        <v>1.3979289940828401</v>
      </c>
    </row>
    <row r="70" spans="1:17">
      <c r="A70" s="70">
        <f t="shared" si="18"/>
        <v>60</v>
      </c>
      <c r="B70" s="73">
        <f t="shared" si="19"/>
        <v>34.615384615384613</v>
      </c>
      <c r="C70" s="71">
        <f t="shared" si="20"/>
        <v>0</v>
      </c>
      <c r="D70" s="228">
        <f t="shared" si="15"/>
        <v>102.69230769230768</v>
      </c>
      <c r="E70" s="69">
        <f t="shared" si="7"/>
        <v>4.045454545454545</v>
      </c>
      <c r="F70" s="71">
        <f t="shared" si="21"/>
        <v>0.10769230769230768</v>
      </c>
      <c r="G70" s="69">
        <f t="shared" si="9"/>
        <v>4.045454545454545</v>
      </c>
      <c r="H70" s="71">
        <f t="shared" si="22"/>
        <v>4.045454545454545</v>
      </c>
      <c r="I70" s="72">
        <f t="shared" si="26"/>
        <v>2.9948141745894362E-5</v>
      </c>
      <c r="J70" s="79">
        <f t="shared" si="16"/>
        <v>2.7480914192444745E-3</v>
      </c>
      <c r="K70" s="221">
        <f t="shared" si="11"/>
        <v>2.7480914192444743</v>
      </c>
      <c r="L70" s="167">
        <f t="shared" si="12"/>
        <v>1</v>
      </c>
      <c r="M70" s="70">
        <f t="shared" si="23"/>
        <v>9.6320346320346317</v>
      </c>
      <c r="N70" s="70">
        <f t="shared" si="17"/>
        <v>3.0754437869822283E-3</v>
      </c>
      <c r="O70" s="70">
        <f t="shared" si="14"/>
        <v>102.69230769230769</v>
      </c>
      <c r="P70" s="70">
        <f t="shared" si="24"/>
        <v>3.5538461538461537</v>
      </c>
      <c r="Q70" s="70">
        <f t="shared" si="25"/>
        <v>1.3668639053254439</v>
      </c>
    </row>
    <row r="71" spans="1:17">
      <c r="A71" s="70">
        <f t="shared" si="18"/>
        <v>60</v>
      </c>
      <c r="B71" s="73">
        <f t="shared" si="19"/>
        <v>35.192307692307693</v>
      </c>
      <c r="C71" s="71">
        <f t="shared" si="20"/>
        <v>0</v>
      </c>
      <c r="D71" s="228">
        <f t="shared" si="15"/>
        <v>102.40384615384613</v>
      </c>
      <c r="E71" s="69">
        <f t="shared" si="7"/>
        <v>4.1279069767441854</v>
      </c>
      <c r="F71" s="71">
        <f t="shared" si="21"/>
        <v>0.10769230769230768</v>
      </c>
      <c r="G71" s="69">
        <f t="shared" si="9"/>
        <v>4.1279069767441854</v>
      </c>
      <c r="H71" s="71">
        <f t="shared" si="22"/>
        <v>4.1279069767441854</v>
      </c>
      <c r="I71" s="72">
        <f t="shared" si="26"/>
        <v>2.934994582881924E-5</v>
      </c>
      <c r="J71" s="79">
        <f t="shared" si="16"/>
        <v>2.7774413650732935E-3</v>
      </c>
      <c r="K71" s="221">
        <f t="shared" si="11"/>
        <v>2.7774413650732934</v>
      </c>
      <c r="L71" s="167">
        <f t="shared" si="12"/>
        <v>1</v>
      </c>
      <c r="M71" s="70">
        <f t="shared" si="23"/>
        <v>9.8283499446290143</v>
      </c>
      <c r="N71" s="70">
        <f t="shared" si="17"/>
        <v>3.0055473372781233E-3</v>
      </c>
      <c r="O71" s="70">
        <f t="shared" si="14"/>
        <v>102.40384615384613</v>
      </c>
      <c r="P71" s="70">
        <f t="shared" si="24"/>
        <v>3.4730769230769227</v>
      </c>
      <c r="Q71" s="70">
        <f t="shared" si="25"/>
        <v>1.3357988165680472</v>
      </c>
    </row>
    <row r="72" spans="1:17">
      <c r="A72" s="70">
        <f t="shared" si="18"/>
        <v>60</v>
      </c>
      <c r="B72" s="73">
        <f t="shared" si="19"/>
        <v>35.769230769230766</v>
      </c>
      <c r="C72" s="71">
        <f t="shared" si="20"/>
        <v>0</v>
      </c>
      <c r="D72" s="228">
        <f t="shared" si="15"/>
        <v>102.1153846153846</v>
      </c>
      <c r="E72" s="69">
        <f t="shared" si="7"/>
        <v>4.2142857142857135</v>
      </c>
      <c r="F72" s="71">
        <f t="shared" si="21"/>
        <v>0.10769230769230768</v>
      </c>
      <c r="G72" s="69">
        <f t="shared" si="9"/>
        <v>4.2142857142857135</v>
      </c>
      <c r="H72" s="71">
        <f t="shared" si="22"/>
        <v>4.2142857142857135</v>
      </c>
      <c r="I72" s="72">
        <f t="shared" si="26"/>
        <v>2.8748370273793817E-5</v>
      </c>
      <c r="J72" s="79">
        <f t="shared" si="16"/>
        <v>2.8061897353470872E-3</v>
      </c>
      <c r="K72" s="221">
        <f t="shared" si="11"/>
        <v>2.806189735347087</v>
      </c>
      <c r="L72" s="167">
        <f t="shared" si="12"/>
        <v>1</v>
      </c>
      <c r="M72" s="70">
        <f t="shared" si="23"/>
        <v>10.034013605442174</v>
      </c>
      <c r="N72" s="70">
        <f t="shared" si="17"/>
        <v>2.9356508875739455E-3</v>
      </c>
      <c r="O72" s="70">
        <f t="shared" si="14"/>
        <v>102.11538461538461</v>
      </c>
      <c r="P72" s="70">
        <f t="shared" si="24"/>
        <v>3.3923076923076922</v>
      </c>
      <c r="Q72" s="70">
        <f t="shared" si="25"/>
        <v>1.304733727810651</v>
      </c>
    </row>
    <row r="73" spans="1:17">
      <c r="A73" s="70">
        <f t="shared" si="18"/>
        <v>60</v>
      </c>
      <c r="B73" s="73">
        <f t="shared" si="19"/>
        <v>36.346153846153847</v>
      </c>
      <c r="C73" s="71">
        <f t="shared" si="20"/>
        <v>0</v>
      </c>
      <c r="D73" s="228">
        <f t="shared" si="15"/>
        <v>101.82692307692307</v>
      </c>
      <c r="E73" s="69">
        <f t="shared" si="7"/>
        <v>4.3048780487804876</v>
      </c>
      <c r="F73" s="71">
        <f t="shared" si="21"/>
        <v>0.10769230769230768</v>
      </c>
      <c r="G73" s="69">
        <f t="shared" si="9"/>
        <v>4.3048780487804876</v>
      </c>
      <c r="H73" s="71">
        <f t="shared" si="22"/>
        <v>4.3048780487804876</v>
      </c>
      <c r="I73" s="72">
        <f t="shared" si="26"/>
        <v>2.8143386358683969E-5</v>
      </c>
      <c r="J73" s="79">
        <f t="shared" si="16"/>
        <v>2.834333121705771E-3</v>
      </c>
      <c r="K73" s="221">
        <f t="shared" si="11"/>
        <v>2.8343331217057708</v>
      </c>
      <c r="L73" s="167">
        <f t="shared" si="12"/>
        <v>1</v>
      </c>
      <c r="M73" s="70">
        <f t="shared" si="23"/>
        <v>10.249709639953542</v>
      </c>
      <c r="N73" s="70">
        <f t="shared" si="17"/>
        <v>2.8657544378698388E-3</v>
      </c>
      <c r="O73" s="70">
        <f t="shared" si="14"/>
        <v>101.82692307692307</v>
      </c>
      <c r="P73" s="70">
        <f t="shared" si="24"/>
        <v>3.3115384615384613</v>
      </c>
      <c r="Q73" s="70">
        <f t="shared" si="25"/>
        <v>1.2736686390532543</v>
      </c>
    </row>
    <row r="74" spans="1:17">
      <c r="A74" s="70">
        <f t="shared" ref="A74:A105" si="27">VINMAX</f>
        <v>60</v>
      </c>
      <c r="B74" s="73">
        <f t="shared" ref="B74:B105" si="28">VINMAX*((ROW()-10)/104)</f>
        <v>36.923076923076927</v>
      </c>
      <c r="C74" s="71">
        <f t="shared" ref="C74:C105" si="29">IF(B74&gt;=$H$2,IF($D$2="CC", $G$2, B74/$G$2), 0)</f>
        <v>0</v>
      </c>
      <c r="D74" s="228">
        <f t="shared" si="15"/>
        <v>101.53846153846152</v>
      </c>
      <c r="E74" s="69">
        <f t="shared" si="7"/>
        <v>4.3999999999999995</v>
      </c>
      <c r="F74" s="71">
        <f t="shared" ref="F74:F105" si="30">I_Cout_ss+C74</f>
        <v>0.10769230769230768</v>
      </c>
      <c r="G74" s="69">
        <f t="shared" si="9"/>
        <v>4.3999999999999995</v>
      </c>
      <c r="H74" s="71">
        <f t="shared" ref="H74:H105" si="31">G74-C74</f>
        <v>4.3999999999999995</v>
      </c>
      <c r="I74" s="72">
        <f t="shared" si="26"/>
        <v>2.7534965034965196E-5</v>
      </c>
      <c r="J74" s="79">
        <f t="shared" si="16"/>
        <v>2.8618680867407362E-3</v>
      </c>
      <c r="K74" s="221">
        <f t="shared" si="11"/>
        <v>2.8618680867407362</v>
      </c>
      <c r="L74" s="167">
        <f t="shared" si="12"/>
        <v>1</v>
      </c>
      <c r="M74" s="70">
        <f t="shared" ref="M74:M105" si="32">1/COUTMAX*(E74/2-C74)*1000</f>
        <v>10.476190476190476</v>
      </c>
      <c r="N74" s="70">
        <f t="shared" si="17"/>
        <v>2.7958579881656961E-3</v>
      </c>
      <c r="O74" s="70">
        <f t="shared" si="14"/>
        <v>101.5384615384615</v>
      </c>
      <c r="P74" s="70">
        <f t="shared" ref="P74:P105" si="33">(A74-B74)*(I_Cout_ss*$Q$2+C74)</f>
        <v>3.2307692307692299</v>
      </c>
      <c r="Q74" s="70">
        <f t="shared" ref="Q74:Q105" si="34">(A74-B74)*(I_Cout_ss*$R$2+C74)</f>
        <v>1.2426035502958577</v>
      </c>
    </row>
    <row r="75" spans="1:17">
      <c r="A75" s="70">
        <f t="shared" si="27"/>
        <v>60</v>
      </c>
      <c r="B75" s="73">
        <f t="shared" si="28"/>
        <v>37.5</v>
      </c>
      <c r="C75" s="71">
        <f t="shared" si="29"/>
        <v>0</v>
      </c>
      <c r="D75" s="228">
        <f t="shared" si="15"/>
        <v>101.24999999999999</v>
      </c>
      <c r="E75" s="69">
        <f t="shared" ref="E75:E110" si="35">MIN(D75/(A75-B75),$C$2)</f>
        <v>4.4999999999999991</v>
      </c>
      <c r="F75" s="71">
        <f t="shared" si="30"/>
        <v>0.10769230769230768</v>
      </c>
      <c r="G75" s="69">
        <f t="shared" ref="G75:G110" si="36">IF($F$2="YES", F75, E75)</f>
        <v>4.4999999999999991</v>
      </c>
      <c r="H75" s="71">
        <f t="shared" si="31"/>
        <v>4.4999999999999991</v>
      </c>
      <c r="I75" s="72">
        <f t="shared" ref="I75:I106" si="37">(COUTMAX/1000000)*(B75-B74)/H75</f>
        <v>2.6923076923076751E-5</v>
      </c>
      <c r="J75" s="79">
        <f t="shared" si="16"/>
        <v>2.8887911636638129E-3</v>
      </c>
      <c r="K75" s="221">
        <f t="shared" ref="K75:K114" si="38">J75*1000</f>
        <v>2.8887911636638131</v>
      </c>
      <c r="L75" s="167">
        <f t="shared" ref="L75:L110" si="39">H75/G75</f>
        <v>1</v>
      </c>
      <c r="M75" s="70">
        <f t="shared" si="32"/>
        <v>10.714285714285714</v>
      </c>
      <c r="N75" s="70">
        <f t="shared" ref="N75:N110" si="40">I75*G75*(A75-B75)</f>
        <v>2.7259615384615204E-3</v>
      </c>
      <c r="O75" s="70">
        <f t="shared" ref="O75:O114" si="41">G75*(A75-B75)</f>
        <v>101.24999999999999</v>
      </c>
      <c r="P75" s="70">
        <f t="shared" si="33"/>
        <v>3.1499999999999995</v>
      </c>
      <c r="Q75" s="70">
        <f t="shared" si="34"/>
        <v>1.2115384615384615</v>
      </c>
    </row>
    <row r="76" spans="1:17">
      <c r="A76" s="70">
        <f t="shared" si="27"/>
        <v>60</v>
      </c>
      <c r="B76" s="73">
        <f t="shared" si="28"/>
        <v>38.076923076923073</v>
      </c>
      <c r="C76" s="71">
        <f t="shared" si="29"/>
        <v>0</v>
      </c>
      <c r="D76" s="228">
        <f t="shared" ref="D76:D114" si="42">$B$2-(B76*1.5/$I$2)</f>
        <v>100.96153846153845</v>
      </c>
      <c r="E76" s="69">
        <f t="shared" si="35"/>
        <v>4.6052631578947354</v>
      </c>
      <c r="F76" s="71">
        <f t="shared" si="30"/>
        <v>0.10769230769230768</v>
      </c>
      <c r="G76" s="69">
        <f t="shared" si="36"/>
        <v>4.6052631578947354</v>
      </c>
      <c r="H76" s="71">
        <f t="shared" si="31"/>
        <v>4.6052631578947354</v>
      </c>
      <c r="I76" s="72">
        <f t="shared" si="37"/>
        <v>2.6307692307692142E-5</v>
      </c>
      <c r="J76" s="79">
        <f t="shared" ref="J76:J110" si="43">J75+I76</f>
        <v>2.9150988559715051E-3</v>
      </c>
      <c r="K76" s="221">
        <f t="shared" si="38"/>
        <v>2.9150988559715052</v>
      </c>
      <c r="L76" s="167">
        <f t="shared" si="39"/>
        <v>1</v>
      </c>
      <c r="M76" s="70">
        <f t="shared" si="32"/>
        <v>10.964912280701752</v>
      </c>
      <c r="N76" s="70">
        <f t="shared" si="40"/>
        <v>2.6560650887573795E-3</v>
      </c>
      <c r="O76" s="70">
        <f t="shared" si="41"/>
        <v>100.96153846153845</v>
      </c>
      <c r="P76" s="70">
        <f t="shared" si="33"/>
        <v>3.0692307692307694</v>
      </c>
      <c r="Q76" s="70">
        <f t="shared" si="34"/>
        <v>1.1804733727810652</v>
      </c>
    </row>
    <row r="77" spans="1:17">
      <c r="A77" s="70">
        <f t="shared" si="27"/>
        <v>60</v>
      </c>
      <c r="B77" s="73">
        <f t="shared" si="28"/>
        <v>38.653846153846153</v>
      </c>
      <c r="C77" s="71">
        <f t="shared" si="29"/>
        <v>0</v>
      </c>
      <c r="D77" s="228">
        <f t="shared" si="42"/>
        <v>100.67307692307691</v>
      </c>
      <c r="E77" s="69">
        <f t="shared" si="35"/>
        <v>4.7162162162162149</v>
      </c>
      <c r="F77" s="71">
        <f t="shared" si="30"/>
        <v>0.10769230769230768</v>
      </c>
      <c r="G77" s="69">
        <f t="shared" si="36"/>
        <v>4.7162162162162149</v>
      </c>
      <c r="H77" s="71">
        <f t="shared" si="31"/>
        <v>4.7162162162162149</v>
      </c>
      <c r="I77" s="72">
        <f t="shared" si="37"/>
        <v>2.5688781132907362E-5</v>
      </c>
      <c r="J77" s="79">
        <f t="shared" si="43"/>
        <v>2.9407876371044125E-3</v>
      </c>
      <c r="K77" s="221">
        <f t="shared" si="38"/>
        <v>2.9407876371044126</v>
      </c>
      <c r="L77" s="167">
        <f t="shared" si="39"/>
        <v>1</v>
      </c>
      <c r="M77" s="70">
        <f t="shared" si="32"/>
        <v>11.229086229086226</v>
      </c>
      <c r="N77" s="70">
        <f t="shared" si="40"/>
        <v>2.5861686390532693E-3</v>
      </c>
      <c r="O77" s="70">
        <f t="shared" si="41"/>
        <v>100.67307692307689</v>
      </c>
      <c r="P77" s="70">
        <f t="shared" si="33"/>
        <v>2.9884615384615381</v>
      </c>
      <c r="Q77" s="70">
        <f t="shared" si="34"/>
        <v>1.1494082840236686</v>
      </c>
    </row>
    <row r="78" spans="1:17">
      <c r="A78" s="70">
        <f t="shared" si="27"/>
        <v>60</v>
      </c>
      <c r="B78" s="73">
        <f t="shared" si="28"/>
        <v>39.230769230769234</v>
      </c>
      <c r="C78" s="71">
        <f t="shared" si="29"/>
        <v>0</v>
      </c>
      <c r="D78" s="228">
        <f t="shared" si="42"/>
        <v>100.38461538461537</v>
      </c>
      <c r="E78" s="69">
        <f t="shared" si="35"/>
        <v>4.833333333333333</v>
      </c>
      <c r="F78" s="71">
        <f t="shared" si="30"/>
        <v>0.10769230769230768</v>
      </c>
      <c r="G78" s="69">
        <f t="shared" si="36"/>
        <v>4.833333333333333</v>
      </c>
      <c r="H78" s="71">
        <f t="shared" si="31"/>
        <v>4.833333333333333</v>
      </c>
      <c r="I78" s="72">
        <f t="shared" si="37"/>
        <v>2.5066312997347625E-5</v>
      </c>
      <c r="J78" s="79">
        <f t="shared" si="43"/>
        <v>2.9658539501017599E-3</v>
      </c>
      <c r="K78" s="221">
        <f t="shared" si="38"/>
        <v>2.96585395010176</v>
      </c>
      <c r="L78" s="167">
        <f t="shared" si="39"/>
        <v>1</v>
      </c>
      <c r="M78" s="70">
        <f t="shared" si="32"/>
        <v>11.507936507936508</v>
      </c>
      <c r="N78" s="70">
        <f t="shared" si="40"/>
        <v>2.5162721893491266E-3</v>
      </c>
      <c r="O78" s="70">
        <f t="shared" si="41"/>
        <v>100.38461538461536</v>
      </c>
      <c r="P78" s="70">
        <f t="shared" si="33"/>
        <v>2.9076923076923071</v>
      </c>
      <c r="Q78" s="70">
        <f t="shared" si="34"/>
        <v>1.1183431952662719</v>
      </c>
    </row>
    <row r="79" spans="1:17">
      <c r="A79" s="70">
        <f t="shared" si="27"/>
        <v>60</v>
      </c>
      <c r="B79" s="73">
        <f t="shared" si="28"/>
        <v>39.807692307692307</v>
      </c>
      <c r="C79" s="71">
        <f t="shared" si="29"/>
        <v>0</v>
      </c>
      <c r="D79" s="228">
        <f t="shared" si="42"/>
        <v>100.09615384615384</v>
      </c>
      <c r="E79" s="69">
        <f t="shared" si="35"/>
        <v>4.9571428571428564</v>
      </c>
      <c r="F79" s="71">
        <f t="shared" si="30"/>
        <v>0.10769230769230768</v>
      </c>
      <c r="G79" s="69">
        <f t="shared" si="36"/>
        <v>4.9571428571428564</v>
      </c>
      <c r="H79" s="71">
        <f t="shared" si="31"/>
        <v>4.9571428571428564</v>
      </c>
      <c r="I79" s="72">
        <f t="shared" si="37"/>
        <v>2.4440257149190708E-5</v>
      </c>
      <c r="J79" s="79">
        <f t="shared" si="43"/>
        <v>2.9902942072509505E-3</v>
      </c>
      <c r="K79" s="221">
        <f t="shared" si="38"/>
        <v>2.9902942072509506</v>
      </c>
      <c r="L79" s="167">
        <f t="shared" si="39"/>
        <v>1</v>
      </c>
      <c r="M79" s="70">
        <f t="shared" si="32"/>
        <v>11.802721088435375</v>
      </c>
      <c r="N79" s="70">
        <f t="shared" si="40"/>
        <v>2.4463757396449544E-3</v>
      </c>
      <c r="O79" s="70">
        <f t="shared" si="41"/>
        <v>100.09615384615384</v>
      </c>
      <c r="P79" s="70">
        <f t="shared" si="33"/>
        <v>2.8269230769230766</v>
      </c>
      <c r="Q79" s="70">
        <f t="shared" si="34"/>
        <v>1.0872781065088757</v>
      </c>
    </row>
    <row r="80" spans="1:17">
      <c r="A80" s="70">
        <f t="shared" si="27"/>
        <v>60</v>
      </c>
      <c r="B80" s="73">
        <f t="shared" si="28"/>
        <v>40.384615384615387</v>
      </c>
      <c r="C80" s="71">
        <f t="shared" si="29"/>
        <v>0</v>
      </c>
      <c r="D80" s="228">
        <f t="shared" si="42"/>
        <v>99.807692307692292</v>
      </c>
      <c r="E80" s="69">
        <f t="shared" si="35"/>
        <v>5.0882352941176467</v>
      </c>
      <c r="F80" s="71">
        <f t="shared" si="30"/>
        <v>0.10769230769230768</v>
      </c>
      <c r="G80" s="69">
        <f t="shared" si="36"/>
        <v>5.0882352941176467</v>
      </c>
      <c r="H80" s="71">
        <f t="shared" si="31"/>
        <v>5.0882352941176467</v>
      </c>
      <c r="I80" s="72">
        <f t="shared" si="37"/>
        <v>2.3810582481102848E-5</v>
      </c>
      <c r="J80" s="79">
        <f t="shared" si="43"/>
        <v>3.0141047897320533E-3</v>
      </c>
      <c r="K80" s="221">
        <f t="shared" si="38"/>
        <v>3.0141047897320532</v>
      </c>
      <c r="L80" s="167">
        <f t="shared" si="39"/>
        <v>1</v>
      </c>
      <c r="M80" s="70">
        <f t="shared" si="32"/>
        <v>12.11484593837535</v>
      </c>
      <c r="N80" s="70">
        <f t="shared" si="40"/>
        <v>2.3764792899408417E-3</v>
      </c>
      <c r="O80" s="70">
        <f t="shared" si="41"/>
        <v>99.807692307692292</v>
      </c>
      <c r="P80" s="70">
        <f t="shared" si="33"/>
        <v>2.7461538461538457</v>
      </c>
      <c r="Q80" s="70">
        <f t="shared" si="34"/>
        <v>1.056213017751479</v>
      </c>
    </row>
    <row r="81" spans="1:17">
      <c r="A81" s="70">
        <f t="shared" si="27"/>
        <v>60</v>
      </c>
      <c r="B81" s="73">
        <f t="shared" si="28"/>
        <v>40.96153846153846</v>
      </c>
      <c r="C81" s="71">
        <f t="shared" si="29"/>
        <v>0</v>
      </c>
      <c r="D81" s="228">
        <f t="shared" si="42"/>
        <v>99.519230769230759</v>
      </c>
      <c r="E81" s="69">
        <f t="shared" si="35"/>
        <v>5.2272727272727266</v>
      </c>
      <c r="F81" s="71">
        <f t="shared" si="30"/>
        <v>0.10769230769230768</v>
      </c>
      <c r="G81" s="69">
        <f t="shared" si="36"/>
        <v>5.2272727272727266</v>
      </c>
      <c r="H81" s="71">
        <f t="shared" si="31"/>
        <v>5.2272727272727266</v>
      </c>
      <c r="I81" s="72">
        <f t="shared" si="37"/>
        <v>2.3177257525083461E-5</v>
      </c>
      <c r="J81" s="79">
        <f t="shared" si="43"/>
        <v>3.0372820472571367E-3</v>
      </c>
      <c r="K81" s="221">
        <f t="shared" si="38"/>
        <v>3.0372820472571367</v>
      </c>
      <c r="L81" s="167">
        <f t="shared" si="39"/>
        <v>1</v>
      </c>
      <c r="M81" s="70">
        <f t="shared" si="32"/>
        <v>12.445887445887445</v>
      </c>
      <c r="N81" s="70">
        <f t="shared" si="40"/>
        <v>2.3065828402366712E-3</v>
      </c>
      <c r="O81" s="70">
        <f t="shared" si="41"/>
        <v>99.519230769230759</v>
      </c>
      <c r="P81" s="70">
        <f t="shared" si="33"/>
        <v>2.6653846153846152</v>
      </c>
      <c r="Q81" s="70">
        <f t="shared" si="34"/>
        <v>1.0251479289940828</v>
      </c>
    </row>
    <row r="82" spans="1:17">
      <c r="A82" s="70">
        <f t="shared" si="27"/>
        <v>60</v>
      </c>
      <c r="B82" s="73">
        <f t="shared" si="28"/>
        <v>41.53846153846154</v>
      </c>
      <c r="C82" s="71">
        <f t="shared" si="29"/>
        <v>0</v>
      </c>
      <c r="D82" s="228">
        <f t="shared" si="42"/>
        <v>99.230769230769212</v>
      </c>
      <c r="E82" s="69">
        <f t="shared" si="35"/>
        <v>5.3749999999999991</v>
      </c>
      <c r="F82" s="71">
        <f t="shared" si="30"/>
        <v>0.10769230769230768</v>
      </c>
      <c r="G82" s="69">
        <f t="shared" si="36"/>
        <v>5.3749999999999991</v>
      </c>
      <c r="H82" s="71">
        <f t="shared" si="31"/>
        <v>5.3749999999999991</v>
      </c>
      <c r="I82" s="72">
        <f t="shared" si="37"/>
        <v>2.2540250447227323E-5</v>
      </c>
      <c r="J82" s="79">
        <f t="shared" si="43"/>
        <v>3.059822297704364E-3</v>
      </c>
      <c r="K82" s="221">
        <f t="shared" si="38"/>
        <v>3.0598222977043639</v>
      </c>
      <c r="L82" s="167">
        <f t="shared" si="39"/>
        <v>1</v>
      </c>
      <c r="M82" s="70">
        <f t="shared" si="32"/>
        <v>12.797619047619047</v>
      </c>
      <c r="N82" s="70">
        <f t="shared" si="40"/>
        <v>2.2366863905325567E-3</v>
      </c>
      <c r="O82" s="70">
        <f t="shared" si="41"/>
        <v>99.230769230769212</v>
      </c>
      <c r="P82" s="70">
        <f t="shared" si="33"/>
        <v>2.5846153846153843</v>
      </c>
      <c r="Q82" s="70">
        <f t="shared" si="34"/>
        <v>0.99408284023668625</v>
      </c>
    </row>
    <row r="83" spans="1:17">
      <c r="A83" s="70">
        <f t="shared" si="27"/>
        <v>60</v>
      </c>
      <c r="B83" s="73">
        <f t="shared" si="28"/>
        <v>42.115384615384613</v>
      </c>
      <c r="C83" s="71">
        <f t="shared" si="29"/>
        <v>0</v>
      </c>
      <c r="D83" s="228">
        <f t="shared" si="42"/>
        <v>98.942307692307679</v>
      </c>
      <c r="E83" s="69">
        <f t="shared" si="35"/>
        <v>5.5322580645161272</v>
      </c>
      <c r="F83" s="71">
        <f t="shared" si="30"/>
        <v>0.10769230769230768</v>
      </c>
      <c r="G83" s="69">
        <f t="shared" si="36"/>
        <v>5.5322580645161272</v>
      </c>
      <c r="H83" s="71">
        <f t="shared" si="31"/>
        <v>5.5322580645161272</v>
      </c>
      <c r="I83" s="72">
        <f t="shared" si="37"/>
        <v>2.1899529042386049E-5</v>
      </c>
      <c r="J83" s="79">
        <f t="shared" si="43"/>
        <v>3.08172182674675E-3</v>
      </c>
      <c r="K83" s="221">
        <f t="shared" si="38"/>
        <v>3.0817218267467501</v>
      </c>
      <c r="L83" s="167">
        <f t="shared" si="39"/>
        <v>1</v>
      </c>
      <c r="M83" s="70">
        <f t="shared" si="32"/>
        <v>13.172043010752684</v>
      </c>
      <c r="N83" s="70">
        <f t="shared" si="40"/>
        <v>2.1667899408283884E-3</v>
      </c>
      <c r="O83" s="70">
        <f t="shared" si="41"/>
        <v>98.942307692307679</v>
      </c>
      <c r="P83" s="70">
        <f t="shared" si="33"/>
        <v>2.5038461538461538</v>
      </c>
      <c r="Q83" s="70">
        <f t="shared" si="34"/>
        <v>0.96301775147929003</v>
      </c>
    </row>
    <row r="84" spans="1:17">
      <c r="A84" s="70">
        <f t="shared" si="27"/>
        <v>60</v>
      </c>
      <c r="B84" s="73">
        <f t="shared" si="28"/>
        <v>42.692307692307693</v>
      </c>
      <c r="C84" s="71">
        <f t="shared" si="29"/>
        <v>0</v>
      </c>
      <c r="D84" s="228">
        <f t="shared" si="42"/>
        <v>98.653846153846132</v>
      </c>
      <c r="E84" s="69">
        <f t="shared" si="35"/>
        <v>5.6999999999999993</v>
      </c>
      <c r="F84" s="71">
        <f t="shared" si="30"/>
        <v>0.10769230769230768</v>
      </c>
      <c r="G84" s="69">
        <f t="shared" si="36"/>
        <v>5.6999999999999993</v>
      </c>
      <c r="H84" s="71">
        <f t="shared" si="31"/>
        <v>5.6999999999999993</v>
      </c>
      <c r="I84" s="72">
        <f t="shared" si="37"/>
        <v>2.1255060728745064E-5</v>
      </c>
      <c r="J84" s="79">
        <f t="shared" si="43"/>
        <v>3.1029768874754949E-3</v>
      </c>
      <c r="K84" s="221">
        <f t="shared" si="38"/>
        <v>3.1029768874754948</v>
      </c>
      <c r="L84" s="167">
        <f t="shared" si="39"/>
        <v>1</v>
      </c>
      <c r="M84" s="70">
        <f t="shared" si="32"/>
        <v>13.571428571428571</v>
      </c>
      <c r="N84" s="70">
        <f t="shared" si="40"/>
        <v>2.0968934911242722E-3</v>
      </c>
      <c r="O84" s="70">
        <f t="shared" si="41"/>
        <v>98.653846153846132</v>
      </c>
      <c r="P84" s="70">
        <f t="shared" si="33"/>
        <v>2.4230769230769225</v>
      </c>
      <c r="Q84" s="70">
        <f t="shared" si="34"/>
        <v>0.93195266272189337</v>
      </c>
    </row>
    <row r="85" spans="1:17">
      <c r="A85" s="70">
        <f t="shared" si="27"/>
        <v>60</v>
      </c>
      <c r="B85" s="73">
        <f t="shared" si="28"/>
        <v>43.269230769230766</v>
      </c>
      <c r="C85" s="71">
        <f t="shared" si="29"/>
        <v>0</v>
      </c>
      <c r="D85" s="228">
        <f t="shared" si="42"/>
        <v>98.365384615384599</v>
      </c>
      <c r="E85" s="69">
        <f t="shared" si="35"/>
        <v>5.8793103448275845</v>
      </c>
      <c r="F85" s="71">
        <f t="shared" si="30"/>
        <v>0.10769230769230768</v>
      </c>
      <c r="G85" s="69">
        <f t="shared" si="36"/>
        <v>5.8793103448275845</v>
      </c>
      <c r="H85" s="71">
        <f t="shared" si="31"/>
        <v>5.8793103448275845</v>
      </c>
      <c r="I85" s="72">
        <f t="shared" si="37"/>
        <v>2.0606812542296283E-5</v>
      </c>
      <c r="J85" s="79">
        <f t="shared" si="43"/>
        <v>3.1235837000177912E-3</v>
      </c>
      <c r="K85" s="221">
        <f t="shared" si="38"/>
        <v>3.1235837000177913</v>
      </c>
      <c r="L85" s="167">
        <f t="shared" si="39"/>
        <v>1</v>
      </c>
      <c r="M85" s="70">
        <f t="shared" si="32"/>
        <v>13.998357963875202</v>
      </c>
      <c r="N85" s="70">
        <f t="shared" si="40"/>
        <v>2.0269970414201052E-3</v>
      </c>
      <c r="O85" s="70">
        <f t="shared" si="41"/>
        <v>98.365384615384599</v>
      </c>
      <c r="P85" s="70">
        <f t="shared" si="33"/>
        <v>2.3423076923076924</v>
      </c>
      <c r="Q85" s="70">
        <f t="shared" si="34"/>
        <v>0.90088757396449715</v>
      </c>
    </row>
    <row r="86" spans="1:17">
      <c r="A86" s="70">
        <f t="shared" si="27"/>
        <v>60</v>
      </c>
      <c r="B86" s="73">
        <f t="shared" si="28"/>
        <v>43.846153846153847</v>
      </c>
      <c r="C86" s="71">
        <f t="shared" si="29"/>
        <v>0</v>
      </c>
      <c r="D86" s="228">
        <f t="shared" si="42"/>
        <v>98.076923076923066</v>
      </c>
      <c r="E86" s="69">
        <f t="shared" si="35"/>
        <v>6.0714285714285712</v>
      </c>
      <c r="F86" s="71">
        <f t="shared" si="30"/>
        <v>0.10769230769230768</v>
      </c>
      <c r="G86" s="69">
        <f t="shared" si="36"/>
        <v>6.0714285714285712</v>
      </c>
      <c r="H86" s="71">
        <f t="shared" si="31"/>
        <v>6.0714285714285712</v>
      </c>
      <c r="I86" s="72">
        <f t="shared" si="37"/>
        <v>1.9954751131221833E-5</v>
      </c>
      <c r="J86" s="79">
        <f t="shared" si="43"/>
        <v>3.1435384511490131E-3</v>
      </c>
      <c r="K86" s="221">
        <f t="shared" si="38"/>
        <v>3.1435384511490132</v>
      </c>
      <c r="L86" s="167">
        <f t="shared" si="39"/>
        <v>1</v>
      </c>
      <c r="M86" s="70">
        <f t="shared" si="32"/>
        <v>14.455782312925171</v>
      </c>
      <c r="N86" s="70">
        <f t="shared" si="40"/>
        <v>1.9571005917159872E-3</v>
      </c>
      <c r="O86" s="70">
        <f t="shared" si="41"/>
        <v>98.076923076923066</v>
      </c>
      <c r="P86" s="70">
        <f t="shared" si="33"/>
        <v>2.2615384615384611</v>
      </c>
      <c r="Q86" s="70">
        <f t="shared" si="34"/>
        <v>0.86982248520710048</v>
      </c>
    </row>
    <row r="87" spans="1:17">
      <c r="A87" s="70">
        <f t="shared" si="27"/>
        <v>60</v>
      </c>
      <c r="B87" s="73">
        <f t="shared" si="28"/>
        <v>44.423076923076927</v>
      </c>
      <c r="C87" s="71">
        <f t="shared" si="29"/>
        <v>0</v>
      </c>
      <c r="D87" s="228">
        <f t="shared" si="42"/>
        <v>97.788461538461519</v>
      </c>
      <c r="E87" s="69">
        <f t="shared" si="35"/>
        <v>6.2777777777777777</v>
      </c>
      <c r="F87" s="71">
        <f t="shared" si="30"/>
        <v>0.10769230769230768</v>
      </c>
      <c r="G87" s="69">
        <f t="shared" si="36"/>
        <v>6.2777777777777777</v>
      </c>
      <c r="H87" s="71">
        <f t="shared" si="31"/>
        <v>6.2777777777777777</v>
      </c>
      <c r="I87" s="72">
        <f t="shared" si="37"/>
        <v>1.9298842750170295E-5</v>
      </c>
      <c r="J87" s="79">
        <f t="shared" si="43"/>
        <v>3.1628372938991836E-3</v>
      </c>
      <c r="K87" s="221">
        <f t="shared" si="38"/>
        <v>3.1628372938991838</v>
      </c>
      <c r="L87" s="167">
        <f t="shared" si="39"/>
        <v>1</v>
      </c>
      <c r="M87" s="70">
        <f t="shared" si="32"/>
        <v>14.947089947089948</v>
      </c>
      <c r="N87" s="70">
        <f t="shared" si="40"/>
        <v>1.8872041420118447E-3</v>
      </c>
      <c r="O87" s="70">
        <f t="shared" si="41"/>
        <v>97.788461538461519</v>
      </c>
      <c r="P87" s="70">
        <f t="shared" si="33"/>
        <v>2.1807692307692301</v>
      </c>
      <c r="Q87" s="70">
        <f t="shared" si="34"/>
        <v>0.83875739644970393</v>
      </c>
    </row>
    <row r="88" spans="1:17">
      <c r="A88" s="70">
        <f t="shared" si="27"/>
        <v>60</v>
      </c>
      <c r="B88" s="73">
        <f t="shared" si="28"/>
        <v>45</v>
      </c>
      <c r="C88" s="71">
        <f t="shared" si="29"/>
        <v>0</v>
      </c>
      <c r="D88" s="228">
        <f t="shared" si="42"/>
        <v>97.499999999999986</v>
      </c>
      <c r="E88" s="69">
        <f t="shared" si="35"/>
        <v>6.4999999999999991</v>
      </c>
      <c r="F88" s="71">
        <f t="shared" si="30"/>
        <v>0.10769230769230768</v>
      </c>
      <c r="G88" s="69">
        <f t="shared" si="36"/>
        <v>6.4999999999999991</v>
      </c>
      <c r="H88" s="71">
        <f t="shared" si="31"/>
        <v>6.4999999999999991</v>
      </c>
      <c r="I88" s="72">
        <f t="shared" si="37"/>
        <v>1.8639053254437747E-5</v>
      </c>
      <c r="J88" s="79">
        <f t="shared" si="43"/>
        <v>3.1814763471536213E-3</v>
      </c>
      <c r="K88" s="221">
        <f t="shared" si="38"/>
        <v>3.1814763471536214</v>
      </c>
      <c r="L88" s="167">
        <f t="shared" si="39"/>
        <v>1</v>
      </c>
      <c r="M88" s="70">
        <f t="shared" si="32"/>
        <v>15.476190476190474</v>
      </c>
      <c r="N88" s="70">
        <f t="shared" si="40"/>
        <v>1.8173076923076801E-3</v>
      </c>
      <c r="O88" s="70">
        <f t="shared" si="41"/>
        <v>97.499999999999986</v>
      </c>
      <c r="P88" s="70">
        <f t="shared" si="33"/>
        <v>2.0999999999999996</v>
      </c>
      <c r="Q88" s="70">
        <f t="shared" si="34"/>
        <v>0.8076923076923076</v>
      </c>
    </row>
    <row r="89" spans="1:17">
      <c r="A89" s="70">
        <f t="shared" si="27"/>
        <v>60</v>
      </c>
      <c r="B89" s="73">
        <f t="shared" si="28"/>
        <v>45.576923076923073</v>
      </c>
      <c r="C89" s="71">
        <f t="shared" si="29"/>
        <v>0</v>
      </c>
      <c r="D89" s="228">
        <f t="shared" si="42"/>
        <v>97.211538461538453</v>
      </c>
      <c r="E89" s="69">
        <f t="shared" si="35"/>
        <v>6.7399999999999975</v>
      </c>
      <c r="F89" s="71">
        <f t="shared" si="30"/>
        <v>0.10769230769230768</v>
      </c>
      <c r="G89" s="69">
        <f t="shared" si="36"/>
        <v>6.7399999999999975</v>
      </c>
      <c r="H89" s="71">
        <f t="shared" si="31"/>
        <v>6.7399999999999975</v>
      </c>
      <c r="I89" s="72">
        <f t="shared" si="37"/>
        <v>1.7975348094042343E-5</v>
      </c>
      <c r="J89" s="79">
        <f t="shared" si="43"/>
        <v>3.1994516952476636E-3</v>
      </c>
      <c r="K89" s="221">
        <f t="shared" si="38"/>
        <v>3.1994516952476637</v>
      </c>
      <c r="L89" s="167">
        <f t="shared" si="39"/>
        <v>1</v>
      </c>
      <c r="M89" s="70">
        <f t="shared" si="32"/>
        <v>16.047619047619044</v>
      </c>
      <c r="N89" s="70">
        <f t="shared" si="40"/>
        <v>1.7474112426035392E-3</v>
      </c>
      <c r="O89" s="70">
        <f t="shared" si="41"/>
        <v>97.211538461538453</v>
      </c>
      <c r="P89" s="70">
        <f t="shared" si="33"/>
        <v>2.0192307692307696</v>
      </c>
      <c r="Q89" s="70">
        <f t="shared" si="34"/>
        <v>0.77662721893491138</v>
      </c>
    </row>
    <row r="90" spans="1:17">
      <c r="A90" s="70">
        <f t="shared" si="27"/>
        <v>60</v>
      </c>
      <c r="B90" s="73">
        <f t="shared" si="28"/>
        <v>46.153846153846153</v>
      </c>
      <c r="C90" s="71">
        <f t="shared" si="29"/>
        <v>0</v>
      </c>
      <c r="D90" s="228">
        <f t="shared" si="42"/>
        <v>96.923076923076906</v>
      </c>
      <c r="E90" s="69">
        <f t="shared" si="35"/>
        <v>6.9999999999999982</v>
      </c>
      <c r="F90" s="71">
        <f t="shared" si="30"/>
        <v>0.10769230769230768</v>
      </c>
      <c r="G90" s="69">
        <f t="shared" si="36"/>
        <v>6.9999999999999982</v>
      </c>
      <c r="H90" s="71">
        <f t="shared" si="31"/>
        <v>6.9999999999999982</v>
      </c>
      <c r="I90" s="72">
        <f t="shared" si="37"/>
        <v>1.7307692307692411E-5</v>
      </c>
      <c r="J90" s="79">
        <f t="shared" si="43"/>
        <v>3.2167593875553559E-3</v>
      </c>
      <c r="K90" s="221">
        <f t="shared" si="38"/>
        <v>3.216759387555356</v>
      </c>
      <c r="L90" s="167">
        <f t="shared" si="39"/>
        <v>1</v>
      </c>
      <c r="M90" s="70">
        <f t="shared" si="32"/>
        <v>16.666666666666664</v>
      </c>
      <c r="N90" s="70">
        <f t="shared" si="40"/>
        <v>1.677514792899418E-3</v>
      </c>
      <c r="O90" s="70">
        <f t="shared" si="41"/>
        <v>96.923076923076906</v>
      </c>
      <c r="P90" s="70">
        <f t="shared" si="33"/>
        <v>1.9384615384615382</v>
      </c>
      <c r="Q90" s="70">
        <f t="shared" si="34"/>
        <v>0.74556213017751471</v>
      </c>
    </row>
    <row r="91" spans="1:17">
      <c r="A91" s="70">
        <f t="shared" si="27"/>
        <v>60</v>
      </c>
      <c r="B91" s="73">
        <f t="shared" si="28"/>
        <v>46.730769230769234</v>
      </c>
      <c r="C91" s="71">
        <f t="shared" si="29"/>
        <v>0</v>
      </c>
      <c r="D91" s="228">
        <f t="shared" si="42"/>
        <v>96.634615384615373</v>
      </c>
      <c r="E91" s="69">
        <f t="shared" si="35"/>
        <v>7.2826086956521747</v>
      </c>
      <c r="F91" s="71">
        <f t="shared" si="30"/>
        <v>0.10769230769230768</v>
      </c>
      <c r="G91" s="69">
        <f t="shared" si="36"/>
        <v>7.2826086956521747</v>
      </c>
      <c r="H91" s="71">
        <f t="shared" si="31"/>
        <v>7.2826086956521747</v>
      </c>
      <c r="I91" s="72">
        <f t="shared" si="37"/>
        <v>1.6636050516647626E-5</v>
      </c>
      <c r="J91" s="79">
        <f t="shared" si="43"/>
        <v>3.2333954380720036E-3</v>
      </c>
      <c r="K91" s="221">
        <f t="shared" si="38"/>
        <v>3.2333954380720038</v>
      </c>
      <c r="L91" s="167">
        <f t="shared" si="39"/>
        <v>1</v>
      </c>
      <c r="M91" s="70">
        <f t="shared" si="32"/>
        <v>17.339544513457561</v>
      </c>
      <c r="N91" s="70">
        <f t="shared" si="40"/>
        <v>1.6076183431952753E-3</v>
      </c>
      <c r="O91" s="70">
        <f t="shared" si="41"/>
        <v>96.634615384615373</v>
      </c>
      <c r="P91" s="70">
        <f t="shared" si="33"/>
        <v>1.8576923076923071</v>
      </c>
      <c r="Q91" s="70">
        <f t="shared" si="34"/>
        <v>0.71449704142011816</v>
      </c>
    </row>
    <row r="92" spans="1:17">
      <c r="A92" s="70">
        <f t="shared" si="27"/>
        <v>60</v>
      </c>
      <c r="B92" s="73">
        <f t="shared" si="28"/>
        <v>47.307692307692307</v>
      </c>
      <c r="C92" s="71">
        <f t="shared" si="29"/>
        <v>0</v>
      </c>
      <c r="D92" s="228">
        <f t="shared" si="42"/>
        <v>96.34615384615384</v>
      </c>
      <c r="E92" s="69">
        <f t="shared" si="35"/>
        <v>7.5909090909090899</v>
      </c>
      <c r="F92" s="71">
        <f t="shared" si="30"/>
        <v>0.10769230769230768</v>
      </c>
      <c r="G92" s="69">
        <f t="shared" si="36"/>
        <v>7.5909090909090899</v>
      </c>
      <c r="H92" s="71">
        <f t="shared" si="31"/>
        <v>7.5909090909090899</v>
      </c>
      <c r="I92" s="72">
        <f t="shared" si="37"/>
        <v>1.5960386918470648E-5</v>
      </c>
      <c r="J92" s="79">
        <f t="shared" si="43"/>
        <v>3.2493558249904742E-3</v>
      </c>
      <c r="K92" s="221">
        <f t="shared" si="38"/>
        <v>3.2493558249904742</v>
      </c>
      <c r="L92" s="167">
        <f t="shared" si="39"/>
        <v>1</v>
      </c>
      <c r="M92" s="70">
        <f t="shared" si="32"/>
        <v>18.07359307359307</v>
      </c>
      <c r="N92" s="70">
        <f t="shared" si="40"/>
        <v>1.5377218934911141E-3</v>
      </c>
      <c r="O92" s="70">
        <f t="shared" si="41"/>
        <v>96.34615384615384</v>
      </c>
      <c r="P92" s="70">
        <f t="shared" si="33"/>
        <v>1.7769230769230768</v>
      </c>
      <c r="Q92" s="70">
        <f t="shared" si="34"/>
        <v>0.68343195266272194</v>
      </c>
    </row>
    <row r="93" spans="1:17">
      <c r="A93" s="70">
        <f t="shared" si="27"/>
        <v>60</v>
      </c>
      <c r="B93" s="73">
        <f t="shared" si="28"/>
        <v>47.884615384615387</v>
      </c>
      <c r="C93" s="71">
        <f t="shared" si="29"/>
        <v>0</v>
      </c>
      <c r="D93" s="228">
        <f t="shared" si="42"/>
        <v>96.057692307692292</v>
      </c>
      <c r="E93" s="69">
        <f t="shared" si="35"/>
        <v>7.9285714285714288</v>
      </c>
      <c r="F93" s="71">
        <f t="shared" si="30"/>
        <v>0.10769230769230768</v>
      </c>
      <c r="G93" s="69">
        <f t="shared" si="36"/>
        <v>7.9285714285714288</v>
      </c>
      <c r="H93" s="71">
        <f t="shared" si="31"/>
        <v>7.9285714285714288</v>
      </c>
      <c r="I93" s="72">
        <f t="shared" si="37"/>
        <v>1.5280665280665368E-5</v>
      </c>
      <c r="J93" s="79">
        <f t="shared" si="43"/>
        <v>3.2646364902711397E-3</v>
      </c>
      <c r="K93" s="221">
        <f t="shared" si="38"/>
        <v>3.2646364902711396</v>
      </c>
      <c r="L93" s="167">
        <f t="shared" si="39"/>
        <v>1</v>
      </c>
      <c r="M93" s="70">
        <f t="shared" si="32"/>
        <v>18.877551020408163</v>
      </c>
      <c r="N93" s="70">
        <f t="shared" si="40"/>
        <v>1.4678254437869905E-3</v>
      </c>
      <c r="O93" s="70">
        <f t="shared" si="41"/>
        <v>96.057692307692292</v>
      </c>
      <c r="P93" s="70">
        <f t="shared" si="33"/>
        <v>1.6961538461538457</v>
      </c>
      <c r="Q93" s="70">
        <f t="shared" si="34"/>
        <v>0.65236686390532528</v>
      </c>
    </row>
    <row r="94" spans="1:17">
      <c r="A94" s="70">
        <f t="shared" si="27"/>
        <v>60</v>
      </c>
      <c r="B94" s="73">
        <f t="shared" si="28"/>
        <v>48.46153846153846</v>
      </c>
      <c r="C94" s="71">
        <f t="shared" si="29"/>
        <v>0</v>
      </c>
      <c r="D94" s="228">
        <f t="shared" si="42"/>
        <v>95.769230769230759</v>
      </c>
      <c r="E94" s="69">
        <f t="shared" si="35"/>
        <v>8.2999999999999972</v>
      </c>
      <c r="F94" s="71">
        <f t="shared" si="30"/>
        <v>0.10769230769230768</v>
      </c>
      <c r="G94" s="69">
        <f t="shared" si="36"/>
        <v>8.2999999999999972</v>
      </c>
      <c r="H94" s="71">
        <f t="shared" si="31"/>
        <v>8.2999999999999972</v>
      </c>
      <c r="I94" s="72">
        <f t="shared" si="37"/>
        <v>1.459684893419824E-5</v>
      </c>
      <c r="J94" s="79">
        <f t="shared" si="43"/>
        <v>3.2792333392053378E-3</v>
      </c>
      <c r="K94" s="221">
        <f t="shared" si="38"/>
        <v>3.2792333392053377</v>
      </c>
      <c r="L94" s="167">
        <f t="shared" si="39"/>
        <v>1</v>
      </c>
      <c r="M94" s="70">
        <f t="shared" si="32"/>
        <v>19.761904761904759</v>
      </c>
      <c r="N94" s="70">
        <f t="shared" si="40"/>
        <v>1.3979289940828311E-3</v>
      </c>
      <c r="O94" s="70">
        <f t="shared" si="41"/>
        <v>95.769230769230745</v>
      </c>
      <c r="P94" s="70">
        <f t="shared" si="33"/>
        <v>1.6153846153846154</v>
      </c>
      <c r="Q94" s="70">
        <f t="shared" si="34"/>
        <v>0.62130177514792906</v>
      </c>
    </row>
    <row r="95" spans="1:17">
      <c r="A95" s="70">
        <f t="shared" si="27"/>
        <v>60</v>
      </c>
      <c r="B95" s="73">
        <f t="shared" si="28"/>
        <v>49.03846153846154</v>
      </c>
      <c r="C95" s="71">
        <f t="shared" si="29"/>
        <v>0</v>
      </c>
      <c r="D95" s="228">
        <f t="shared" si="42"/>
        <v>95.480769230769212</v>
      </c>
      <c r="E95" s="69">
        <f t="shared" si="35"/>
        <v>8.7105263157894726</v>
      </c>
      <c r="F95" s="71">
        <f t="shared" si="30"/>
        <v>0.10769230769230768</v>
      </c>
      <c r="G95" s="69">
        <f t="shared" si="36"/>
        <v>8.7105263157894726</v>
      </c>
      <c r="H95" s="71">
        <f t="shared" si="31"/>
        <v>8.7105263157894726</v>
      </c>
      <c r="I95" s="72">
        <f t="shared" si="37"/>
        <v>1.390890076690689E-5</v>
      </c>
      <c r="J95" s="79">
        <f t="shared" si="43"/>
        <v>3.2931422399722445E-3</v>
      </c>
      <c r="K95" s="221">
        <f t="shared" si="38"/>
        <v>3.2931422399722448</v>
      </c>
      <c r="L95" s="167">
        <f t="shared" si="39"/>
        <v>1</v>
      </c>
      <c r="M95" s="70">
        <f t="shared" si="32"/>
        <v>20.739348370927317</v>
      </c>
      <c r="N95" s="70">
        <f t="shared" si="40"/>
        <v>1.3280325443787056E-3</v>
      </c>
      <c r="O95" s="70">
        <f t="shared" si="41"/>
        <v>95.480769230769198</v>
      </c>
      <c r="P95" s="70">
        <f t="shared" si="33"/>
        <v>1.5346153846153843</v>
      </c>
      <c r="Q95" s="70">
        <f t="shared" si="34"/>
        <v>0.59023668639053239</v>
      </c>
    </row>
    <row r="96" spans="1:17">
      <c r="A96" s="70">
        <f t="shared" si="27"/>
        <v>60</v>
      </c>
      <c r="B96" s="73">
        <f t="shared" si="28"/>
        <v>49.615384615384613</v>
      </c>
      <c r="C96" s="71">
        <f t="shared" si="29"/>
        <v>0</v>
      </c>
      <c r="D96" s="228">
        <f t="shared" si="42"/>
        <v>95.192307692307679</v>
      </c>
      <c r="E96" s="69">
        <f t="shared" si="35"/>
        <v>9.1666666666666643</v>
      </c>
      <c r="F96" s="71">
        <f t="shared" si="30"/>
        <v>0.10769230769230768</v>
      </c>
      <c r="G96" s="69">
        <f t="shared" si="36"/>
        <v>9.1666666666666643</v>
      </c>
      <c r="H96" s="71">
        <f t="shared" si="31"/>
        <v>9.1666666666666643</v>
      </c>
      <c r="I96" s="72">
        <f t="shared" si="37"/>
        <v>1.3216783216783133E-5</v>
      </c>
      <c r="J96" s="79">
        <f t="shared" si="43"/>
        <v>3.3063590231890276E-3</v>
      </c>
      <c r="K96" s="221">
        <f t="shared" si="38"/>
        <v>3.3063590231890276</v>
      </c>
      <c r="L96" s="167">
        <f t="shared" si="39"/>
        <v>1</v>
      </c>
      <c r="M96" s="70">
        <f t="shared" si="32"/>
        <v>21.825396825396822</v>
      </c>
      <c r="N96" s="70">
        <f t="shared" si="40"/>
        <v>1.2581360946745481E-3</v>
      </c>
      <c r="O96" s="70">
        <f t="shared" si="41"/>
        <v>95.192307692307693</v>
      </c>
      <c r="P96" s="70">
        <f t="shared" si="33"/>
        <v>1.453846153846154</v>
      </c>
      <c r="Q96" s="70">
        <f t="shared" si="34"/>
        <v>0.55917159763313617</v>
      </c>
    </row>
    <row r="97" spans="1:17">
      <c r="A97" s="70">
        <f t="shared" si="27"/>
        <v>60</v>
      </c>
      <c r="B97" s="73">
        <f t="shared" si="28"/>
        <v>50.192307692307693</v>
      </c>
      <c r="C97" s="71">
        <f t="shared" si="29"/>
        <v>0</v>
      </c>
      <c r="D97" s="228">
        <f t="shared" si="42"/>
        <v>94.903846153846132</v>
      </c>
      <c r="E97" s="69">
        <f t="shared" si="35"/>
        <v>9.6764705882352935</v>
      </c>
      <c r="F97" s="71">
        <f t="shared" si="30"/>
        <v>0.10769230769230768</v>
      </c>
      <c r="G97" s="69">
        <f t="shared" si="36"/>
        <v>9.6764705882352935</v>
      </c>
      <c r="H97" s="71">
        <f t="shared" si="31"/>
        <v>9.6764705882352935</v>
      </c>
      <c r="I97" s="72">
        <f t="shared" si="37"/>
        <v>1.2520458265139188E-5</v>
      </c>
      <c r="J97" s="79">
        <f t="shared" si="43"/>
        <v>3.3188794814541667E-3</v>
      </c>
      <c r="K97" s="221">
        <f t="shared" si="38"/>
        <v>3.3188794814541667</v>
      </c>
      <c r="L97" s="167">
        <f t="shared" si="39"/>
        <v>1</v>
      </c>
      <c r="M97" s="70">
        <f t="shared" si="32"/>
        <v>23.03921568627451</v>
      </c>
      <c r="N97" s="70">
        <f t="shared" si="40"/>
        <v>1.1882396449704208E-3</v>
      </c>
      <c r="O97" s="70">
        <f t="shared" si="41"/>
        <v>94.903846153846132</v>
      </c>
      <c r="P97" s="70">
        <f t="shared" si="33"/>
        <v>1.3730769230769229</v>
      </c>
      <c r="Q97" s="70">
        <f t="shared" si="34"/>
        <v>0.52810650887573951</v>
      </c>
    </row>
    <row r="98" spans="1:17">
      <c r="A98" s="70">
        <f t="shared" si="27"/>
        <v>60</v>
      </c>
      <c r="B98" s="73">
        <f t="shared" si="28"/>
        <v>50.769230769230766</v>
      </c>
      <c r="C98" s="71">
        <f t="shared" si="29"/>
        <v>0</v>
      </c>
      <c r="D98" s="228">
        <f t="shared" si="42"/>
        <v>94.615384615384599</v>
      </c>
      <c r="E98" s="69">
        <f t="shared" si="35"/>
        <v>10.249999999999995</v>
      </c>
      <c r="F98" s="71">
        <f t="shared" si="30"/>
        <v>0.10769230769230768</v>
      </c>
      <c r="G98" s="69">
        <f t="shared" si="36"/>
        <v>10.249999999999995</v>
      </c>
      <c r="H98" s="71">
        <f t="shared" si="31"/>
        <v>10.249999999999995</v>
      </c>
      <c r="I98" s="72">
        <f t="shared" si="37"/>
        <v>1.1819887429643456E-5</v>
      </c>
      <c r="J98" s="79">
        <f t="shared" si="43"/>
        <v>3.3306993688838101E-3</v>
      </c>
      <c r="K98" s="221">
        <f t="shared" si="38"/>
        <v>3.3306993688838102</v>
      </c>
      <c r="L98" s="167">
        <f t="shared" si="39"/>
        <v>1</v>
      </c>
      <c r="M98" s="70">
        <f t="shared" si="32"/>
        <v>24.404761904761894</v>
      </c>
      <c r="N98" s="70">
        <f t="shared" si="40"/>
        <v>1.1183431952662651E-3</v>
      </c>
      <c r="O98" s="70">
        <f t="shared" si="41"/>
        <v>94.615384615384599</v>
      </c>
      <c r="P98" s="70">
        <f t="shared" si="33"/>
        <v>1.2923076923076926</v>
      </c>
      <c r="Q98" s="70">
        <f t="shared" si="34"/>
        <v>0.49704142011834329</v>
      </c>
    </row>
    <row r="99" spans="1:17">
      <c r="A99" s="70">
        <f t="shared" si="27"/>
        <v>60</v>
      </c>
      <c r="B99" s="73">
        <f t="shared" si="28"/>
        <v>51.346153846153847</v>
      </c>
      <c r="C99" s="71">
        <f t="shared" si="29"/>
        <v>0</v>
      </c>
      <c r="D99" s="228">
        <f t="shared" si="42"/>
        <v>94.326923076923066</v>
      </c>
      <c r="E99" s="69">
        <f t="shared" si="35"/>
        <v>10.899999999999999</v>
      </c>
      <c r="F99" s="71">
        <f t="shared" si="30"/>
        <v>0.10769230769230768</v>
      </c>
      <c r="G99" s="69">
        <f t="shared" si="36"/>
        <v>10.899999999999999</v>
      </c>
      <c r="H99" s="71">
        <f t="shared" si="31"/>
        <v>10.899999999999999</v>
      </c>
      <c r="I99" s="72">
        <f t="shared" si="37"/>
        <v>1.1115031757233656E-5</v>
      </c>
      <c r="J99" s="79">
        <f t="shared" si="43"/>
        <v>3.3418144006410436E-3</v>
      </c>
      <c r="K99" s="221">
        <f t="shared" si="38"/>
        <v>3.3418144006410437</v>
      </c>
      <c r="L99" s="167">
        <f t="shared" si="39"/>
        <v>1</v>
      </c>
      <c r="M99" s="70">
        <f t="shared" si="32"/>
        <v>25.952380952380953</v>
      </c>
      <c r="N99" s="70">
        <f t="shared" si="40"/>
        <v>1.0484467455621359E-3</v>
      </c>
      <c r="O99" s="70">
        <f t="shared" si="41"/>
        <v>94.326923076923052</v>
      </c>
      <c r="P99" s="70">
        <f t="shared" si="33"/>
        <v>1.2115384615384612</v>
      </c>
      <c r="Q99" s="70">
        <f t="shared" si="34"/>
        <v>0.46597633136094668</v>
      </c>
    </row>
    <row r="100" spans="1:17">
      <c r="A100" s="70">
        <f t="shared" si="27"/>
        <v>60</v>
      </c>
      <c r="B100" s="73">
        <f t="shared" si="28"/>
        <v>51.923076923076927</v>
      </c>
      <c r="C100" s="71">
        <f t="shared" si="29"/>
        <v>0</v>
      </c>
      <c r="D100" s="228">
        <f t="shared" si="42"/>
        <v>94.038461538461519</v>
      </c>
      <c r="E100" s="69">
        <f t="shared" si="35"/>
        <v>11.642857142857146</v>
      </c>
      <c r="F100" s="71">
        <f t="shared" si="30"/>
        <v>0.10769230769230768</v>
      </c>
      <c r="G100" s="69">
        <f t="shared" si="36"/>
        <v>11.642857142857146</v>
      </c>
      <c r="H100" s="71">
        <f t="shared" si="31"/>
        <v>11.642857142857146</v>
      </c>
      <c r="I100" s="72">
        <f t="shared" si="37"/>
        <v>1.0405851816894818E-5</v>
      </c>
      <c r="J100" s="79">
        <f t="shared" si="43"/>
        <v>3.3522202524579386E-3</v>
      </c>
      <c r="K100" s="221">
        <f t="shared" si="38"/>
        <v>3.3522202524579385</v>
      </c>
      <c r="L100" s="167">
        <f t="shared" si="39"/>
        <v>1</v>
      </c>
      <c r="M100" s="70">
        <f t="shared" si="32"/>
        <v>27.72108843537416</v>
      </c>
      <c r="N100" s="70">
        <f t="shared" si="40"/>
        <v>9.7855029585799318E-4</v>
      </c>
      <c r="O100" s="70">
        <f t="shared" si="41"/>
        <v>94.038461538461519</v>
      </c>
      <c r="P100" s="70">
        <f t="shared" si="33"/>
        <v>1.1307692307692301</v>
      </c>
      <c r="Q100" s="70">
        <f t="shared" si="34"/>
        <v>0.43491124260355007</v>
      </c>
    </row>
    <row r="101" spans="1:17">
      <c r="A101" s="70">
        <f t="shared" si="27"/>
        <v>60</v>
      </c>
      <c r="B101" s="73">
        <f t="shared" si="28"/>
        <v>52.5</v>
      </c>
      <c r="C101" s="71">
        <f t="shared" si="29"/>
        <v>0</v>
      </c>
      <c r="D101" s="228">
        <f t="shared" si="42"/>
        <v>93.749999999999986</v>
      </c>
      <c r="E101" s="69">
        <f t="shared" si="35"/>
        <v>12.499999999999998</v>
      </c>
      <c r="F101" s="71">
        <f t="shared" si="30"/>
        <v>0.10769230769230768</v>
      </c>
      <c r="G101" s="69">
        <f t="shared" si="36"/>
        <v>12.499999999999998</v>
      </c>
      <c r="H101" s="71">
        <f t="shared" si="31"/>
        <v>12.499999999999998</v>
      </c>
      <c r="I101" s="72">
        <f t="shared" si="37"/>
        <v>9.6923076923076287E-6</v>
      </c>
      <c r="J101" s="79">
        <f t="shared" si="43"/>
        <v>3.3619125601502464E-3</v>
      </c>
      <c r="K101" s="221">
        <f t="shared" si="38"/>
        <v>3.3619125601502464</v>
      </c>
      <c r="L101" s="167">
        <f t="shared" si="39"/>
        <v>1</v>
      </c>
      <c r="M101" s="70">
        <f t="shared" si="32"/>
        <v>29.761904761904759</v>
      </c>
      <c r="N101" s="70">
        <f t="shared" si="40"/>
        <v>9.0865384615384007E-4</v>
      </c>
      <c r="O101" s="70">
        <f t="shared" si="41"/>
        <v>93.749999999999986</v>
      </c>
      <c r="P101" s="70">
        <f t="shared" si="33"/>
        <v>1.0499999999999998</v>
      </c>
      <c r="Q101" s="70">
        <f t="shared" si="34"/>
        <v>0.4038461538461538</v>
      </c>
    </row>
    <row r="102" spans="1:17">
      <c r="A102" s="70">
        <f t="shared" si="27"/>
        <v>60</v>
      </c>
      <c r="B102" s="73">
        <f t="shared" si="28"/>
        <v>53.076923076923073</v>
      </c>
      <c r="C102" s="71">
        <f t="shared" si="29"/>
        <v>0</v>
      </c>
      <c r="D102" s="228">
        <f t="shared" si="42"/>
        <v>93.461538461538453</v>
      </c>
      <c r="E102" s="69">
        <f t="shared" si="35"/>
        <v>13.499999999999991</v>
      </c>
      <c r="F102" s="71">
        <f t="shared" si="30"/>
        <v>0.10769230769230768</v>
      </c>
      <c r="G102" s="69">
        <f t="shared" si="36"/>
        <v>13.499999999999991</v>
      </c>
      <c r="H102" s="71">
        <f t="shared" si="31"/>
        <v>13.499999999999991</v>
      </c>
      <c r="I102" s="72">
        <f t="shared" si="37"/>
        <v>8.9743589743589214E-6</v>
      </c>
      <c r="J102" s="79">
        <f t="shared" si="43"/>
        <v>3.3708869191246054E-3</v>
      </c>
      <c r="K102" s="221">
        <f t="shared" si="38"/>
        <v>3.3708869191246054</v>
      </c>
      <c r="L102" s="167">
        <f t="shared" si="39"/>
        <v>1</v>
      </c>
      <c r="M102" s="70">
        <f t="shared" si="32"/>
        <v>32.142857142857125</v>
      </c>
      <c r="N102" s="70">
        <f t="shared" si="40"/>
        <v>8.38757396449699E-4</v>
      </c>
      <c r="O102" s="70">
        <f t="shared" si="41"/>
        <v>93.461538461538453</v>
      </c>
      <c r="P102" s="70">
        <f t="shared" si="33"/>
        <v>0.96923076923076967</v>
      </c>
      <c r="Q102" s="70">
        <f t="shared" si="34"/>
        <v>0.37278106508875758</v>
      </c>
    </row>
    <row r="103" spans="1:17">
      <c r="A103" s="70">
        <f t="shared" si="27"/>
        <v>60</v>
      </c>
      <c r="B103" s="73">
        <f t="shared" si="28"/>
        <v>53.653846153846153</v>
      </c>
      <c r="C103" s="71">
        <f t="shared" si="29"/>
        <v>0</v>
      </c>
      <c r="D103" s="228">
        <f t="shared" si="42"/>
        <v>93.173076923076906</v>
      </c>
      <c r="E103" s="69">
        <f t="shared" si="35"/>
        <v>14.681818181818178</v>
      </c>
      <c r="F103" s="71">
        <f t="shared" si="30"/>
        <v>0.10769230769230768</v>
      </c>
      <c r="G103" s="69">
        <f t="shared" si="36"/>
        <v>14.681818181818178</v>
      </c>
      <c r="H103" s="71">
        <f t="shared" si="31"/>
        <v>14.681818181818178</v>
      </c>
      <c r="I103" s="72">
        <f t="shared" si="37"/>
        <v>8.2519647535127898E-6</v>
      </c>
      <c r="J103" s="79">
        <f t="shared" si="43"/>
        <v>3.3791388838781181E-3</v>
      </c>
      <c r="K103" s="221">
        <f t="shared" si="38"/>
        <v>3.379138883878118</v>
      </c>
      <c r="L103" s="167">
        <f t="shared" si="39"/>
        <v>1</v>
      </c>
      <c r="M103" s="70">
        <f t="shared" si="32"/>
        <v>34.95670995670995</v>
      </c>
      <c r="N103" s="70">
        <f t="shared" si="40"/>
        <v>7.6886094674556661E-4</v>
      </c>
      <c r="O103" s="70">
        <f t="shared" si="41"/>
        <v>93.173076923076906</v>
      </c>
      <c r="P103" s="70">
        <f t="shared" si="33"/>
        <v>0.88846153846153841</v>
      </c>
      <c r="Q103" s="70">
        <f t="shared" si="34"/>
        <v>0.34171597633136097</v>
      </c>
    </row>
    <row r="104" spans="1:17">
      <c r="A104" s="70">
        <f t="shared" si="27"/>
        <v>60</v>
      </c>
      <c r="B104" s="73">
        <f t="shared" si="28"/>
        <v>54.230769230769234</v>
      </c>
      <c r="C104" s="71">
        <f t="shared" si="29"/>
        <v>0</v>
      </c>
      <c r="D104" s="228">
        <f t="shared" si="42"/>
        <v>92.884615384615373</v>
      </c>
      <c r="E104" s="69">
        <f t="shared" si="35"/>
        <v>16.100000000000005</v>
      </c>
      <c r="F104" s="71">
        <f t="shared" si="30"/>
        <v>0.10769230769230768</v>
      </c>
      <c r="G104" s="69">
        <f t="shared" si="36"/>
        <v>16.100000000000005</v>
      </c>
      <c r="H104" s="71">
        <f t="shared" si="31"/>
        <v>16.100000000000005</v>
      </c>
      <c r="I104" s="72">
        <f t="shared" si="37"/>
        <v>7.5250836120401744E-6</v>
      </c>
      <c r="J104" s="79">
        <f t="shared" si="43"/>
        <v>3.3866639674901581E-3</v>
      </c>
      <c r="K104" s="221">
        <f t="shared" si="38"/>
        <v>3.3866639674901582</v>
      </c>
      <c r="L104" s="167">
        <f t="shared" si="39"/>
        <v>1</v>
      </c>
      <c r="M104" s="70">
        <f t="shared" si="32"/>
        <v>38.33333333333335</v>
      </c>
      <c r="N104" s="70">
        <f t="shared" si="40"/>
        <v>6.9896449704142381E-4</v>
      </c>
      <c r="O104" s="70">
        <f t="shared" si="41"/>
        <v>92.884615384615373</v>
      </c>
      <c r="P104" s="70">
        <f t="shared" si="33"/>
        <v>0.80769230769230727</v>
      </c>
      <c r="Q104" s="70">
        <f t="shared" si="34"/>
        <v>0.31065088757396431</v>
      </c>
    </row>
    <row r="105" spans="1:17">
      <c r="A105" s="70">
        <f t="shared" si="27"/>
        <v>60</v>
      </c>
      <c r="B105" s="73">
        <f t="shared" si="28"/>
        <v>54.807692307692307</v>
      </c>
      <c r="C105" s="71">
        <f t="shared" si="29"/>
        <v>0</v>
      </c>
      <c r="D105" s="228">
        <f t="shared" si="42"/>
        <v>92.59615384615384</v>
      </c>
      <c r="E105" s="69">
        <f t="shared" si="35"/>
        <v>16.666666666666668</v>
      </c>
      <c r="F105" s="71">
        <f t="shared" si="30"/>
        <v>0.10769230769230768</v>
      </c>
      <c r="G105" s="69">
        <f t="shared" si="36"/>
        <v>16.666666666666668</v>
      </c>
      <c r="H105" s="71">
        <f t="shared" si="31"/>
        <v>16.666666666666668</v>
      </c>
      <c r="I105" s="72">
        <f t="shared" si="37"/>
        <v>7.2692307692307207E-6</v>
      </c>
      <c r="J105" s="79">
        <f t="shared" si="43"/>
        <v>3.393933198259389E-3</v>
      </c>
      <c r="K105" s="221">
        <f t="shared" si="38"/>
        <v>3.393933198259389</v>
      </c>
      <c r="L105" s="167">
        <f t="shared" si="39"/>
        <v>1</v>
      </c>
      <c r="M105" s="70">
        <f t="shared" si="32"/>
        <v>39.682539682539691</v>
      </c>
      <c r="N105" s="70">
        <f t="shared" si="40"/>
        <v>6.2906804733727406E-4</v>
      </c>
      <c r="O105" s="70">
        <f t="shared" si="41"/>
        <v>86.538461538461561</v>
      </c>
      <c r="P105" s="70">
        <f t="shared" si="33"/>
        <v>0.72692307692307701</v>
      </c>
      <c r="Q105" s="70">
        <f t="shared" si="34"/>
        <v>0.27958579881656809</v>
      </c>
    </row>
    <row r="106" spans="1:17">
      <c r="A106" s="70">
        <f t="shared" ref="A106:A114" si="44">VINMAX</f>
        <v>60</v>
      </c>
      <c r="B106" s="73">
        <f t="shared" ref="B106:B114" si="45">VINMAX*((ROW()-10)/104)</f>
        <v>55.384615384615387</v>
      </c>
      <c r="C106" s="71">
        <f t="shared" ref="C106:C110" si="46">IF(B106&gt;=$H$2,IF($D$2="CC", $G$2, B106/$G$2), 0)</f>
        <v>0</v>
      </c>
      <c r="D106" s="228">
        <f t="shared" si="42"/>
        <v>92.307692307692292</v>
      </c>
      <c r="E106" s="69">
        <f t="shared" si="35"/>
        <v>16.666666666666668</v>
      </c>
      <c r="F106" s="71">
        <f t="shared" ref="F106:F110" si="47">I_Cout_ss+C106</f>
        <v>0.10769230769230768</v>
      </c>
      <c r="G106" s="69">
        <f t="shared" si="36"/>
        <v>16.666666666666668</v>
      </c>
      <c r="H106" s="71">
        <f t="shared" ref="H106:H110" si="48">G106-C106</f>
        <v>16.666666666666668</v>
      </c>
      <c r="I106" s="72">
        <f t="shared" si="37"/>
        <v>7.2692307692308105E-6</v>
      </c>
      <c r="J106" s="79">
        <f t="shared" si="43"/>
        <v>3.4012024290286198E-3</v>
      </c>
      <c r="K106" s="221">
        <f t="shared" si="38"/>
        <v>3.4012024290286198</v>
      </c>
      <c r="L106" s="167">
        <f t="shared" si="39"/>
        <v>1</v>
      </c>
      <c r="M106" s="70">
        <f t="shared" ref="M106:M114" si="49">1/COUTMAX*(E106/2-C106)*1000</f>
        <v>39.682539682539691</v>
      </c>
      <c r="N106" s="70">
        <f t="shared" si="40"/>
        <v>5.5917159763313907E-4</v>
      </c>
      <c r="O106" s="70">
        <f t="shared" si="41"/>
        <v>76.923076923076891</v>
      </c>
      <c r="P106" s="70">
        <f t="shared" ref="P106:P114" si="50">(A106-B106)*(I_Cout_ss*$Q$2+C106)</f>
        <v>0.64615384615384575</v>
      </c>
      <c r="Q106" s="70">
        <f t="shared" ref="Q106:Q114" si="51">(A106-B106)*(I_Cout_ss*$R$2+C106)</f>
        <v>0.24852071005917145</v>
      </c>
    </row>
    <row r="107" spans="1:17">
      <c r="A107" s="70">
        <f t="shared" si="44"/>
        <v>60</v>
      </c>
      <c r="B107" s="73">
        <f t="shared" si="45"/>
        <v>55.96153846153846</v>
      </c>
      <c r="C107" s="71">
        <f t="shared" si="46"/>
        <v>0</v>
      </c>
      <c r="D107" s="228">
        <f t="shared" si="42"/>
        <v>92.019230769230759</v>
      </c>
      <c r="E107" s="69">
        <f t="shared" si="35"/>
        <v>16.666666666666668</v>
      </c>
      <c r="F107" s="71">
        <f t="shared" si="47"/>
        <v>0.10769230769230768</v>
      </c>
      <c r="G107" s="69">
        <f t="shared" si="36"/>
        <v>16.666666666666668</v>
      </c>
      <c r="H107" s="71">
        <f t="shared" si="48"/>
        <v>16.666666666666668</v>
      </c>
      <c r="I107" s="72">
        <f t="shared" ref="I107:I110" si="52">(COUTMAX/1000000)*(B107-B106)/H107</f>
        <v>7.2692307692307207E-6</v>
      </c>
      <c r="J107" s="79">
        <f t="shared" si="43"/>
        <v>3.4084716597978506E-3</v>
      </c>
      <c r="K107" s="221">
        <f t="shared" si="38"/>
        <v>3.4084716597978506</v>
      </c>
      <c r="L107" s="167">
        <f t="shared" si="39"/>
        <v>1</v>
      </c>
      <c r="M107" s="70">
        <f t="shared" si="49"/>
        <v>39.682539682539691</v>
      </c>
      <c r="N107" s="70">
        <f t="shared" si="40"/>
        <v>4.8927514792899106E-4</v>
      </c>
      <c r="O107" s="70">
        <f t="shared" si="41"/>
        <v>67.307692307692335</v>
      </c>
      <c r="P107" s="70">
        <f t="shared" si="50"/>
        <v>0.5653846153846156</v>
      </c>
      <c r="Q107" s="70">
        <f t="shared" si="51"/>
        <v>0.21745562130177523</v>
      </c>
    </row>
    <row r="108" spans="1:17">
      <c r="A108" s="70">
        <f t="shared" si="44"/>
        <v>60</v>
      </c>
      <c r="B108" s="73">
        <f t="shared" si="45"/>
        <v>56.53846153846154</v>
      </c>
      <c r="C108" s="71">
        <f t="shared" si="46"/>
        <v>0</v>
      </c>
      <c r="D108" s="228">
        <f t="shared" si="42"/>
        <v>91.730769230769212</v>
      </c>
      <c r="E108" s="69">
        <f t="shared" si="35"/>
        <v>16.666666666666668</v>
      </c>
      <c r="F108" s="71">
        <f t="shared" si="47"/>
        <v>0.10769230769230768</v>
      </c>
      <c r="G108" s="69">
        <f t="shared" si="36"/>
        <v>16.666666666666668</v>
      </c>
      <c r="H108" s="71">
        <f t="shared" si="48"/>
        <v>16.666666666666668</v>
      </c>
      <c r="I108" s="72">
        <f t="shared" si="52"/>
        <v>7.2692307692308105E-6</v>
      </c>
      <c r="J108" s="79">
        <f t="shared" si="43"/>
        <v>3.4157408905670815E-3</v>
      </c>
      <c r="K108" s="221">
        <f t="shared" si="38"/>
        <v>3.4157408905670814</v>
      </c>
      <c r="L108" s="167">
        <f t="shared" si="39"/>
        <v>1</v>
      </c>
      <c r="M108" s="70">
        <f t="shared" si="49"/>
        <v>39.682539682539691</v>
      </c>
      <c r="N108" s="70">
        <f t="shared" si="40"/>
        <v>4.1937869822485433E-4</v>
      </c>
      <c r="O108" s="70">
        <f t="shared" si="41"/>
        <v>57.692307692307672</v>
      </c>
      <c r="P108" s="70">
        <f t="shared" si="50"/>
        <v>0.48461538461538434</v>
      </c>
      <c r="Q108" s="70">
        <f t="shared" si="51"/>
        <v>0.1863905325443786</v>
      </c>
    </row>
    <row r="109" spans="1:17">
      <c r="A109" s="70">
        <f t="shared" si="44"/>
        <v>60</v>
      </c>
      <c r="B109" s="73">
        <f t="shared" si="45"/>
        <v>57.115384615384613</v>
      </c>
      <c r="C109" s="71">
        <f t="shared" si="46"/>
        <v>0</v>
      </c>
      <c r="D109" s="228">
        <f t="shared" si="42"/>
        <v>91.442307692307679</v>
      </c>
      <c r="E109" s="69">
        <f t="shared" si="35"/>
        <v>16.666666666666668</v>
      </c>
      <c r="F109" s="71">
        <f t="shared" si="47"/>
        <v>0.10769230769230768</v>
      </c>
      <c r="G109" s="69">
        <f t="shared" si="36"/>
        <v>16.666666666666668</v>
      </c>
      <c r="H109" s="71">
        <f t="shared" si="48"/>
        <v>16.666666666666668</v>
      </c>
      <c r="I109" s="72">
        <f t="shared" si="52"/>
        <v>7.2692307692307207E-6</v>
      </c>
      <c r="J109" s="79">
        <f t="shared" si="43"/>
        <v>3.4230101213363123E-3</v>
      </c>
      <c r="K109" s="221">
        <f t="shared" si="38"/>
        <v>3.4230101213363122</v>
      </c>
      <c r="L109" s="167">
        <f t="shared" si="39"/>
        <v>1</v>
      </c>
      <c r="M109" s="70">
        <f t="shared" si="49"/>
        <v>39.682539682539691</v>
      </c>
      <c r="N109" s="70">
        <f t="shared" si="40"/>
        <v>3.49482248520708E-4</v>
      </c>
      <c r="O109" s="70">
        <f t="shared" si="41"/>
        <v>48.076923076923116</v>
      </c>
      <c r="P109" s="70">
        <f t="shared" si="50"/>
        <v>0.40384615384615413</v>
      </c>
      <c r="Q109" s="70">
        <f t="shared" si="51"/>
        <v>0.15532544378698235</v>
      </c>
    </row>
    <row r="110" spans="1:17">
      <c r="A110" s="70">
        <f t="shared" si="44"/>
        <v>60</v>
      </c>
      <c r="B110" s="73">
        <f t="shared" si="45"/>
        <v>57.692307692307693</v>
      </c>
      <c r="C110" s="71">
        <f t="shared" si="46"/>
        <v>0</v>
      </c>
      <c r="D110" s="228">
        <f t="shared" si="42"/>
        <v>91.153846153846132</v>
      </c>
      <c r="E110" s="69">
        <f t="shared" si="35"/>
        <v>16.666666666666668</v>
      </c>
      <c r="F110" s="71">
        <f t="shared" si="47"/>
        <v>0.10769230769230768</v>
      </c>
      <c r="G110" s="69">
        <f t="shared" si="36"/>
        <v>16.666666666666668</v>
      </c>
      <c r="H110" s="71">
        <f t="shared" si="48"/>
        <v>16.666666666666668</v>
      </c>
      <c r="I110" s="72">
        <f t="shared" si="52"/>
        <v>7.2692307692308105E-6</v>
      </c>
      <c r="J110" s="79">
        <f t="shared" si="43"/>
        <v>3.4302793521055431E-3</v>
      </c>
      <c r="K110" s="221">
        <f t="shared" si="38"/>
        <v>3.430279352105543</v>
      </c>
      <c r="L110" s="167">
        <f t="shared" si="39"/>
        <v>1</v>
      </c>
      <c r="M110" s="70">
        <f t="shared" si="49"/>
        <v>39.682539682539691</v>
      </c>
      <c r="N110" s="70">
        <f t="shared" si="40"/>
        <v>2.7958579881656953E-4</v>
      </c>
      <c r="O110" s="70">
        <f t="shared" si="41"/>
        <v>38.461538461538446</v>
      </c>
      <c r="P110" s="70">
        <f t="shared" si="50"/>
        <v>0.32307692307692287</v>
      </c>
      <c r="Q110" s="70">
        <f t="shared" si="51"/>
        <v>0.12426035502958573</v>
      </c>
    </row>
    <row r="111" spans="1:17">
      <c r="A111" s="70">
        <f t="shared" si="44"/>
        <v>60</v>
      </c>
      <c r="B111" s="73">
        <f t="shared" si="45"/>
        <v>58.269230769230766</v>
      </c>
      <c r="C111" s="71">
        <f>IF(B111&gt;=$H$2,IF($D$2="CC", $G$2, B111/$G$2), 0)</f>
        <v>0</v>
      </c>
      <c r="D111" s="228">
        <f t="shared" si="42"/>
        <v>90.865384615384599</v>
      </c>
      <c r="E111" s="69">
        <f>$C$2</f>
        <v>16.666666666666668</v>
      </c>
      <c r="F111" s="71">
        <f>I_Cout_ss+C111</f>
        <v>0.10769230769230768</v>
      </c>
      <c r="G111" s="69">
        <f>IF($F$2="YES", F111, E111)</f>
        <v>16.666666666666668</v>
      </c>
      <c r="H111" s="71">
        <f>G111-C111</f>
        <v>16.666666666666668</v>
      </c>
      <c r="I111" s="72">
        <f>(COUTMAX/1000000)*(B111-B110)/H111</f>
        <v>7.2692307692307207E-6</v>
      </c>
      <c r="J111" s="79">
        <f>J110+I111</f>
        <v>3.437548582874774E-3</v>
      </c>
      <c r="K111" s="221">
        <f t="shared" si="38"/>
        <v>3.4375485828747738</v>
      </c>
      <c r="L111" s="167">
        <f>H111/G111</f>
        <v>1</v>
      </c>
      <c r="M111" s="70">
        <f t="shared" si="49"/>
        <v>39.682539682539691</v>
      </c>
      <c r="N111" s="70">
        <f>I111*G111*(A111-B111)</f>
        <v>2.0968934911242497E-4</v>
      </c>
      <c r="O111" s="70">
        <f t="shared" si="41"/>
        <v>28.846153846153893</v>
      </c>
      <c r="P111" s="70">
        <f t="shared" si="50"/>
        <v>0.24230769230769267</v>
      </c>
      <c r="Q111" s="70">
        <f t="shared" si="51"/>
        <v>9.3195266272189492E-2</v>
      </c>
    </row>
    <row r="112" spans="1:17">
      <c r="A112" s="70">
        <f t="shared" si="44"/>
        <v>60</v>
      </c>
      <c r="B112" s="73">
        <f t="shared" si="45"/>
        <v>58.846153846153847</v>
      </c>
      <c r="C112" s="71">
        <f>IF(B112&gt;=$H$2,IF($D$2="CC", $G$2, B112/$G$2), 0)</f>
        <v>0</v>
      </c>
      <c r="D112" s="228">
        <f t="shared" si="42"/>
        <v>90.576923076923066</v>
      </c>
      <c r="E112" s="69">
        <f>$C$2</f>
        <v>16.666666666666668</v>
      </c>
      <c r="F112" s="71">
        <f t="shared" ref="F112:F113" si="53">I_Cout_ss+C112</f>
        <v>0.10769230769230768</v>
      </c>
      <c r="G112" s="69">
        <f t="shared" ref="G112:G113" si="54">IF($F$2="YES", F112, E112)</f>
        <v>16.666666666666668</v>
      </c>
      <c r="H112" s="71">
        <f t="shared" ref="H112:H113" si="55">G112-C112</f>
        <v>16.666666666666668</v>
      </c>
      <c r="I112" s="72">
        <f t="shared" ref="I112:I113" si="56">(COUTMAX/1000000)*(B112-B111)/H112</f>
        <v>7.2692307692308105E-6</v>
      </c>
      <c r="J112" s="79">
        <f t="shared" ref="J112:J113" si="57">J111+I112</f>
        <v>3.4448178136440048E-3</v>
      </c>
      <c r="K112" s="221">
        <f t="shared" si="38"/>
        <v>3.4448178136440046</v>
      </c>
      <c r="L112" s="167">
        <f t="shared" ref="L112:L113" si="58">H112/G112</f>
        <v>1</v>
      </c>
      <c r="M112" s="70">
        <f t="shared" si="49"/>
        <v>39.682539682539691</v>
      </c>
      <c r="N112" s="70">
        <f t="shared" ref="N112:N113" si="59">I112*G112*(A112-B112)</f>
        <v>1.3979289940828477E-4</v>
      </c>
      <c r="O112" s="70">
        <f t="shared" si="41"/>
        <v>19.230769230769223</v>
      </c>
      <c r="P112" s="70">
        <f t="shared" si="50"/>
        <v>0.16153846153846144</v>
      </c>
      <c r="Q112" s="70">
        <f t="shared" si="51"/>
        <v>6.2130177514792863E-2</v>
      </c>
    </row>
    <row r="113" spans="1:17">
      <c r="A113" s="70">
        <f t="shared" si="44"/>
        <v>60</v>
      </c>
      <c r="B113" s="73">
        <f t="shared" si="45"/>
        <v>59.423076923076927</v>
      </c>
      <c r="C113" s="71">
        <f>IF(B113&gt;=$H$2,IF($D$2="CC", $G$2, B113/$G$2), 0)</f>
        <v>0</v>
      </c>
      <c r="D113" s="228">
        <f t="shared" si="42"/>
        <v>90.288461538461519</v>
      </c>
      <c r="E113" s="69">
        <f>$C$2</f>
        <v>16.666666666666668</v>
      </c>
      <c r="F113" s="71">
        <f t="shared" si="53"/>
        <v>0.10769230769230768</v>
      </c>
      <c r="G113" s="69">
        <f t="shared" si="54"/>
        <v>16.666666666666668</v>
      </c>
      <c r="H113" s="71">
        <f t="shared" si="55"/>
        <v>16.666666666666668</v>
      </c>
      <c r="I113" s="72">
        <f t="shared" si="56"/>
        <v>7.2692307692308105E-6</v>
      </c>
      <c r="J113" s="79">
        <f t="shared" si="57"/>
        <v>3.4520870444132356E-3</v>
      </c>
      <c r="K113" s="221">
        <f t="shared" si="38"/>
        <v>3.4520870444132354</v>
      </c>
      <c r="L113" s="167">
        <f t="shared" si="58"/>
        <v>1</v>
      </c>
      <c r="M113" s="70">
        <f t="shared" si="49"/>
        <v>39.682539682539691</v>
      </c>
      <c r="N113" s="70">
        <f t="shared" si="59"/>
        <v>6.989644970414195E-5</v>
      </c>
      <c r="O113" s="70">
        <f t="shared" si="41"/>
        <v>9.6153846153845528</v>
      </c>
      <c r="P113" s="70">
        <f t="shared" si="50"/>
        <v>8.0769230769230219E-2</v>
      </c>
      <c r="Q113" s="70">
        <f t="shared" si="51"/>
        <v>3.1065088757396241E-2</v>
      </c>
    </row>
    <row r="114" spans="1:17">
      <c r="A114" s="70">
        <f t="shared" si="44"/>
        <v>60</v>
      </c>
      <c r="B114" s="73">
        <f t="shared" si="45"/>
        <v>60</v>
      </c>
      <c r="C114" s="71">
        <f>IF(B114&gt;=$H$2,IF($D$2="CC", $G$2, B114/$G$2), 0)</f>
        <v>0</v>
      </c>
      <c r="D114" s="228">
        <f t="shared" si="42"/>
        <v>89.999999999999986</v>
      </c>
      <c r="E114" s="69">
        <f>$C$2</f>
        <v>16.666666666666668</v>
      </c>
      <c r="F114" s="71">
        <f t="shared" ref="F114" si="60">I_Cout_ss+C114</f>
        <v>0.10769230769230768</v>
      </c>
      <c r="G114" s="69">
        <f t="shared" ref="G114" si="61">IF($F$2="YES", F114, E114)</f>
        <v>16.666666666666668</v>
      </c>
      <c r="H114" s="71">
        <f t="shared" ref="H114" si="62">G114-C114</f>
        <v>16.666666666666668</v>
      </c>
      <c r="I114" s="72">
        <f t="shared" ref="I114" si="63">(COUTMAX/1000000)*(B114-B113)/H114</f>
        <v>7.2692307692307207E-6</v>
      </c>
      <c r="J114" s="79">
        <f t="shared" ref="J114" si="64">J113+I114</f>
        <v>3.4593562751824665E-3</v>
      </c>
      <c r="K114" s="221">
        <f t="shared" si="38"/>
        <v>3.4593562751824662</v>
      </c>
      <c r="L114" s="167">
        <f t="shared" ref="L114" si="65">H114/G114</f>
        <v>1</v>
      </c>
      <c r="M114" s="70">
        <f t="shared" si="49"/>
        <v>39.682539682539691</v>
      </c>
      <c r="N114" s="70">
        <f t="shared" ref="N114" si="66">I114*G114*(A114-B114)</f>
        <v>0</v>
      </c>
      <c r="O114" s="70">
        <f t="shared" si="41"/>
        <v>0</v>
      </c>
      <c r="P114" s="70">
        <f t="shared" si="50"/>
        <v>0</v>
      </c>
      <c r="Q114" s="70">
        <f t="shared" si="51"/>
        <v>0</v>
      </c>
    </row>
    <row r="115" spans="1:17">
      <c r="K115" s="222">
        <f>K114+0.5</f>
        <v>3.9593562751824662</v>
      </c>
      <c r="N115" s="70">
        <v>0</v>
      </c>
      <c r="O115" s="70">
        <v>0</v>
      </c>
    </row>
  </sheetData>
  <mergeCells count="1">
    <mergeCell ref="X12:Y12"/>
  </mergeCells>
  <phoneticPr fontId="51"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I24" sqref="I24"/>
    </sheetView>
  </sheetViews>
  <sheetFormatPr defaultRowHeight="13.2"/>
  <cols>
    <col min="1" max="1" width="19.77734375" customWidth="1"/>
    <col min="2" max="2" width="17.21875" customWidth="1"/>
    <col min="3" max="3" width="13.21875" customWidth="1"/>
    <col min="4" max="4" width="16" customWidth="1"/>
    <col min="5" max="6" width="17.77734375" customWidth="1"/>
    <col min="7" max="7" width="31.5546875" customWidth="1"/>
    <col min="8" max="8" width="20" customWidth="1"/>
    <col min="13" max="13" width="12.77734375" customWidth="1"/>
    <col min="15" max="15" width="17.21875" customWidth="1"/>
    <col min="17" max="17" width="13.21875" customWidth="1"/>
    <col min="18" max="18" width="16.77734375" customWidth="1"/>
    <col min="20" max="20" width="13" customWidth="1"/>
    <col min="21" max="21" width="10.21875" customWidth="1"/>
  </cols>
  <sheetData>
    <row r="1" spans="1:22">
      <c r="C1" s="9"/>
      <c r="D1" s="9"/>
      <c r="E1" s="9"/>
      <c r="F1" s="9"/>
      <c r="G1" s="9"/>
    </row>
    <row r="2" spans="1:22">
      <c r="A2" s="82"/>
      <c r="B2" s="213"/>
      <c r="C2" s="366" t="s">
        <v>175</v>
      </c>
      <c r="D2" s="367"/>
      <c r="E2" s="367"/>
      <c r="F2" s="92"/>
      <c r="G2" s="92"/>
      <c r="H2" s="33" t="s">
        <v>195</v>
      </c>
      <c r="I2" s="9"/>
      <c r="J2" s="9"/>
      <c r="K2" s="9"/>
      <c r="L2" s="9"/>
      <c r="M2" s="9"/>
      <c r="N2" s="9"/>
      <c r="O2" s="83"/>
      <c r="P2" s="83"/>
      <c r="Q2" s="83"/>
      <c r="R2" s="83"/>
      <c r="S2" s="83"/>
      <c r="T2" s="83"/>
      <c r="U2" s="9"/>
      <c r="V2" s="9"/>
    </row>
    <row r="3" spans="1:22">
      <c r="A3" s="82"/>
      <c r="B3" s="84" t="s">
        <v>232</v>
      </c>
      <c r="C3" s="84" t="s">
        <v>176</v>
      </c>
      <c r="D3" s="84" t="s">
        <v>177</v>
      </c>
      <c r="E3" s="84" t="s">
        <v>178</v>
      </c>
      <c r="F3" s="214" t="s">
        <v>378</v>
      </c>
      <c r="G3" s="89"/>
      <c r="H3" s="33" t="s">
        <v>193</v>
      </c>
      <c r="I3" s="85"/>
      <c r="J3" s="85"/>
      <c r="K3" s="85"/>
      <c r="L3" s="85"/>
      <c r="M3" s="85"/>
      <c r="N3" s="9"/>
      <c r="O3" s="85"/>
      <c r="P3" s="85"/>
      <c r="Q3" s="86"/>
      <c r="R3" s="86"/>
      <c r="S3" s="86"/>
      <c r="T3" s="86"/>
      <c r="U3" s="9"/>
      <c r="V3" s="9"/>
    </row>
    <row r="4" spans="1:22" ht="21.6" customHeight="1">
      <c r="A4" s="84" t="s">
        <v>179</v>
      </c>
      <c r="B4" s="82">
        <f>'Design Calculator'!AN57</f>
        <v>100</v>
      </c>
      <c r="C4" s="87">
        <f>'Design Calculator'!$AN$58</f>
        <v>30</v>
      </c>
      <c r="D4" s="87">
        <f>'Design Calculator'!$AN$59</f>
        <v>6</v>
      </c>
      <c r="E4" s="87">
        <f>IF('Design Calculator'!$AN$60 = "NA", F4, 'Design Calculator'!$AN$60)</f>
        <v>2</v>
      </c>
      <c r="F4" s="87">
        <f>'Design Calculator'!AN61</f>
        <v>1.5</v>
      </c>
      <c r="G4" s="93"/>
      <c r="H4" s="33" t="s">
        <v>194</v>
      </c>
      <c r="I4" s="85"/>
      <c r="J4" s="85"/>
      <c r="K4" s="85"/>
      <c r="L4" s="86"/>
      <c r="M4" s="86"/>
      <c r="N4" s="9"/>
      <c r="O4" s="85"/>
      <c r="P4" s="85"/>
      <c r="Q4" s="86"/>
      <c r="R4" s="86"/>
      <c r="S4" s="86"/>
      <c r="T4" s="86"/>
      <c r="U4" s="9"/>
      <c r="V4" s="9"/>
    </row>
    <row r="5" spans="1:22">
      <c r="A5" s="9"/>
      <c r="C5" s="85"/>
      <c r="D5" s="86"/>
      <c r="E5" s="86"/>
      <c r="F5" s="88"/>
      <c r="G5" s="88"/>
      <c r="H5" s="9"/>
      <c r="I5" s="85"/>
      <c r="J5" s="85"/>
      <c r="K5" s="85"/>
      <c r="L5" s="86"/>
      <c r="M5" s="86"/>
      <c r="N5" s="368"/>
      <c r="O5" s="368"/>
      <c r="P5" s="368"/>
      <c r="Q5" s="86"/>
      <c r="R5" s="369"/>
      <c r="S5" s="370"/>
      <c r="T5" s="370"/>
      <c r="U5" s="9"/>
      <c r="V5" s="9"/>
    </row>
    <row r="6" spans="1:22">
      <c r="A6" s="9"/>
      <c r="C6" s="85"/>
      <c r="D6" s="86"/>
      <c r="E6" s="86"/>
      <c r="F6" s="88"/>
      <c r="G6" s="88"/>
      <c r="H6" s="9"/>
      <c r="I6" s="85"/>
      <c r="J6" s="85"/>
      <c r="K6" s="85"/>
      <c r="L6" s="86"/>
      <c r="M6" s="86"/>
      <c r="N6" s="9"/>
      <c r="O6" s="89"/>
      <c r="P6" s="9"/>
      <c r="Q6" s="9"/>
      <c r="R6" s="9"/>
      <c r="S6" s="9"/>
      <c r="T6" s="9"/>
      <c r="U6" s="9"/>
      <c r="V6" s="9"/>
    </row>
    <row r="7" spans="1:22" ht="17.399999999999999">
      <c r="A7" s="9"/>
      <c r="B7" s="90" t="s">
        <v>373</v>
      </c>
      <c r="G7" s="200" t="s">
        <v>360</v>
      </c>
      <c r="H7" s="9"/>
      <c r="J7" s="174"/>
      <c r="K7" s="86"/>
      <c r="L7" s="9"/>
      <c r="M7" s="9"/>
      <c r="N7" s="89"/>
      <c r="O7" s="89"/>
      <c r="P7" s="89"/>
      <c r="Q7" s="9"/>
      <c r="R7" s="9"/>
      <c r="S7" s="9"/>
      <c r="T7" s="91"/>
      <c r="U7" s="85"/>
      <c r="V7" s="9"/>
    </row>
    <row r="8" spans="1:22" ht="17.399999999999999">
      <c r="A8" s="9"/>
      <c r="B8" s="33" t="s">
        <v>180</v>
      </c>
      <c r="C8">
        <f>IF('Design Calculator'!F72="No", 'Design Calculator'!$F$78,'Design Calculator'!F91)</f>
        <v>6.2399999999999993</v>
      </c>
      <c r="D8" s="33" t="s">
        <v>8</v>
      </c>
      <c r="G8" s="33" t="s">
        <v>180</v>
      </c>
      <c r="H8">
        <f>Equations!F69</f>
        <v>3.1197115384615381</v>
      </c>
      <c r="J8" s="96"/>
      <c r="K8" s="86"/>
      <c r="L8" s="9"/>
      <c r="M8" s="9"/>
      <c r="N8" s="89"/>
      <c r="O8" s="9"/>
      <c r="P8" s="91"/>
      <c r="Q8" s="9"/>
      <c r="R8" s="9"/>
      <c r="S8" s="9"/>
      <c r="T8" s="91"/>
      <c r="U8" s="85"/>
      <c r="V8" s="9"/>
    </row>
    <row r="9" spans="1:22" ht="17.399999999999999">
      <c r="A9" s="9"/>
      <c r="B9" s="33" t="s">
        <v>181</v>
      </c>
      <c r="C9">
        <f>VINMAX</f>
        <v>60</v>
      </c>
      <c r="D9" t="s">
        <v>86</v>
      </c>
      <c r="G9" s="33" t="s">
        <v>181</v>
      </c>
      <c r="H9">
        <f>VINMAX</f>
        <v>60</v>
      </c>
      <c r="K9" s="86"/>
      <c r="L9" s="9"/>
      <c r="M9" s="9"/>
      <c r="N9" s="89"/>
      <c r="O9" s="9"/>
      <c r="P9" s="91"/>
      <c r="Q9" s="9"/>
      <c r="R9" s="9"/>
      <c r="S9" s="9"/>
      <c r="T9" s="91"/>
      <c r="U9" s="9"/>
      <c r="V9" s="9"/>
    </row>
    <row r="10" spans="1:22" ht="17.399999999999999">
      <c r="A10" s="9"/>
      <c r="B10" s="33" t="s">
        <v>182</v>
      </c>
      <c r="C10">
        <f>IF(C8&lt;10, IF(C8&lt;1, 0.1, 1), IF(C8&lt;100, 10, 100))</f>
        <v>1</v>
      </c>
      <c r="D10" s="33" t="s">
        <v>8</v>
      </c>
      <c r="G10" s="33" t="s">
        <v>182</v>
      </c>
      <c r="H10">
        <f>IF(H8&lt;10, IF(H8&lt;1, 0.1, 1), IF(H8&lt;100, 10, 100))</f>
        <v>1</v>
      </c>
      <c r="K10" s="86"/>
      <c r="L10" s="9"/>
      <c r="M10" s="9"/>
      <c r="N10" s="89"/>
      <c r="O10" s="9"/>
      <c r="P10" s="91"/>
      <c r="Q10" s="9"/>
      <c r="R10" s="9"/>
      <c r="S10" s="9"/>
      <c r="T10" s="91"/>
      <c r="U10" s="9"/>
      <c r="V10" s="9"/>
    </row>
    <row r="11" spans="1:22" ht="17.399999999999999">
      <c r="A11" s="9"/>
      <c r="B11" s="268" t="s">
        <v>468</v>
      </c>
      <c r="C11">
        <f>IF('Design Calculator'!F60="NA", MIN(SOA!C10,1),SOA!C10)</f>
        <v>1</v>
      </c>
      <c r="D11" s="33"/>
      <c r="G11" s="33" t="s">
        <v>468</v>
      </c>
      <c r="H11">
        <f>IF('Design Calculator'!F60="NA", MIN(SOA!H10,1),SOA!H10)</f>
        <v>1</v>
      </c>
      <c r="K11" s="86"/>
      <c r="L11" s="9"/>
      <c r="M11" s="9"/>
      <c r="N11" s="9"/>
      <c r="O11" s="9"/>
      <c r="P11" s="91"/>
      <c r="Q11" s="9"/>
      <c r="R11" s="9"/>
      <c r="S11" s="9"/>
      <c r="T11" s="9"/>
      <c r="U11" s="9"/>
      <c r="V11" s="9"/>
    </row>
    <row r="12" spans="1:22">
      <c r="A12" s="9"/>
      <c r="B12" s="33" t="s">
        <v>183</v>
      </c>
      <c r="C12">
        <f>C10*10</f>
        <v>10</v>
      </c>
      <c r="D12" s="33" t="s">
        <v>8</v>
      </c>
      <c r="G12" s="33" t="s">
        <v>451</v>
      </c>
      <c r="H12">
        <f>H10*10</f>
        <v>10</v>
      </c>
      <c r="K12" s="86"/>
      <c r="L12" s="9"/>
      <c r="M12" s="9"/>
      <c r="N12" s="9"/>
      <c r="O12" s="9"/>
      <c r="P12" s="9"/>
      <c r="Q12" s="9"/>
      <c r="R12" s="9"/>
      <c r="S12" s="9"/>
      <c r="T12" s="9"/>
      <c r="U12" s="9"/>
      <c r="V12" s="9"/>
    </row>
    <row r="13" spans="1:22">
      <c r="A13" s="9"/>
      <c r="B13" s="268" t="s">
        <v>469</v>
      </c>
      <c r="C13">
        <f>IF('Design Calculator'!F61="NA", MIN(SOA!C12,10),SOA!C12)</f>
        <v>10</v>
      </c>
      <c r="D13" s="33"/>
      <c r="G13" s="33" t="s">
        <v>469</v>
      </c>
      <c r="H13">
        <f>IF('Design Calculator'!F61="NA", MIN(SOA!H12,10),SOA!H12)</f>
        <v>10</v>
      </c>
      <c r="K13" s="86"/>
      <c r="L13" s="9"/>
      <c r="M13" s="9"/>
      <c r="N13" s="9"/>
      <c r="O13" s="9"/>
      <c r="P13" s="9"/>
      <c r="Q13" s="9"/>
      <c r="R13" s="9"/>
      <c r="S13" s="9"/>
      <c r="T13" s="9"/>
      <c r="U13" s="9"/>
      <c r="V13" s="9"/>
    </row>
    <row r="14" spans="1:22">
      <c r="A14" s="9"/>
      <c r="B14" s="33" t="s">
        <v>184</v>
      </c>
      <c r="C14">
        <f>IF(C10=0.1, B4, IF(C10=1, C4, IF(C10=10, D4, E4)))</f>
        <v>30</v>
      </c>
      <c r="D14" s="33" t="s">
        <v>25</v>
      </c>
      <c r="G14" s="33" t="s">
        <v>184</v>
      </c>
      <c r="H14">
        <f>IF(H11=0.1, B4, IF(H11=1, C4, IF(H11=10, D4, E4)))</f>
        <v>30</v>
      </c>
      <c r="K14" s="86"/>
      <c r="L14" s="9"/>
      <c r="M14" s="9"/>
      <c r="N14" s="9"/>
      <c r="O14" s="9"/>
      <c r="P14" s="9"/>
      <c r="Q14" s="9"/>
      <c r="R14" s="9"/>
      <c r="S14" s="9"/>
      <c r="T14" s="9"/>
      <c r="U14" s="9"/>
      <c r="V14" s="9"/>
    </row>
    <row r="15" spans="1:22">
      <c r="A15" s="9"/>
      <c r="B15" s="33" t="s">
        <v>185</v>
      </c>
      <c r="C15">
        <f>IF(C12=1000, F4, IF(C12=1, C4, IF(C12=10, D4, E4)))</f>
        <v>6</v>
      </c>
      <c r="D15" s="33" t="s">
        <v>25</v>
      </c>
      <c r="G15" s="33" t="s">
        <v>185</v>
      </c>
      <c r="H15">
        <f>IF(H13=1000, F4, IF(H13=1, C4, IF(H13=10, D4, E4)))</f>
        <v>6</v>
      </c>
      <c r="K15" s="86"/>
      <c r="L15" s="9"/>
      <c r="M15" s="9"/>
      <c r="N15" s="9"/>
      <c r="O15" s="9"/>
      <c r="P15" s="9"/>
      <c r="Q15" s="9"/>
      <c r="R15" s="9"/>
      <c r="S15" s="9"/>
      <c r="T15" s="9"/>
      <c r="U15" s="9"/>
      <c r="V15" s="9"/>
    </row>
    <row r="16" spans="1:22">
      <c r="A16" s="9"/>
      <c r="K16" s="86"/>
      <c r="L16" s="9"/>
      <c r="M16" s="9"/>
      <c r="N16" s="9"/>
      <c r="O16" s="9"/>
      <c r="P16" s="9"/>
      <c r="Q16" s="9"/>
      <c r="R16" s="9"/>
      <c r="S16" s="9"/>
      <c r="T16" s="9"/>
      <c r="U16" s="9"/>
      <c r="V16" s="9"/>
    </row>
    <row r="17" spans="1:22">
      <c r="A17" s="9"/>
      <c r="B17" s="33" t="s">
        <v>189</v>
      </c>
      <c r="G17" s="33" t="s">
        <v>189</v>
      </c>
      <c r="K17" s="86"/>
      <c r="L17" s="9"/>
      <c r="M17" s="9"/>
      <c r="N17" s="9"/>
      <c r="O17" s="9"/>
      <c r="P17" s="9"/>
      <c r="Q17" s="9"/>
      <c r="R17" s="9"/>
      <c r="S17" s="9"/>
      <c r="T17" s="9"/>
      <c r="U17" s="9"/>
      <c r="V17" s="9"/>
    </row>
    <row r="18" spans="1:22">
      <c r="A18" s="9"/>
      <c r="B18" s="33" t="s">
        <v>186</v>
      </c>
      <c r="C18">
        <f>C14/C11^C19</f>
        <v>30</v>
      </c>
      <c r="F18" s="33"/>
      <c r="G18" s="33" t="s">
        <v>186</v>
      </c>
      <c r="H18">
        <f>H14/H11^H19</f>
        <v>30</v>
      </c>
      <c r="O18" s="243"/>
      <c r="P18" s="243"/>
      <c r="Q18" s="9"/>
      <c r="R18" s="9"/>
      <c r="S18" s="9"/>
      <c r="T18" s="9"/>
      <c r="U18" s="9"/>
      <c r="V18" s="9"/>
    </row>
    <row r="19" spans="1:22">
      <c r="A19" s="9"/>
      <c r="B19" s="33" t="s">
        <v>187</v>
      </c>
      <c r="C19">
        <f>LOG(C14/C15)/LOG(C11/C13)</f>
        <v>-0.69897000433601886</v>
      </c>
      <c r="F19" s="33"/>
      <c r="G19" s="33" t="s">
        <v>187</v>
      </c>
      <c r="H19">
        <f>IF(H14=H15,0.000000000001,LOG(H14/H15)/LOG(H11/H13))</f>
        <v>-0.69897000433601886</v>
      </c>
      <c r="I19" s="33" t="s">
        <v>458</v>
      </c>
      <c r="K19" s="86"/>
      <c r="L19" s="9"/>
      <c r="M19" s="243"/>
      <c r="N19" s="243"/>
      <c r="O19" s="9"/>
      <c r="P19" s="9"/>
      <c r="Q19" s="9"/>
      <c r="R19" s="9"/>
      <c r="S19" s="9"/>
      <c r="T19" s="9"/>
      <c r="U19" s="9"/>
      <c r="V19" s="9"/>
    </row>
    <row r="20" spans="1:22">
      <c r="A20" s="9"/>
      <c r="B20" s="33" t="s">
        <v>188</v>
      </c>
      <c r="C20">
        <f>C18*C8^C19</f>
        <v>8.3427855186100732</v>
      </c>
      <c r="D20" s="33" t="s">
        <v>25</v>
      </c>
      <c r="G20" s="33" t="s">
        <v>188</v>
      </c>
      <c r="H20">
        <f>H18*H8^H19</f>
        <v>13.544097859927485</v>
      </c>
      <c r="K20" s="86"/>
      <c r="L20" s="9"/>
      <c r="M20" s="89"/>
      <c r="N20" s="9"/>
      <c r="O20" s="9"/>
      <c r="P20" s="9"/>
      <c r="Q20" s="9"/>
      <c r="R20" s="9"/>
      <c r="S20" s="9"/>
      <c r="T20" s="9"/>
      <c r="U20" s="9"/>
      <c r="V20" s="9"/>
    </row>
    <row r="21" spans="1:22">
      <c r="A21" s="9"/>
      <c r="K21" s="86"/>
      <c r="L21" s="9"/>
      <c r="M21" s="9"/>
      <c r="N21" s="85"/>
      <c r="O21" s="9"/>
      <c r="P21" s="9"/>
      <c r="Q21" s="9"/>
      <c r="R21" s="9"/>
      <c r="S21" s="9"/>
      <c r="T21" s="9"/>
      <c r="U21" s="9"/>
      <c r="V21" s="9"/>
    </row>
    <row r="22" spans="1:22">
      <c r="A22" s="9"/>
      <c r="B22" s="34" t="s">
        <v>190</v>
      </c>
      <c r="C22">
        <f xml:space="preserve"> C20*C9</f>
        <v>500.5671311166044</v>
      </c>
      <c r="D22" s="33"/>
      <c r="G22" s="34" t="s">
        <v>190</v>
      </c>
      <c r="H22">
        <f xml:space="preserve"> H20*H9</f>
        <v>812.64587159564906</v>
      </c>
      <c r="K22" s="86"/>
      <c r="L22" s="9"/>
      <c r="M22" s="9"/>
      <c r="N22" s="9"/>
      <c r="O22" s="9"/>
      <c r="P22" s="9"/>
      <c r="Q22" s="9"/>
      <c r="R22" s="9"/>
      <c r="S22" s="9"/>
      <c r="T22" s="9"/>
      <c r="U22" s="9"/>
      <c r="V22" s="9"/>
    </row>
    <row r="23" spans="1:22">
      <c r="A23" s="9"/>
      <c r="K23" s="86"/>
      <c r="L23" s="9"/>
      <c r="M23" s="9"/>
      <c r="N23" s="9"/>
      <c r="O23" s="9"/>
      <c r="P23" s="9"/>
      <c r="Q23" s="9"/>
      <c r="R23" s="9"/>
      <c r="S23" s="9"/>
      <c r="T23" s="9"/>
      <c r="U23" s="9"/>
      <c r="V23" s="9"/>
    </row>
    <row r="24" spans="1:22">
      <c r="A24" s="9"/>
      <c r="G24" s="33" t="s">
        <v>381</v>
      </c>
      <c r="H24" t="str">
        <f>'Design Calculator'!F80</f>
        <v>Yes</v>
      </c>
      <c r="K24" s="86"/>
      <c r="L24" s="9"/>
      <c r="M24" s="9"/>
      <c r="N24" s="9"/>
      <c r="O24" s="85"/>
      <c r="P24" s="9"/>
      <c r="Q24" s="9"/>
      <c r="R24" s="9"/>
      <c r="S24" s="9"/>
      <c r="T24" s="9"/>
      <c r="U24" s="9"/>
      <c r="V24" s="9"/>
    </row>
    <row r="25" spans="1:22">
      <c r="A25" s="9"/>
      <c r="B25" s="96" t="s">
        <v>196</v>
      </c>
      <c r="C25">
        <f>(TJMAX-TJ)/(TJMAX-25)</f>
        <v>0.57933333333333337</v>
      </c>
      <c r="D25" s="86"/>
      <c r="E25" s="86"/>
      <c r="F25" s="88"/>
      <c r="G25" s="33" t="s">
        <v>380</v>
      </c>
      <c r="H25">
        <f>IF(H24="Yes", TJ,TAMB)</f>
        <v>88.1</v>
      </c>
      <c r="K25" s="86"/>
      <c r="L25" s="9"/>
      <c r="M25" s="9"/>
      <c r="N25" s="9"/>
      <c r="O25" s="85"/>
      <c r="P25" s="9"/>
      <c r="Q25" s="9"/>
      <c r="R25" s="9"/>
      <c r="S25" s="9"/>
      <c r="T25" s="9"/>
      <c r="U25" s="9"/>
      <c r="V25" s="9"/>
    </row>
    <row r="26" spans="1:22">
      <c r="A26" s="9"/>
      <c r="B26" s="94" t="s">
        <v>191</v>
      </c>
      <c r="C26">
        <f>IF((C22*C25)&lt;0,0.000000001,C22*C25)</f>
        <v>289.99522462688617</v>
      </c>
      <c r="D26" s="95" t="s">
        <v>87</v>
      </c>
      <c r="E26" s="86"/>
      <c r="F26" s="88"/>
      <c r="K26" s="86"/>
      <c r="L26" s="9"/>
      <c r="M26" s="9"/>
      <c r="N26" s="9"/>
      <c r="O26" s="9"/>
      <c r="P26" s="9"/>
      <c r="Q26" s="9"/>
      <c r="R26" s="9"/>
      <c r="S26" s="9"/>
      <c r="T26" s="9"/>
      <c r="U26" s="9"/>
      <c r="V26" s="9"/>
    </row>
    <row r="27" spans="1:22">
      <c r="A27" s="9"/>
      <c r="B27" s="85"/>
      <c r="C27" s="85"/>
      <c r="D27" s="86"/>
      <c r="E27" s="86"/>
      <c r="F27" s="88"/>
      <c r="G27" s="96" t="s">
        <v>196</v>
      </c>
      <c r="H27">
        <f>(TJMAX-H25)/(TJMAX-25)</f>
        <v>0.57933333333333337</v>
      </c>
      <c r="K27" s="86"/>
      <c r="L27" s="9"/>
      <c r="M27" s="9"/>
      <c r="N27" s="9"/>
      <c r="O27" s="9"/>
      <c r="P27" s="9"/>
      <c r="Q27" s="9"/>
      <c r="R27" s="9"/>
      <c r="S27" s="9"/>
      <c r="T27" s="9"/>
      <c r="U27" s="9"/>
      <c r="V27" s="9"/>
    </row>
    <row r="28" spans="1:22">
      <c r="A28" s="9"/>
      <c r="B28" s="85"/>
      <c r="D28" s="86"/>
      <c r="E28" s="86"/>
      <c r="F28" s="88"/>
      <c r="G28" s="94" t="s">
        <v>191</v>
      </c>
      <c r="H28">
        <f>IF((H22*H27)&lt;0,0.000000001,H22*H27)</f>
        <v>470.79284161107938</v>
      </c>
      <c r="K28" s="86"/>
      <c r="L28" s="9"/>
      <c r="M28" s="9"/>
      <c r="N28" s="9"/>
      <c r="O28" s="9"/>
      <c r="P28" s="9"/>
      <c r="Q28" s="9"/>
      <c r="R28" s="9"/>
      <c r="S28" s="9"/>
      <c r="T28" s="9"/>
      <c r="U28" s="9"/>
      <c r="V28" s="9"/>
    </row>
    <row r="29" spans="1:22">
      <c r="A29" s="9"/>
      <c r="B29" s="96" t="s">
        <v>410</v>
      </c>
      <c r="D29" s="86"/>
      <c r="E29" s="86"/>
      <c r="F29" s="88"/>
      <c r="H29" s="9"/>
      <c r="I29" s="93"/>
      <c r="J29" s="93"/>
      <c r="K29" s="93"/>
      <c r="L29" s="9"/>
      <c r="M29" s="9"/>
      <c r="N29" s="9"/>
      <c r="O29" s="9"/>
      <c r="P29" s="9"/>
      <c r="Q29" s="9"/>
      <c r="R29" s="9"/>
      <c r="S29" s="9"/>
      <c r="T29" s="9"/>
      <c r="U29" s="9"/>
      <c r="V29" s="9"/>
    </row>
    <row r="30" spans="1:22">
      <c r="A30" s="9"/>
      <c r="C30" s="90" t="s">
        <v>411</v>
      </c>
      <c r="D30" s="224" t="s">
        <v>412</v>
      </c>
      <c r="E30" s="224" t="s">
        <v>413</v>
      </c>
      <c r="F30" s="224" t="s">
        <v>414</v>
      </c>
      <c r="G30" s="88"/>
      <c r="H30" s="9"/>
      <c r="I30" s="93"/>
      <c r="J30" s="93"/>
      <c r="K30" s="93"/>
      <c r="L30" s="9"/>
      <c r="M30" s="9"/>
      <c r="N30" s="9"/>
      <c r="O30" s="9"/>
      <c r="P30" s="9"/>
      <c r="Q30" s="9"/>
      <c r="R30" s="9"/>
      <c r="S30" s="9"/>
      <c r="T30" s="9"/>
      <c r="U30" s="9"/>
      <c r="V30" s="9"/>
    </row>
    <row r="31" spans="1:22">
      <c r="B31" s="96" t="s">
        <v>415</v>
      </c>
      <c r="C31" s="216">
        <v>0.1</v>
      </c>
      <c r="D31" s="217">
        <v>1</v>
      </c>
      <c r="E31" s="218">
        <v>10</v>
      </c>
      <c r="F31" s="219">
        <v>100</v>
      </c>
      <c r="G31" s="200"/>
      <c r="H31" s="9"/>
      <c r="I31" s="9"/>
      <c r="J31" s="9"/>
      <c r="K31" s="9"/>
      <c r="L31" s="9"/>
      <c r="M31" s="9"/>
      <c r="N31" s="9"/>
      <c r="O31" s="9"/>
      <c r="P31" s="9"/>
      <c r="Q31" s="9"/>
      <c r="R31" s="9"/>
      <c r="S31" s="9"/>
      <c r="T31" s="9"/>
      <c r="U31" s="9"/>
      <c r="V31" s="9"/>
    </row>
    <row r="32" spans="1:22">
      <c r="B32" s="216" t="s">
        <v>416</v>
      </c>
      <c r="C32" s="217">
        <v>1</v>
      </c>
      <c r="D32" s="217">
        <v>10</v>
      </c>
      <c r="E32" s="218">
        <v>100</v>
      </c>
      <c r="F32" s="219">
        <v>1000</v>
      </c>
      <c r="G32" s="94"/>
      <c r="H32" s="9"/>
      <c r="I32" s="9"/>
      <c r="J32" s="9"/>
      <c r="K32" s="9"/>
      <c r="L32" s="9"/>
      <c r="M32" s="9"/>
      <c r="N32" s="9"/>
      <c r="O32" s="9"/>
      <c r="P32" s="9"/>
      <c r="Q32" s="9"/>
      <c r="R32" s="9"/>
      <c r="S32" s="9"/>
      <c r="T32" s="9"/>
      <c r="U32" s="9"/>
      <c r="V32" s="9"/>
    </row>
    <row r="33" spans="2:22">
      <c r="B33" s="216" t="s">
        <v>186</v>
      </c>
      <c r="C33" s="217">
        <f>B4/(C31^C34)</f>
        <v>30.000000000000004</v>
      </c>
      <c r="D33" s="217">
        <f>C4/(D31^D34)</f>
        <v>30</v>
      </c>
      <c r="E33" s="217">
        <f>IF('Design Calculator'!F61="NA",D33,D4/(E31^E34))</f>
        <v>18.000000000000004</v>
      </c>
      <c r="F33" s="217">
        <f>IF('Design Calculator'!F61="NA", E33, E4/(F31^F34))</f>
        <v>3.5555555555555554</v>
      </c>
      <c r="G33" s="33"/>
      <c r="H33" s="9"/>
      <c r="I33" s="9"/>
      <c r="J33" s="9"/>
      <c r="K33" s="9"/>
      <c r="L33" s="9"/>
      <c r="M33" s="9"/>
      <c r="N33" s="9"/>
      <c r="O33" s="9"/>
      <c r="P33" s="9"/>
      <c r="Q33" s="9"/>
      <c r="R33" s="9"/>
      <c r="S33" s="9"/>
      <c r="T33" s="9"/>
      <c r="U33" s="9"/>
      <c r="V33" s="9"/>
    </row>
    <row r="34" spans="2:22">
      <c r="B34" s="216" t="s">
        <v>187</v>
      </c>
      <c r="C34" s="18">
        <f>LOG(B4/C4)/LOG(C31/C32)</f>
        <v>-0.52287874528033762</v>
      </c>
      <c r="D34" s="18">
        <f>LOG(C4/D4)/LOG(D31/D32)</f>
        <v>-0.69897000433601886</v>
      </c>
      <c r="E34" s="18">
        <f>IF('Design Calculator'!F61="NA", D34, LOG(D4/E4)/LOG(E31/E32))</f>
        <v>-0.47712125471966244</v>
      </c>
      <c r="F34" s="18">
        <f>IF('Design Calculator'!F61="NA",E34,LOG(E4/F4)/LOG(F31/F32))</f>
        <v>-0.12493873660829993</v>
      </c>
      <c r="G34" s="33"/>
      <c r="H34" s="9"/>
      <c r="I34" s="9"/>
      <c r="J34" s="9"/>
      <c r="K34" s="9"/>
      <c r="L34" s="9"/>
      <c r="M34" s="9"/>
      <c r="N34" s="9"/>
      <c r="O34" s="9"/>
      <c r="P34" s="9"/>
      <c r="Q34" s="9"/>
      <c r="R34" s="9"/>
      <c r="S34" s="9"/>
      <c r="T34" s="9"/>
      <c r="U34" s="9"/>
      <c r="V34" s="9"/>
    </row>
    <row r="35" spans="2:22">
      <c r="E35" s="86"/>
      <c r="F35" s="9"/>
      <c r="G35" s="33"/>
      <c r="H35" s="9"/>
      <c r="I35" s="9"/>
      <c r="J35" s="9"/>
      <c r="K35" s="9"/>
      <c r="L35" s="9"/>
      <c r="M35" s="9"/>
      <c r="N35" s="9"/>
      <c r="O35" s="9"/>
      <c r="P35" s="9"/>
      <c r="Q35" s="9"/>
      <c r="R35" s="9"/>
      <c r="S35" s="9"/>
      <c r="T35" s="9"/>
      <c r="U35" s="9"/>
      <c r="V35" s="9"/>
    </row>
    <row r="36" spans="2:22" ht="13.8" thickBot="1">
      <c r="B36" s="281" t="s">
        <v>505</v>
      </c>
      <c r="C36" s="282"/>
      <c r="E36" s="86"/>
      <c r="F36" s="9"/>
      <c r="G36" s="33"/>
      <c r="H36" s="9"/>
      <c r="I36" s="9"/>
      <c r="J36" s="9"/>
      <c r="K36" s="9"/>
      <c r="L36" s="9"/>
      <c r="M36" s="9"/>
      <c r="N36" s="9"/>
      <c r="O36" s="9"/>
      <c r="P36" s="9"/>
      <c r="Q36" s="9"/>
      <c r="R36" s="9"/>
      <c r="S36" s="9"/>
      <c r="T36" s="9"/>
      <c r="U36" s="9"/>
      <c r="V36" s="9"/>
    </row>
    <row r="37" spans="2:22" ht="15.6">
      <c r="B37" s="283" t="s">
        <v>506</v>
      </c>
      <c r="C37" s="284" t="s">
        <v>507</v>
      </c>
      <c r="E37" s="86"/>
      <c r="F37" s="9"/>
      <c r="G37" s="33"/>
      <c r="H37" s="9"/>
      <c r="I37" s="9"/>
      <c r="J37" s="9"/>
      <c r="K37" s="9"/>
      <c r="L37" s="9"/>
      <c r="M37" s="9"/>
      <c r="N37" s="9"/>
      <c r="O37" s="9"/>
      <c r="P37" s="9"/>
      <c r="Q37" s="9"/>
      <c r="R37" s="9"/>
      <c r="S37" s="9"/>
      <c r="T37" s="9"/>
      <c r="U37" s="9"/>
      <c r="V37" s="9"/>
    </row>
    <row r="38" spans="2:22">
      <c r="B38" s="285" t="s">
        <v>508</v>
      </c>
      <c r="C38" s="286" t="s">
        <v>509</v>
      </c>
      <c r="E38" s="86"/>
      <c r="F38" s="9"/>
      <c r="G38" s="33"/>
      <c r="H38" s="9"/>
      <c r="I38" s="9"/>
      <c r="J38" s="9"/>
      <c r="K38" s="9"/>
      <c r="L38" s="9"/>
      <c r="M38" s="9"/>
      <c r="N38" s="9"/>
      <c r="O38" s="9"/>
      <c r="P38" s="9"/>
      <c r="Q38" s="9"/>
      <c r="R38" s="9"/>
      <c r="S38" s="9"/>
      <c r="T38" s="9"/>
      <c r="U38" s="9"/>
      <c r="V38" s="9"/>
    </row>
    <row r="39" spans="2:22">
      <c r="B39" s="287">
        <v>1</v>
      </c>
      <c r="C39" s="288">
        <f>SOA!$C$26/B39</f>
        <v>289.99522462688617</v>
      </c>
      <c r="E39" s="86"/>
      <c r="F39" s="9"/>
      <c r="H39" s="9"/>
      <c r="I39" s="9"/>
      <c r="J39" s="9"/>
      <c r="K39" s="9"/>
      <c r="L39" s="9"/>
      <c r="M39" s="9"/>
      <c r="N39" s="9"/>
      <c r="O39" s="9"/>
      <c r="P39" s="9"/>
      <c r="Q39" s="9"/>
      <c r="R39" s="9"/>
      <c r="S39" s="9"/>
      <c r="T39" s="9"/>
      <c r="U39" s="9"/>
      <c r="V39" s="9"/>
    </row>
    <row r="40" spans="2:22">
      <c r="B40" s="287">
        <v>1.2</v>
      </c>
      <c r="C40" s="288">
        <f>SOA!$C$26/B40</f>
        <v>241.66268718907182</v>
      </c>
      <c r="E40" s="86"/>
      <c r="F40" s="9"/>
      <c r="G40" s="33"/>
      <c r="H40" s="9"/>
      <c r="I40" s="9"/>
      <c r="J40" s="9"/>
      <c r="K40" s="9"/>
      <c r="L40" s="9"/>
      <c r="M40" s="9"/>
      <c r="N40" s="9"/>
      <c r="O40" s="9"/>
      <c r="P40" s="9"/>
      <c r="Q40" s="9"/>
      <c r="R40" s="9"/>
      <c r="S40" s="9"/>
      <c r="T40" s="9"/>
      <c r="U40" s="9"/>
      <c r="V40" s="9"/>
    </row>
    <row r="41" spans="2:22">
      <c r="B41" s="287">
        <v>30</v>
      </c>
      <c r="C41" s="288">
        <f>SOA!$C$26/B41</f>
        <v>9.6665074875628729</v>
      </c>
      <c r="E41" s="86"/>
      <c r="F41" s="9"/>
      <c r="H41" s="9"/>
      <c r="I41" s="9"/>
      <c r="J41" s="9"/>
      <c r="K41" s="9"/>
      <c r="L41" s="9"/>
      <c r="M41" s="9"/>
      <c r="N41" s="9"/>
      <c r="O41" s="9"/>
      <c r="P41" s="9"/>
      <c r="Q41" s="9"/>
      <c r="R41" s="9"/>
      <c r="S41" s="9"/>
      <c r="T41" s="9"/>
      <c r="U41" s="9"/>
      <c r="V41" s="9"/>
    </row>
    <row r="42" spans="2:22">
      <c r="B42" s="287">
        <v>50</v>
      </c>
      <c r="C42" s="288">
        <f>SOA!$C$26/B42</f>
        <v>5.7999044925377232</v>
      </c>
      <c r="E42" s="86"/>
      <c r="F42" s="9"/>
      <c r="G42" s="33"/>
      <c r="H42" s="9"/>
      <c r="I42" s="9"/>
      <c r="J42" s="9"/>
      <c r="K42" s="9"/>
      <c r="L42" s="9"/>
      <c r="M42" s="9"/>
      <c r="N42" s="9"/>
      <c r="O42" s="9"/>
      <c r="P42" s="9"/>
      <c r="Q42" s="9"/>
      <c r="R42" s="9"/>
      <c r="S42" s="9"/>
      <c r="T42" s="9"/>
      <c r="U42" s="9"/>
      <c r="V42" s="9"/>
    </row>
    <row r="43" spans="2:22" ht="13.8" thickBot="1">
      <c r="B43" s="289">
        <v>100</v>
      </c>
      <c r="C43" s="288">
        <f>SOA!$C$26/B43</f>
        <v>2.8999522462688616</v>
      </c>
      <c r="E43" s="86"/>
      <c r="F43" s="9"/>
      <c r="G43" s="33"/>
      <c r="H43" s="9"/>
      <c r="I43" s="9"/>
      <c r="J43" s="9"/>
      <c r="K43" s="9"/>
      <c r="L43" s="9"/>
      <c r="M43" s="9"/>
      <c r="N43" s="9"/>
      <c r="O43" s="9"/>
      <c r="P43" s="9"/>
      <c r="Q43" s="9"/>
      <c r="R43" s="9"/>
      <c r="S43" s="9"/>
      <c r="T43" s="9"/>
      <c r="U43" s="9"/>
      <c r="V43" s="9"/>
    </row>
    <row r="44" spans="2:22">
      <c r="E44" s="86"/>
      <c r="F44" s="9"/>
      <c r="G44" s="33"/>
      <c r="H44" s="9"/>
      <c r="I44" s="9"/>
      <c r="J44" s="9"/>
      <c r="K44" s="9"/>
      <c r="L44" s="9"/>
      <c r="M44" s="9"/>
      <c r="N44" s="9"/>
      <c r="O44" s="9"/>
      <c r="P44" s="9"/>
      <c r="Q44" s="9"/>
      <c r="R44" s="9"/>
      <c r="S44" s="9"/>
      <c r="T44" s="9"/>
      <c r="U44" s="9"/>
      <c r="V44" s="9"/>
    </row>
    <row r="45" spans="2:22">
      <c r="E45" s="86"/>
      <c r="F45" s="9"/>
      <c r="H45" s="9"/>
      <c r="I45" s="9"/>
      <c r="J45" s="9"/>
      <c r="K45" s="9"/>
      <c r="L45" s="9"/>
      <c r="M45" s="9"/>
      <c r="N45" s="9"/>
      <c r="O45" s="9"/>
      <c r="P45" s="9"/>
      <c r="Q45" s="9"/>
      <c r="R45" s="9"/>
      <c r="S45" s="9"/>
      <c r="T45" s="9"/>
      <c r="U45" s="9"/>
      <c r="V45" s="9"/>
    </row>
    <row r="46" spans="2:22">
      <c r="E46" s="86"/>
      <c r="F46" s="9"/>
      <c r="G46" s="34"/>
      <c r="H46" s="9"/>
      <c r="I46" s="9"/>
      <c r="J46" s="9"/>
      <c r="K46" s="9"/>
      <c r="L46" s="9"/>
      <c r="M46" s="9"/>
      <c r="N46" s="9"/>
      <c r="O46" s="9"/>
      <c r="P46" s="9"/>
      <c r="Q46" s="9"/>
      <c r="R46" s="9"/>
      <c r="S46" s="9"/>
      <c r="T46" s="9"/>
      <c r="U46" s="9"/>
      <c r="V46" s="9"/>
    </row>
    <row r="47" spans="2:22">
      <c r="E47" s="86"/>
      <c r="F47" s="9"/>
      <c r="H47" s="9"/>
      <c r="I47" s="9"/>
      <c r="J47" s="9"/>
      <c r="K47" s="9"/>
      <c r="L47" s="9"/>
      <c r="M47" s="9"/>
      <c r="N47" s="9"/>
      <c r="O47" s="9"/>
      <c r="P47" s="9"/>
      <c r="Q47" s="9"/>
      <c r="R47" s="9"/>
      <c r="S47" s="9"/>
      <c r="T47" s="9"/>
      <c r="U47" s="9"/>
      <c r="V47" s="9"/>
    </row>
    <row r="48" spans="2:22">
      <c r="E48" s="86"/>
      <c r="F48" s="9"/>
      <c r="H48" s="9"/>
      <c r="I48" s="9"/>
      <c r="J48" s="9"/>
      <c r="K48" s="9"/>
      <c r="L48" s="9"/>
      <c r="M48" s="9"/>
      <c r="N48" s="9"/>
      <c r="O48" s="9"/>
      <c r="P48" s="9"/>
      <c r="Q48" s="9"/>
      <c r="R48" s="9"/>
      <c r="S48" s="9"/>
      <c r="T48" s="9"/>
      <c r="U48" s="9"/>
      <c r="V48" s="9"/>
    </row>
    <row r="49" spans="1:22">
      <c r="E49" s="86"/>
      <c r="F49" s="9"/>
      <c r="G49" s="96"/>
      <c r="H49" s="9"/>
      <c r="I49" s="9"/>
      <c r="J49" s="9"/>
      <c r="K49" s="9"/>
      <c r="L49" s="9"/>
      <c r="M49" s="9"/>
      <c r="N49" s="9"/>
      <c r="O49" s="9"/>
      <c r="P49" s="9"/>
      <c r="Q49" s="9"/>
      <c r="R49" s="9"/>
      <c r="S49" s="9"/>
      <c r="T49" s="9"/>
      <c r="U49" s="9"/>
      <c r="V49" s="9"/>
    </row>
    <row r="50" spans="1:22">
      <c r="E50" s="86"/>
      <c r="F50" s="9"/>
      <c r="G50" s="94"/>
      <c r="H50" s="9"/>
      <c r="I50" s="9"/>
      <c r="J50" s="9"/>
      <c r="K50" s="9"/>
      <c r="L50" s="9"/>
      <c r="M50" s="9"/>
      <c r="N50" s="9"/>
      <c r="O50" s="9"/>
      <c r="P50" s="9"/>
      <c r="Q50" s="9"/>
      <c r="R50" s="9"/>
      <c r="S50" s="9"/>
      <c r="T50" s="9"/>
      <c r="U50" s="9"/>
      <c r="V50" s="9"/>
    </row>
    <row r="51" spans="1:22">
      <c r="E51" s="86"/>
      <c r="F51" s="88"/>
      <c r="G51" s="88"/>
      <c r="H51" s="9"/>
      <c r="I51" s="9"/>
      <c r="J51" s="9"/>
      <c r="K51" s="9"/>
      <c r="L51" s="9"/>
      <c r="M51" s="9"/>
      <c r="N51" s="9"/>
      <c r="O51" s="9"/>
      <c r="P51" s="9"/>
      <c r="Q51" s="9"/>
      <c r="R51" s="9"/>
      <c r="S51" s="9"/>
      <c r="T51" s="9"/>
      <c r="U51" s="9"/>
      <c r="V51" s="9"/>
    </row>
    <row r="52" spans="1:22">
      <c r="E52" s="86"/>
      <c r="F52" s="88"/>
      <c r="G52" s="88"/>
      <c r="H52" s="9"/>
      <c r="I52" s="9"/>
      <c r="J52" s="9"/>
      <c r="K52" s="9"/>
      <c r="L52" s="9"/>
      <c r="M52" s="9"/>
      <c r="N52" s="9"/>
      <c r="O52" s="9"/>
      <c r="P52" s="9"/>
      <c r="Q52" s="9"/>
      <c r="R52" s="9"/>
      <c r="S52" s="9"/>
      <c r="T52" s="9"/>
      <c r="U52" s="9"/>
      <c r="V52" s="9"/>
    </row>
    <row r="53" spans="1:22">
      <c r="A53" s="9"/>
      <c r="B53" s="9"/>
      <c r="C53" s="85"/>
      <c r="D53" s="86"/>
      <c r="E53" s="86"/>
      <c r="F53" s="88"/>
      <c r="G53" s="88"/>
      <c r="H53" s="9"/>
      <c r="I53" s="9"/>
      <c r="J53" s="9"/>
      <c r="K53" s="9"/>
      <c r="L53" s="9"/>
      <c r="M53" s="9"/>
      <c r="N53" s="9"/>
      <c r="O53" s="9"/>
      <c r="P53" s="9"/>
      <c r="Q53" s="9"/>
      <c r="R53" s="9"/>
      <c r="S53" s="9"/>
      <c r="T53" s="9"/>
      <c r="U53" s="9"/>
      <c r="V53" s="9"/>
    </row>
    <row r="54" spans="1:22">
      <c r="A54" s="9"/>
      <c r="B54" s="9"/>
      <c r="C54" s="85"/>
      <c r="D54" s="86"/>
      <c r="E54" s="86"/>
      <c r="F54" s="88"/>
      <c r="G54" s="88"/>
      <c r="H54" s="9"/>
      <c r="I54" s="9"/>
      <c r="J54" s="9"/>
      <c r="K54" s="9"/>
      <c r="L54" s="9"/>
      <c r="M54" s="9"/>
      <c r="N54" s="9"/>
      <c r="O54" s="9"/>
      <c r="P54" s="9"/>
      <c r="Q54" s="9"/>
      <c r="R54" s="9"/>
      <c r="S54" s="9"/>
      <c r="T54" s="9"/>
      <c r="U54" s="9"/>
      <c r="V54" s="9"/>
    </row>
    <row r="55" spans="1:22">
      <c r="A55" s="9"/>
      <c r="B55" s="9"/>
      <c r="C55" s="85"/>
      <c r="D55" s="86"/>
      <c r="E55" s="86"/>
      <c r="F55" s="88"/>
      <c r="G55" s="88"/>
      <c r="H55" s="9"/>
      <c r="I55" s="9"/>
      <c r="J55" s="9"/>
      <c r="K55" s="9"/>
      <c r="L55" s="9"/>
      <c r="M55" s="9"/>
      <c r="N55" s="9"/>
      <c r="O55" s="9"/>
      <c r="P55" s="9"/>
      <c r="Q55" s="9"/>
      <c r="R55" s="9"/>
      <c r="S55" s="9"/>
      <c r="T55" s="9"/>
      <c r="U55" s="9"/>
      <c r="V55" s="9"/>
    </row>
    <row r="56" spans="1:22">
      <c r="A56" s="9"/>
      <c r="B56" s="9"/>
      <c r="C56" s="85"/>
      <c r="D56" s="86"/>
      <c r="E56" s="86"/>
      <c r="F56" s="88"/>
      <c r="G56" s="88"/>
      <c r="H56" s="9"/>
    </row>
    <row r="57" spans="1:22">
      <c r="A57" s="9"/>
      <c r="B57" s="9"/>
      <c r="C57" s="85"/>
      <c r="D57" s="86"/>
      <c r="E57" s="86"/>
      <c r="F57" s="88"/>
      <c r="G57" s="88"/>
    </row>
    <row r="58" spans="1:22">
      <c r="A58" s="9"/>
      <c r="B58" s="9"/>
      <c r="C58" s="85"/>
      <c r="D58" s="86"/>
      <c r="E58" s="86"/>
      <c r="F58" s="88"/>
      <c r="G58" s="88"/>
    </row>
    <row r="59" spans="1:22">
      <c r="A59" s="9"/>
      <c r="B59" s="9"/>
      <c r="C59" s="85"/>
      <c r="D59" s="86"/>
      <c r="E59" s="86"/>
      <c r="F59" s="88"/>
      <c r="G59" s="88"/>
    </row>
    <row r="60" spans="1:22">
      <c r="A60" s="9"/>
      <c r="B60" s="9"/>
      <c r="C60" s="85"/>
      <c r="D60" s="86"/>
      <c r="E60" s="86"/>
      <c r="F60" s="88"/>
      <c r="G60" s="88"/>
    </row>
    <row r="61" spans="1:22">
      <c r="A61" s="9"/>
      <c r="B61" s="9"/>
      <c r="C61" s="85"/>
      <c r="D61" s="86"/>
      <c r="E61" s="86"/>
      <c r="F61" s="88"/>
      <c r="G61" s="88"/>
    </row>
    <row r="62" spans="1:22">
      <c r="A62" s="9"/>
      <c r="B62" s="9"/>
      <c r="C62" s="85"/>
      <c r="D62" s="86"/>
      <c r="E62" s="86"/>
      <c r="F62" s="88"/>
      <c r="G62" s="88"/>
    </row>
    <row r="63" spans="1:22">
      <c r="A63" s="9"/>
      <c r="B63" s="9"/>
      <c r="C63" s="85"/>
      <c r="D63" s="86"/>
      <c r="E63" s="86"/>
      <c r="F63" s="88"/>
      <c r="G63" s="88"/>
    </row>
    <row r="64" spans="1:22">
      <c r="A64" s="9"/>
      <c r="B64" s="9"/>
      <c r="C64" s="85"/>
      <c r="D64" s="86"/>
      <c r="E64" s="86"/>
      <c r="F64" s="88"/>
      <c r="G64" s="88"/>
    </row>
    <row r="65" spans="1:7">
      <c r="A65" s="9"/>
      <c r="B65" s="9"/>
      <c r="C65" s="85"/>
      <c r="D65" s="86"/>
      <c r="E65" s="86"/>
      <c r="F65" s="88"/>
      <c r="G65" s="88"/>
    </row>
    <row r="66" spans="1:7">
      <c r="A66" s="9"/>
      <c r="B66" s="9"/>
      <c r="C66" s="85"/>
      <c r="D66" s="86"/>
      <c r="E66" s="86"/>
      <c r="F66" s="88"/>
      <c r="G66" s="88"/>
    </row>
    <row r="67" spans="1:7">
      <c r="A67" s="9"/>
      <c r="B67" s="9"/>
      <c r="C67" s="85"/>
      <c r="D67" s="86"/>
      <c r="E67" s="86"/>
      <c r="F67" s="88"/>
      <c r="G67" s="88"/>
    </row>
    <row r="68" spans="1:7">
      <c r="A68" s="9"/>
      <c r="B68" s="9"/>
      <c r="C68" s="85"/>
      <c r="D68" s="86"/>
      <c r="E68" s="86"/>
      <c r="F68" s="88"/>
      <c r="G68" s="88"/>
    </row>
    <row r="69" spans="1:7">
      <c r="A69" s="9"/>
      <c r="B69" s="9"/>
      <c r="C69" s="85"/>
      <c r="D69" s="86"/>
      <c r="E69" s="86"/>
      <c r="F69" s="88"/>
      <c r="G69" s="88"/>
    </row>
    <row r="70" spans="1:7">
      <c r="A70" s="9"/>
      <c r="B70" s="9"/>
    </row>
  </sheetData>
  <mergeCells count="3">
    <mergeCell ref="C2:E2"/>
    <mergeCell ref="N5:P5"/>
    <mergeCell ref="R5:T5"/>
  </mergeCells>
  <phoneticPr fontId="51"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1" zoomScale="85" zoomScaleNormal="85" workbookViewId="0">
      <selection activeCell="E7" sqref="E7"/>
    </sheetView>
  </sheetViews>
  <sheetFormatPr defaultRowHeight="13.2"/>
  <cols>
    <col min="4" max="4" width="37.44140625" customWidth="1"/>
    <col min="5" max="5" width="15.77734375" customWidth="1"/>
    <col min="9" max="9" width="13.21875" customWidth="1"/>
    <col min="10" max="10" width="11.77734375" customWidth="1"/>
    <col min="11" max="11" width="11.44140625" customWidth="1"/>
    <col min="12" max="12" width="15" customWidth="1"/>
    <col min="13" max="13" width="13.77734375" customWidth="1"/>
  </cols>
  <sheetData>
    <row r="5" spans="3:4">
      <c r="C5" s="33" t="s">
        <v>389</v>
      </c>
    </row>
    <row r="7" spans="3:4">
      <c r="C7" s="33" t="s">
        <v>390</v>
      </c>
    </row>
    <row r="8" spans="3:4">
      <c r="C8" s="33" t="s">
        <v>391</v>
      </c>
    </row>
    <row r="10" spans="3:4">
      <c r="C10" s="33" t="s">
        <v>392</v>
      </c>
    </row>
    <row r="11" spans="3:4">
      <c r="C11" s="33" t="s">
        <v>444</v>
      </c>
    </row>
    <row r="12" spans="3:4">
      <c r="C12" s="33" t="s">
        <v>445</v>
      </c>
    </row>
    <row r="13" spans="3:4">
      <c r="C13" s="33" t="s">
        <v>446</v>
      </c>
    </row>
    <row r="14" spans="3:4">
      <c r="C14" s="33" t="s">
        <v>403</v>
      </c>
      <c r="D14" s="33" t="s">
        <v>404</v>
      </c>
    </row>
    <row r="15" spans="3:4" ht="12" customHeight="1">
      <c r="C15" s="33"/>
      <c r="D15" s="33" t="s">
        <v>406</v>
      </c>
    </row>
    <row r="16" spans="3:4" ht="12" customHeight="1">
      <c r="C16" s="33"/>
      <c r="D16" s="33"/>
    </row>
    <row r="17" spans="3:13" ht="12" customHeight="1">
      <c r="C17" s="33"/>
      <c r="D17" s="33"/>
    </row>
    <row r="18" spans="3:13" ht="12" customHeight="1">
      <c r="C18" s="33"/>
      <c r="D18" s="90" t="s">
        <v>421</v>
      </c>
    </row>
    <row r="19" spans="3:13">
      <c r="C19" s="33"/>
      <c r="D19" s="33" t="s">
        <v>419</v>
      </c>
      <c r="E19">
        <f>SOA!H25</f>
        <v>88.1</v>
      </c>
    </row>
    <row r="20" spans="3:13">
      <c r="D20" s="33" t="s">
        <v>401</v>
      </c>
      <c r="E20">
        <v>1.5</v>
      </c>
      <c r="I20" s="96" t="s">
        <v>410</v>
      </c>
      <c r="K20" s="218"/>
      <c r="L20" s="218"/>
      <c r="M20" s="218"/>
    </row>
    <row r="21" spans="3:13">
      <c r="D21" s="33" t="s">
        <v>393</v>
      </c>
      <c r="E21">
        <f>1/2*COUTMAX*VINMAX^2*0.000001</f>
        <v>0.378</v>
      </c>
      <c r="J21" s="90" t="s">
        <v>411</v>
      </c>
      <c r="K21" s="224" t="s">
        <v>412</v>
      </c>
      <c r="L21" s="224" t="s">
        <v>413</v>
      </c>
      <c r="M21" s="224" t="s">
        <v>414</v>
      </c>
    </row>
    <row r="22" spans="3:13">
      <c r="D22" s="33" t="s">
        <v>395</v>
      </c>
      <c r="E22">
        <f>MAX(Equations!F67-E21,0)</f>
        <v>0</v>
      </c>
      <c r="I22" s="96" t="s">
        <v>415</v>
      </c>
      <c r="J22" s="216">
        <v>0.1</v>
      </c>
      <c r="K22" s="217">
        <v>1</v>
      </c>
      <c r="L22" s="218">
        <v>10</v>
      </c>
      <c r="M22" s="219">
        <v>100</v>
      </c>
    </row>
    <row r="23" spans="3:13">
      <c r="D23" s="33" t="s">
        <v>396</v>
      </c>
      <c r="E23">
        <f>Equations!F66</f>
        <v>117.00000000000001</v>
      </c>
      <c r="I23" s="216" t="s">
        <v>416</v>
      </c>
      <c r="J23" s="217">
        <v>1</v>
      </c>
      <c r="K23" s="217">
        <v>10</v>
      </c>
      <c r="L23" s="218">
        <v>100</v>
      </c>
      <c r="M23" s="219">
        <v>1000</v>
      </c>
    </row>
    <row r="24" spans="3:13">
      <c r="I24" s="216" t="s">
        <v>186</v>
      </c>
      <c r="J24" s="217">
        <f>SOA!C33</f>
        <v>30.000000000000004</v>
      </c>
      <c r="K24" s="217">
        <f>SOA!D33</f>
        <v>30</v>
      </c>
      <c r="L24" s="217">
        <f>SOA!E33</f>
        <v>18.000000000000004</v>
      </c>
      <c r="M24" s="217">
        <f>SOA!F33</f>
        <v>3.5555555555555554</v>
      </c>
    </row>
    <row r="25" spans="3:13">
      <c r="D25" t="s">
        <v>192</v>
      </c>
      <c r="E25">
        <f>'Design Calculator'!F69</f>
        <v>0</v>
      </c>
      <c r="I25" s="216" t="s">
        <v>187</v>
      </c>
      <c r="J25" s="217">
        <f>SOA!C34</f>
        <v>-0.52287874528033762</v>
      </c>
      <c r="K25" s="217">
        <f>SOA!D34</f>
        <v>-0.69897000433601886</v>
      </c>
      <c r="L25" s="217">
        <f>SOA!E34</f>
        <v>-0.47712125471966244</v>
      </c>
      <c r="M25" s="217">
        <f>SOA!F34</f>
        <v>-0.12493873660829993</v>
      </c>
    </row>
    <row r="26" spans="3:13">
      <c r="D26" t="s">
        <v>136</v>
      </c>
      <c r="E26" t="str">
        <f>'Design Calculator'!F70</f>
        <v>Constant Current</v>
      </c>
    </row>
    <row r="27" spans="3:13">
      <c r="D27" t="s">
        <v>137</v>
      </c>
      <c r="E27">
        <f>'Design Calculator'!F71</f>
        <v>0</v>
      </c>
      <c r="I27" s="215" t="s">
        <v>432</v>
      </c>
      <c r="J27" s="90" t="s">
        <v>150</v>
      </c>
    </row>
    <row r="28" spans="3:13">
      <c r="G28" t="s">
        <v>430</v>
      </c>
      <c r="I28" s="4">
        <f>SUM(E58:X58)</f>
        <v>12</v>
      </c>
      <c r="J28" s="4">
        <f>IF(I28=0, "NA", I28/AVERAGE(1, E32))</f>
        <v>13.447186399678067</v>
      </c>
    </row>
    <row r="29" spans="3:13">
      <c r="D29" s="33" t="s">
        <v>460</v>
      </c>
      <c r="E29">
        <f>12/1</f>
        <v>12</v>
      </c>
      <c r="G29" t="s">
        <v>431</v>
      </c>
      <c r="I29" s="4">
        <f>SUM(E59:X59)</f>
        <v>0.12</v>
      </c>
      <c r="J29" s="4">
        <f>IF(I29=0, "NA", I29*AVERAGE(1,E32))</f>
        <v>0.10708559822108767</v>
      </c>
    </row>
    <row r="30" spans="3:13">
      <c r="D30" s="33" t="s">
        <v>461</v>
      </c>
      <c r="E30">
        <v>0.12</v>
      </c>
    </row>
    <row r="31" spans="3:13">
      <c r="D31" s="33" t="s">
        <v>422</v>
      </c>
      <c r="E31">
        <v>20</v>
      </c>
    </row>
    <row r="32" spans="3:13">
      <c r="D32" s="33" t="s">
        <v>423</v>
      </c>
      <c r="E32">
        <f>(E30/E29)^(1/(E31-1))</f>
        <v>0.78475997035146128</v>
      </c>
    </row>
    <row r="33" spans="4:24">
      <c r="D33" s="33"/>
    </row>
    <row r="34" spans="4:24">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c r="D35" s="223" t="s">
        <v>394</v>
      </c>
      <c r="E35" s="223">
        <f>E29</f>
        <v>12</v>
      </c>
      <c r="F35" s="223">
        <f>E35*$E$32</f>
        <v>9.4171196442175358</v>
      </c>
      <c r="G35" s="223">
        <f t="shared" ref="G35:X35" si="0">F35*$E$32</f>
        <v>7.3901785327923166</v>
      </c>
      <c r="H35" s="223">
        <f t="shared" si="0"/>
        <v>5.7995162862861038</v>
      </c>
      <c r="I35" s="223">
        <f t="shared" si="0"/>
        <v>4.5512282288787</v>
      </c>
      <c r="J35" s="223">
        <f t="shared" si="0"/>
        <v>3.5716217299575823</v>
      </c>
      <c r="K35" s="223">
        <f t="shared" si="0"/>
        <v>2.802865762908147</v>
      </c>
      <c r="L35" s="223">
        <f t="shared" si="0"/>
        <v>2.1995768529989235</v>
      </c>
      <c r="M35" s="223">
        <f t="shared" si="0"/>
        <v>1.7261398659451956</v>
      </c>
      <c r="N35" s="223">
        <f t="shared" si="0"/>
        <v>1.354605470021627</v>
      </c>
      <c r="O35" s="223">
        <f t="shared" si="0"/>
        <v>1.0630401484920993</v>
      </c>
      <c r="P35" s="223">
        <f t="shared" si="0"/>
        <v>0.83423135541307281</v>
      </c>
      <c r="Q35" s="223">
        <f t="shared" si="0"/>
        <v>0.65467137374022233</v>
      </c>
      <c r="R35" s="223">
        <f t="shared" si="0"/>
        <v>0.51375988784632731</v>
      </c>
      <c r="S35" s="223">
        <f t="shared" si="0"/>
        <v>0.40317819435405389</v>
      </c>
      <c r="T35" s="223">
        <f t="shared" si="0"/>
        <v>0.316398107847643</v>
      </c>
      <c r="U35" s="223">
        <f t="shared" si="0"/>
        <v>0.24829656973377476</v>
      </c>
      <c r="V35" s="223">
        <f t="shared" si="0"/>
        <v>0.19485320870264661</v>
      </c>
      <c r="W35" s="223">
        <f t="shared" si="0"/>
        <v>0.15291299828437604</v>
      </c>
      <c r="X35" s="223">
        <f t="shared" si="0"/>
        <v>0.12</v>
      </c>
    </row>
    <row r="36" spans="4:24">
      <c r="D36" s="33" t="s">
        <v>397</v>
      </c>
      <c r="E36">
        <f t="shared" ref="E36:X36" si="1">VINMAX/E35</f>
        <v>5</v>
      </c>
      <c r="F36">
        <f t="shared" si="1"/>
        <v>6.3713749285156682</v>
      </c>
      <c r="G36">
        <f t="shared" si="1"/>
        <v>8.1188836959436088</v>
      </c>
      <c r="H36">
        <f t="shared" si="1"/>
        <v>10.345690405573949</v>
      </c>
      <c r="I36">
        <f t="shared" si="1"/>
        <v>13.183254493651789</v>
      </c>
      <c r="J36">
        <f t="shared" si="1"/>
        <v>16.799091431418908</v>
      </c>
      <c r="K36">
        <f t="shared" si="1"/>
        <v>21.406661993596966</v>
      </c>
      <c r="L36">
        <f t="shared" si="1"/>
        <v>27.277973905842593</v>
      </c>
      <c r="M36">
        <f t="shared" si="1"/>
        <v>34.759639808878028</v>
      </c>
      <c r="N36">
        <f t="shared" si="1"/>
        <v>44.293339520504126</v>
      </c>
      <c r="O36">
        <f t="shared" si="1"/>
        <v>56.441894584234447</v>
      </c>
      <c r="P36">
        <f t="shared" si="1"/>
        <v>71.922494414383138</v>
      </c>
      <c r="Q36">
        <f t="shared" si="1"/>
        <v>91.649035541621799</v>
      </c>
      <c r="R36">
        <f t="shared" si="1"/>
        <v>116.78607345450611</v>
      </c>
      <c r="S36">
        <f t="shared" si="1"/>
        <v>148.81757208156591</v>
      </c>
      <c r="T36">
        <f t="shared" si="1"/>
        <v>189.63450953661248</v>
      </c>
      <c r="U36">
        <f t="shared" si="1"/>
        <v>241.64651192858767</v>
      </c>
      <c r="V36">
        <f t="shared" si="1"/>
        <v>307.92410553301318</v>
      </c>
      <c r="W36">
        <f t="shared" si="1"/>
        <v>392.37998517573067</v>
      </c>
      <c r="X36">
        <f t="shared" si="1"/>
        <v>500</v>
      </c>
    </row>
    <row r="37" spans="4:24">
      <c r="D37" s="33" t="s">
        <v>398</v>
      </c>
      <c r="E37">
        <f t="shared" ref="E37:X37" si="2">E35*COUTMAX/1000</f>
        <v>2.52</v>
      </c>
      <c r="F37">
        <f t="shared" si="2"/>
        <v>1.9775951252856825</v>
      </c>
      <c r="G37">
        <f t="shared" si="2"/>
        <v>1.5519374918863864</v>
      </c>
      <c r="H37">
        <f t="shared" si="2"/>
        <v>1.2178984201200818</v>
      </c>
      <c r="I37">
        <f t="shared" si="2"/>
        <v>0.95575792806452708</v>
      </c>
      <c r="J37">
        <f t="shared" si="2"/>
        <v>0.75004056329109237</v>
      </c>
      <c r="K37">
        <f t="shared" si="2"/>
        <v>0.58860181021071079</v>
      </c>
      <c r="L37">
        <f t="shared" si="2"/>
        <v>0.46191113912977394</v>
      </c>
      <c r="M37">
        <f t="shared" si="2"/>
        <v>0.36248937184849112</v>
      </c>
      <c r="N37">
        <f t="shared" si="2"/>
        <v>0.28446714870454165</v>
      </c>
      <c r="O37">
        <f t="shared" si="2"/>
        <v>0.22323843118334086</v>
      </c>
      <c r="P37">
        <f t="shared" si="2"/>
        <v>0.17518858463674528</v>
      </c>
      <c r="Q37">
        <f t="shared" si="2"/>
        <v>0.13748098848544668</v>
      </c>
      <c r="R37">
        <f t="shared" si="2"/>
        <v>0.10788957644772873</v>
      </c>
      <c r="S37">
        <f t="shared" si="2"/>
        <v>8.4667420814351316E-2</v>
      </c>
      <c r="T37">
        <f t="shared" si="2"/>
        <v>6.6443602648005029E-2</v>
      </c>
      <c r="U37">
        <f t="shared" si="2"/>
        <v>5.2142279644092696E-2</v>
      </c>
      <c r="V37">
        <f t="shared" si="2"/>
        <v>4.0919173827555791E-2</v>
      </c>
      <c r="W37">
        <f t="shared" si="2"/>
        <v>3.2111729639718964E-2</v>
      </c>
      <c r="X37">
        <f t="shared" si="2"/>
        <v>2.52E-2</v>
      </c>
    </row>
    <row r="38" spans="4:24">
      <c r="D38" s="33" t="s">
        <v>399</v>
      </c>
      <c r="E38">
        <f>$E$21+$E$22*E36/$E$23</f>
        <v>0.378</v>
      </c>
      <c r="F38">
        <f>$E$21+$E$22*F36/$E$23</f>
        <v>0.378</v>
      </c>
      <c r="G38">
        <f>$E$21+$E$22*G36/$E$23</f>
        <v>0.378</v>
      </c>
      <c r="H38">
        <f t="shared" ref="H38:J38" si="3">$E$21+$E$22*H36/$E$23</f>
        <v>0.378</v>
      </c>
      <c r="I38">
        <f t="shared" si="3"/>
        <v>0.378</v>
      </c>
      <c r="J38">
        <f t="shared" si="3"/>
        <v>0.378</v>
      </c>
      <c r="K38">
        <f>$E$21+$E$22*K36/$E$23</f>
        <v>0.378</v>
      </c>
      <c r="L38">
        <f t="shared" ref="L38:R38" si="4">$E$21+$E$22*L36/$E$23</f>
        <v>0.378</v>
      </c>
      <c r="M38">
        <f t="shared" si="4"/>
        <v>0.378</v>
      </c>
      <c r="N38">
        <f t="shared" si="4"/>
        <v>0.378</v>
      </c>
      <c r="O38">
        <f t="shared" si="4"/>
        <v>0.378</v>
      </c>
      <c r="P38">
        <f t="shared" si="4"/>
        <v>0.378</v>
      </c>
      <c r="Q38">
        <f t="shared" si="4"/>
        <v>0.378</v>
      </c>
      <c r="R38">
        <f t="shared" si="4"/>
        <v>0.378</v>
      </c>
      <c r="S38">
        <f t="shared" ref="S38:X38" si="5">$E$21+$E$22*S36/$E$23</f>
        <v>0.378</v>
      </c>
      <c r="T38">
        <f t="shared" si="5"/>
        <v>0.378</v>
      </c>
      <c r="U38">
        <f t="shared" si="5"/>
        <v>0.378</v>
      </c>
      <c r="V38">
        <f t="shared" si="5"/>
        <v>0.378</v>
      </c>
      <c r="W38">
        <f>$E$21+$E$22*W36/$E$23</f>
        <v>0.378</v>
      </c>
      <c r="X38">
        <f t="shared" si="5"/>
        <v>0.378</v>
      </c>
    </row>
    <row r="39" spans="4:24">
      <c r="D39" s="33" t="s">
        <v>402</v>
      </c>
      <c r="E39">
        <f t="shared" ref="E39:X39" si="6">(E37+IF($E$26="Resistive",0,IF($E$25=0,$E$27,0)))*VINMAX</f>
        <v>151.19999999999999</v>
      </c>
      <c r="F39">
        <f t="shared" si="6"/>
        <v>118.65570751714095</v>
      </c>
      <c r="G39">
        <f t="shared" si="6"/>
        <v>93.116249513183192</v>
      </c>
      <c r="H39">
        <f t="shared" si="6"/>
        <v>73.073905207204902</v>
      </c>
      <c r="I39">
        <f t="shared" si="6"/>
        <v>57.345475683871626</v>
      </c>
      <c r="J39">
        <f t="shared" si="6"/>
        <v>45.002433797465542</v>
      </c>
      <c r="K39">
        <f t="shared" si="6"/>
        <v>35.316108612642644</v>
      </c>
      <c r="L39">
        <f t="shared" si="6"/>
        <v>27.714668347786436</v>
      </c>
      <c r="M39">
        <f t="shared" si="6"/>
        <v>21.749362310909468</v>
      </c>
      <c r="N39">
        <f t="shared" si="6"/>
        <v>17.0680289222725</v>
      </c>
      <c r="O39">
        <f t="shared" si="6"/>
        <v>13.394305871000451</v>
      </c>
      <c r="P39">
        <f t="shared" si="6"/>
        <v>10.511315078204717</v>
      </c>
      <c r="Q39">
        <f t="shared" si="6"/>
        <v>8.2488593091268001</v>
      </c>
      <c r="R39">
        <f t="shared" si="6"/>
        <v>6.4733745868637236</v>
      </c>
      <c r="S39">
        <f t="shared" si="6"/>
        <v>5.0800452488610786</v>
      </c>
      <c r="T39">
        <f t="shared" si="6"/>
        <v>3.9866161588803015</v>
      </c>
      <c r="U39">
        <f t="shared" si="6"/>
        <v>3.1285367786455618</v>
      </c>
      <c r="V39">
        <f t="shared" si="6"/>
        <v>2.4551504296533473</v>
      </c>
      <c r="W39">
        <f t="shared" si="6"/>
        <v>1.9267037783831378</v>
      </c>
      <c r="X39">
        <f t="shared" si="6"/>
        <v>1.512</v>
      </c>
    </row>
    <row r="40" spans="4:24">
      <c r="D40" s="33" t="s">
        <v>400</v>
      </c>
      <c r="E40">
        <f t="shared" ref="E40:X40" si="7">(E37+IF($E$26="Resistive", $E$25/$E$27,$E$27)) *(VINMAX-$E$25)</f>
        <v>151.19999999999999</v>
      </c>
      <c r="F40">
        <f t="shared" si="7"/>
        <v>118.65570751714095</v>
      </c>
      <c r="G40">
        <f t="shared" si="7"/>
        <v>93.116249513183192</v>
      </c>
      <c r="H40">
        <f t="shared" si="7"/>
        <v>73.073905207204902</v>
      </c>
      <c r="I40">
        <f t="shared" si="7"/>
        <v>57.345475683871626</v>
      </c>
      <c r="J40">
        <f t="shared" si="7"/>
        <v>45.002433797465542</v>
      </c>
      <c r="K40">
        <f t="shared" si="7"/>
        <v>35.316108612642644</v>
      </c>
      <c r="L40">
        <f t="shared" si="7"/>
        <v>27.714668347786436</v>
      </c>
      <c r="M40">
        <f t="shared" si="7"/>
        <v>21.749362310909468</v>
      </c>
      <c r="N40">
        <f t="shared" si="7"/>
        <v>17.0680289222725</v>
      </c>
      <c r="O40">
        <f t="shared" si="7"/>
        <v>13.394305871000451</v>
      </c>
      <c r="P40">
        <f t="shared" si="7"/>
        <v>10.511315078204717</v>
      </c>
      <c r="Q40">
        <f t="shared" si="7"/>
        <v>8.2488593091268001</v>
      </c>
      <c r="R40">
        <f t="shared" si="7"/>
        <v>6.4733745868637236</v>
      </c>
      <c r="S40">
        <f t="shared" si="7"/>
        <v>5.0800452488610786</v>
      </c>
      <c r="T40">
        <f t="shared" si="7"/>
        <v>3.9866161588803015</v>
      </c>
      <c r="U40">
        <f t="shared" si="7"/>
        <v>3.1285367786455618</v>
      </c>
      <c r="V40">
        <f t="shared" si="7"/>
        <v>2.4551504296533473</v>
      </c>
      <c r="W40">
        <f t="shared" si="7"/>
        <v>1.9267037783831378</v>
      </c>
      <c r="X40">
        <f t="shared" si="7"/>
        <v>1.512</v>
      </c>
    </row>
    <row r="41" spans="4:24">
      <c r="D41" s="33" t="s">
        <v>405</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c r="D42" s="33" t="s">
        <v>407</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c r="D44" s="33" t="s">
        <v>408</v>
      </c>
      <c r="E44">
        <f>MAX(E39,E40,E42)</f>
        <v>151.19999999999999</v>
      </c>
      <c r="F44">
        <f>MAX(F39,F40,F42)</f>
        <v>118.65570751714095</v>
      </c>
      <c r="G44">
        <f>MAX(G39,G40,G42)</f>
        <v>93.116249513183192</v>
      </c>
      <c r="H44">
        <f t="shared" ref="H44:J44" si="10">MAX(H39,H40,H42)</f>
        <v>73.073905207204902</v>
      </c>
      <c r="I44">
        <f t="shared" si="10"/>
        <v>57.345475683871626</v>
      </c>
      <c r="J44">
        <f t="shared" si="10"/>
        <v>45.002433797465542</v>
      </c>
      <c r="K44">
        <f>MAX(K39,K40,K42)</f>
        <v>35.316108612642644</v>
      </c>
      <c r="L44">
        <f t="shared" ref="L44:R44" si="11">MAX(L39,L40,L42)</f>
        <v>27.714668347786436</v>
      </c>
      <c r="M44">
        <f t="shared" si="11"/>
        <v>21.749362310909468</v>
      </c>
      <c r="N44">
        <f t="shared" si="11"/>
        <v>17.0680289222725</v>
      </c>
      <c r="O44">
        <f t="shared" si="11"/>
        <v>13.394305871000451</v>
      </c>
      <c r="P44">
        <f t="shared" si="11"/>
        <v>10.511315078204717</v>
      </c>
      <c r="Q44">
        <f t="shared" si="11"/>
        <v>8.2488593091268001</v>
      </c>
      <c r="R44">
        <f t="shared" si="11"/>
        <v>6.4733745868637236</v>
      </c>
      <c r="S44">
        <f t="shared" ref="S44:X44" si="12">MAX(S39,S40,S42)</f>
        <v>5.0800452488610786</v>
      </c>
      <c r="T44">
        <f t="shared" si="12"/>
        <v>3.9866161588803015</v>
      </c>
      <c r="U44">
        <f t="shared" si="12"/>
        <v>3.1285367786455618</v>
      </c>
      <c r="V44">
        <f t="shared" si="12"/>
        <v>2.4551504296533473</v>
      </c>
      <c r="W44">
        <f t="shared" si="12"/>
        <v>1.9267037783831378</v>
      </c>
      <c r="X44">
        <f t="shared" si="12"/>
        <v>1.512</v>
      </c>
    </row>
    <row r="45" spans="4:24">
      <c r="D45" s="33" t="s">
        <v>409</v>
      </c>
      <c r="E45">
        <f>E38/E44*1000</f>
        <v>2.5</v>
      </c>
      <c r="F45">
        <f>F38/F44*1000</f>
        <v>3.1856874642578346</v>
      </c>
      <c r="G45">
        <f>G38/G44*1000</f>
        <v>4.0594418479718044</v>
      </c>
      <c r="H45">
        <f t="shared" ref="H45:J45" si="13">H38/H44*1000</f>
        <v>5.1728452027869745</v>
      </c>
      <c r="I45">
        <f t="shared" si="13"/>
        <v>6.5916272468258938</v>
      </c>
      <c r="J45">
        <f t="shared" si="13"/>
        <v>8.3995457157094524</v>
      </c>
      <c r="K45">
        <f>K38/K44*1000</f>
        <v>10.703330996798487</v>
      </c>
      <c r="L45">
        <f t="shared" ref="L45" si="14">L38/L44*1000</f>
        <v>13.638986952921297</v>
      </c>
      <c r="M45">
        <f t="shared" ref="M45:N45" si="15">M38/M44*1000</f>
        <v>17.37981990443901</v>
      </c>
      <c r="N45">
        <f t="shared" si="15"/>
        <v>22.146669760252063</v>
      </c>
      <c r="O45">
        <f t="shared" ref="O45" si="16">O38/O44*1000</f>
        <v>28.220947292117224</v>
      </c>
      <c r="P45">
        <f t="shared" ref="P45" si="17">P38/P44*1000</f>
        <v>35.961247207191569</v>
      </c>
      <c r="Q45">
        <f t="shared" ref="Q45:R45" si="18">Q38/Q44*1000</f>
        <v>45.824517770810907</v>
      </c>
      <c r="R45">
        <f t="shared" si="18"/>
        <v>58.393036727253062</v>
      </c>
      <c r="S45">
        <f t="shared" ref="S45" si="19">S38/S44*1000</f>
        <v>74.408786040782957</v>
      </c>
      <c r="T45">
        <f t="shared" ref="T45:U45" si="20">T38/T44*1000</f>
        <v>94.817254768306242</v>
      </c>
      <c r="U45">
        <f t="shared" si="20"/>
        <v>120.82325596429385</v>
      </c>
      <c r="V45">
        <f t="shared" ref="V45" si="21">V38/V44*1000</f>
        <v>153.96205276650659</v>
      </c>
      <c r="W45">
        <f t="shared" ref="W45" si="22">W38/W44*1000</f>
        <v>196.18999258786536</v>
      </c>
      <c r="X45">
        <f t="shared" ref="X45" si="23">X38/X44*1000</f>
        <v>250</v>
      </c>
    </row>
    <row r="47" spans="4:24">
      <c r="D47" s="33" t="s">
        <v>186</v>
      </c>
      <c r="E47">
        <f>IF(E45&lt;$J$23,$J$24,IF(E45&lt;$K$23,$K$24,IF(E45&lt;$L$23,$L$24,$M$24)))</f>
        <v>30</v>
      </c>
      <c r="F47">
        <f>IF(F45&lt;$J$23,$J$24,IF(F45&lt;$K$23,$K$24,IF(F45&lt;$L$23,$L$24,$M$24)))</f>
        <v>30</v>
      </c>
      <c r="G47">
        <f>IF(G45&lt;$J$23,$J$24,IF(G45&lt;$K$23,$K$24,IF(G45&lt;$L$23,$L$24,$M$24)))</f>
        <v>30</v>
      </c>
      <c r="H47">
        <f t="shared" ref="H47:I47" si="24">IF(H45&lt;$J$23,$J$24,IF(H45&lt;$K$23,$K$24,IF(H45&lt;$L$23,$L$24,$M$24)))</f>
        <v>30</v>
      </c>
      <c r="I47">
        <f t="shared" si="24"/>
        <v>30</v>
      </c>
      <c r="J47">
        <f>IF(J45&lt;$J$23,$J$24,IF(J45&lt;$K$23,$K$24,IF(J45&lt;$L$23,$L$24,$M$24)))</f>
        <v>30</v>
      </c>
      <c r="K47">
        <f>IF(K45&lt;$J$23,$J$24,IF(K45&lt;$K$23,$K$24,IF(K45&lt;$L$23,$L$24,$M$24)))</f>
        <v>18.000000000000004</v>
      </c>
      <c r="L47">
        <f t="shared" ref="L47:R47" si="25">IF(L45&lt;$J$23,$J$24,IF(L45&lt;$K$23,$K$24,IF(L45&lt;$L$23,$L$24,$M$24)))</f>
        <v>18.000000000000004</v>
      </c>
      <c r="M47">
        <f t="shared" si="25"/>
        <v>18.000000000000004</v>
      </c>
      <c r="N47">
        <f t="shared" si="25"/>
        <v>18.000000000000004</v>
      </c>
      <c r="O47">
        <f t="shared" si="25"/>
        <v>18.000000000000004</v>
      </c>
      <c r="P47">
        <f t="shared" si="25"/>
        <v>18.000000000000004</v>
      </c>
      <c r="Q47">
        <f t="shared" si="25"/>
        <v>18.000000000000004</v>
      </c>
      <c r="R47">
        <f t="shared" si="25"/>
        <v>18.000000000000004</v>
      </c>
      <c r="S47">
        <f t="shared" ref="S47:X47" si="26">IF(S45&lt;$J$23,$J$24,IF(S45&lt;$K$23,$K$24,IF(S45&lt;$L$23,$L$24,$M$24)))</f>
        <v>18.000000000000004</v>
      </c>
      <c r="T47">
        <f t="shared" si="26"/>
        <v>18.000000000000004</v>
      </c>
      <c r="U47">
        <f t="shared" si="26"/>
        <v>3.5555555555555554</v>
      </c>
      <c r="V47">
        <f t="shared" si="26"/>
        <v>3.5555555555555554</v>
      </c>
      <c r="W47">
        <f t="shared" si="26"/>
        <v>3.5555555555555554</v>
      </c>
      <c r="X47">
        <f t="shared" si="26"/>
        <v>3.5555555555555554</v>
      </c>
    </row>
    <row r="48" spans="4:24">
      <c r="D48" s="33" t="s">
        <v>187</v>
      </c>
      <c r="E48">
        <f>IF(E45&lt;$J$23,$J$25,IF(E45&lt;$K$23,$K$25,IF(E45&lt;$L$23,$L$25,$M$25)))</f>
        <v>-0.69897000433601886</v>
      </c>
      <c r="F48">
        <f>IF(F45&lt;$J$23,$J$25,IF(F45&lt;$K$23,$K$25,IF(F45&lt;$L$23,$L$25,$M$25)))</f>
        <v>-0.69897000433601886</v>
      </c>
      <c r="G48">
        <f>IF(G45&lt;$J$23,$J$25,IF(G45&lt;$K$23,$K$25,IF(G45&lt;$L$23,$L$25,$M$25)))</f>
        <v>-0.69897000433601886</v>
      </c>
      <c r="H48">
        <f t="shared" ref="H48:J48" si="27">IF(H45&lt;$J$23,$J$25,IF(H45&lt;$K$23,$K$25,IF(H45&lt;$L$23,$L$25,$M$25)))</f>
        <v>-0.69897000433601886</v>
      </c>
      <c r="I48">
        <f t="shared" si="27"/>
        <v>-0.69897000433601886</v>
      </c>
      <c r="J48">
        <f t="shared" si="27"/>
        <v>-0.69897000433601886</v>
      </c>
      <c r="K48">
        <f>IF(K45&lt;$J$23,$J$25,IF(K45&lt;$K$23,$K$25,IF(K45&lt;$L$23,$L$25,$M$25)))</f>
        <v>-0.47712125471966244</v>
      </c>
      <c r="L48">
        <f t="shared" ref="L48:R48" si="28">IF(L45&lt;$J$23,$J$25,IF(L45&lt;$K$23,$K$25,IF(L45&lt;$L$23,$L$25,$M$25)))</f>
        <v>-0.47712125471966244</v>
      </c>
      <c r="M48">
        <f t="shared" si="28"/>
        <v>-0.47712125471966244</v>
      </c>
      <c r="N48">
        <f t="shared" si="28"/>
        <v>-0.47712125471966244</v>
      </c>
      <c r="O48">
        <f t="shared" si="28"/>
        <v>-0.47712125471966244</v>
      </c>
      <c r="P48">
        <f t="shared" si="28"/>
        <v>-0.47712125471966244</v>
      </c>
      <c r="Q48">
        <f t="shared" si="28"/>
        <v>-0.47712125471966244</v>
      </c>
      <c r="R48">
        <f t="shared" si="28"/>
        <v>-0.47712125471966244</v>
      </c>
      <c r="S48">
        <f t="shared" ref="S48:X48" si="29">IF(S45&lt;$J$23,$J$25,IF(S45&lt;$K$23,$K$25,IF(S45&lt;$L$23,$L$25,$M$25)))</f>
        <v>-0.47712125471966244</v>
      </c>
      <c r="T48">
        <f t="shared" si="29"/>
        <v>-0.47712125471966244</v>
      </c>
      <c r="U48">
        <f t="shared" si="29"/>
        <v>-0.12493873660829993</v>
      </c>
      <c r="V48">
        <f t="shared" si="29"/>
        <v>-0.12493873660829993</v>
      </c>
      <c r="W48">
        <f t="shared" si="29"/>
        <v>-0.12493873660829993</v>
      </c>
      <c r="X48">
        <f t="shared" si="29"/>
        <v>-0.12493873660829993</v>
      </c>
    </row>
    <row r="50" spans="4:25">
      <c r="D50" s="33" t="s">
        <v>417</v>
      </c>
      <c r="E50">
        <f t="shared" ref="E50:X50" si="30">E47*E45^E48*VINMAX</f>
        <v>948.69011521822426</v>
      </c>
      <c r="F50">
        <f t="shared" si="30"/>
        <v>800.8452160090726</v>
      </c>
      <c r="G50">
        <f t="shared" si="30"/>
        <v>676.0406266666854</v>
      </c>
      <c r="H50">
        <f t="shared" si="30"/>
        <v>570.68572024622904</v>
      </c>
      <c r="I50">
        <f t="shared" si="30"/>
        <v>481.74943701058299</v>
      </c>
      <c r="J50">
        <f>J47*J45^J48*VINMAX</f>
        <v>406.67308086818571</v>
      </c>
      <c r="K50">
        <f t="shared" si="30"/>
        <v>348.5125160428596</v>
      </c>
      <c r="L50">
        <f t="shared" si="30"/>
        <v>310.45244852178428</v>
      </c>
      <c r="M50">
        <f t="shared" si="30"/>
        <v>276.54881347595085</v>
      </c>
      <c r="N50">
        <f t="shared" si="30"/>
        <v>246.34769865437136</v>
      </c>
      <c r="O50">
        <f t="shared" si="30"/>
        <v>219.44476228093603</v>
      </c>
      <c r="P50">
        <f t="shared" si="30"/>
        <v>195.47981960286126</v>
      </c>
      <c r="Q50">
        <f t="shared" si="30"/>
        <v>174.13202062689112</v>
      </c>
      <c r="R50">
        <f t="shared" si="30"/>
        <v>155.11555448130881</v>
      </c>
      <c r="S50">
        <f t="shared" si="30"/>
        <v>138.17582289243916</v>
      </c>
      <c r="T50">
        <f t="shared" si="30"/>
        <v>123.08603154497534</v>
      </c>
      <c r="U50">
        <f t="shared" si="30"/>
        <v>117.19726100715724</v>
      </c>
      <c r="V50">
        <f t="shared" si="30"/>
        <v>113.70145337399688</v>
      </c>
      <c r="W50">
        <f>W47*W45^W48*VINMAX</f>
        <v>110.30992011468311</v>
      </c>
      <c r="X50">
        <f t="shared" si="30"/>
        <v>107.01955089072428</v>
      </c>
    </row>
    <row r="51" spans="4:25">
      <c r="D51" s="33" t="s">
        <v>418</v>
      </c>
      <c r="E51">
        <f t="shared" ref="E51:X51" si="31">E50*(TJMAX-$E$19)/(TJMAX - 25)</f>
        <v>549.60780674975797</v>
      </c>
      <c r="F51">
        <f t="shared" si="31"/>
        <v>463.95632847458938</v>
      </c>
      <c r="G51">
        <f t="shared" si="31"/>
        <v>391.65286971556645</v>
      </c>
      <c r="H51">
        <f t="shared" si="31"/>
        <v>330.61726059598203</v>
      </c>
      <c r="I51">
        <f t="shared" si="31"/>
        <v>279.09350717479776</v>
      </c>
      <c r="J51">
        <f t="shared" si="31"/>
        <v>235.59927151630225</v>
      </c>
      <c r="K51">
        <f t="shared" si="31"/>
        <v>201.90491762749667</v>
      </c>
      <c r="L51">
        <f t="shared" si="31"/>
        <v>179.85545184362036</v>
      </c>
      <c r="M51">
        <f t="shared" si="31"/>
        <v>160.21394594040089</v>
      </c>
      <c r="N51">
        <f t="shared" si="31"/>
        <v>142.71743342043249</v>
      </c>
      <c r="O51">
        <f t="shared" si="31"/>
        <v>127.13166561475562</v>
      </c>
      <c r="P51">
        <f t="shared" si="31"/>
        <v>113.24797548992429</v>
      </c>
      <c r="Q51">
        <f t="shared" si="31"/>
        <v>100.8804839498456</v>
      </c>
      <c r="R51">
        <f t="shared" si="31"/>
        <v>89.863611229504912</v>
      </c>
      <c r="S51">
        <f t="shared" si="31"/>
        <v>80.04986006235309</v>
      </c>
      <c r="T51">
        <f t="shared" si="31"/>
        <v>71.30784094172239</v>
      </c>
      <c r="U51">
        <f t="shared" si="31"/>
        <v>67.896279876813097</v>
      </c>
      <c r="V51">
        <f t="shared" si="31"/>
        <v>65.871041988002204</v>
      </c>
      <c r="W51">
        <f t="shared" si="31"/>
        <v>63.906213719773092</v>
      </c>
      <c r="X51">
        <f t="shared" si="31"/>
        <v>61.999993149359604</v>
      </c>
    </row>
    <row r="52" spans="4:25">
      <c r="D52" s="33" t="s">
        <v>420</v>
      </c>
      <c r="E52">
        <f>E51/E44</f>
        <v>3.6349722668634787</v>
      </c>
      <c r="F52">
        <f>F51/F44</f>
        <v>3.9101054486364801</v>
      </c>
      <c r="G52">
        <f>G51/G44</f>
        <v>4.2060636222265062</v>
      </c>
      <c r="H52">
        <f t="shared" ref="H52:J52" si="32">H51/H44</f>
        <v>4.5244230434722139</v>
      </c>
      <c r="I52">
        <f t="shared" si="32"/>
        <v>4.866879275940728</v>
      </c>
      <c r="J52">
        <f t="shared" si="32"/>
        <v>5.2352562213995366</v>
      </c>
      <c r="K52">
        <f>K51/K44</f>
        <v>5.7170771514508738</v>
      </c>
      <c r="L52">
        <f t="shared" ref="L52" si="33">L51/L44</f>
        <v>6.489540108748419</v>
      </c>
      <c r="M52">
        <f t="shared" ref="M52:N52" si="34">M51/M44</f>
        <v>7.3663744090573937</v>
      </c>
      <c r="N52">
        <f t="shared" si="34"/>
        <v>8.361682187812379</v>
      </c>
      <c r="O52">
        <f t="shared" ref="O52" si="35">O51/O44</f>
        <v>9.4914709906695496</v>
      </c>
      <c r="P52">
        <f t="shared" ref="P52" si="36">P51/P44</f>
        <v>10.773911223034759</v>
      </c>
      <c r="Q52">
        <f t="shared" ref="Q52:R52" si="37">Q51/Q44</f>
        <v>12.229628384888105</v>
      </c>
      <c r="R52">
        <f t="shared" si="37"/>
        <v>13.882034790920821</v>
      </c>
      <c r="S52">
        <f t="shared" ref="S52" si="38">S51/S44</f>
        <v>15.757706111042983</v>
      </c>
      <c r="T52">
        <f t="shared" ref="T52:U52" si="39">T51/T44</f>
        <v>17.886808787167066</v>
      </c>
      <c r="U52">
        <f t="shared" si="39"/>
        <v>21.702247625871749</v>
      </c>
      <c r="V52">
        <f t="shared" ref="V52" si="40">V51/V44</f>
        <v>26.829737678152295</v>
      </c>
      <c r="W52">
        <f t="shared" ref="W52" si="41">W51/W44</f>
        <v>33.168676179896359</v>
      </c>
      <c r="X52">
        <f t="shared" ref="X52" si="42">X51/X44</f>
        <v>41.005286474444183</v>
      </c>
    </row>
    <row r="54" spans="4:25">
      <c r="D54" s="33" t="s">
        <v>424</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427</v>
      </c>
    </row>
    <row r="55" spans="4:25">
      <c r="D55" s="33" t="s">
        <v>425</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c r="D56" s="33" t="s">
        <v>426</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c r="D58" t="s">
        <v>428</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c r="D59" t="s">
        <v>429</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honeticPr fontId="51"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85080-AA43-47B1-B5FC-DE683234294C}">
  <ds:schemaRefs>
    <ds:schemaRef ds:uri="http://schemas.microsoft.com/sharepoint/v3/contenttype/forms"/>
  </ds:schemaRefs>
</ds:datastoreItem>
</file>

<file path=customXml/itemProps2.xml><?xml version="1.0" encoding="utf-8"?>
<ds:datastoreItem xmlns:ds="http://schemas.openxmlformats.org/officeDocument/2006/customXml" ds:itemID="{24F9DA69-AC46-4980-8991-D5FD33AE93E3}">
  <ds:schemaRef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19CAC59-AF7B-4667-A9DE-B61697C55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 지정된 범위</vt:lpstr>
      </vt:variant>
      <vt:variant>
        <vt:i4>35</vt:i4>
      </vt:variant>
    </vt:vector>
  </HeadingPairs>
  <TitlesOfParts>
    <vt:vector size="42"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LM5066 Design Calculator</dc:title>
  <dc:creator>a-rogachev@ti.com</dc:creator>
  <cp:lastModifiedBy>JaeWook LEE 이재욱</cp:lastModifiedBy>
  <cp:lastPrinted>2013-08-26T22:42:43Z</cp:lastPrinted>
  <dcterms:created xsi:type="dcterms:W3CDTF">2009-04-21T16:00:33Z</dcterms:created>
  <dcterms:modified xsi:type="dcterms:W3CDTF">2023-03-08T05:05:09Z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